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3540ee533acf4168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/>
  <bookViews>
    <workbookView xWindow="-12" yWindow="-12" windowWidth="7680" windowHeight="8988" tabRatio="589" firstSheet="7" activeTab="8"/>
  </bookViews>
  <sheets>
    <sheet name="П 1.13 2016 расчет " sheetId="176" state="hidden" r:id="rId1"/>
    <sheet name="Выпад.дох.за 2015г.в тар.2017" sheetId="149" state="hidden" r:id="rId2"/>
    <sheet name="Расчет НВВ 2022г." sheetId="136" state="hidden" r:id="rId3"/>
    <sheet name="Активы" sheetId="102" state="hidden" r:id="rId4"/>
    <sheet name="П.2.1." sheetId="6" state="hidden" r:id="rId5"/>
    <sheet name="П.2.2." sheetId="5" state="hidden" r:id="rId6"/>
    <sheet name="П 1.3." sheetId="28" state="hidden" r:id="rId7"/>
    <sheet name="Электроэнергия" sheetId="31" r:id="rId8"/>
    <sheet name="Мощность" sheetId="32" r:id="rId9"/>
    <sheet name="П1.30 -2022г., 1 и 2 п-е" sheetId="140" state="hidden" r:id="rId10"/>
    <sheet name="тсо 2022 год" sheetId="179" state="hidden" r:id="rId11"/>
    <sheet name="НК Энерго 2022 год" sheetId="180" state="hidden" r:id="rId12"/>
    <sheet name="П 1.6." sheetId="19" state="hidden" r:id="rId13"/>
    <sheet name="П 1.13" sheetId="142" state="hidden" r:id="rId14"/>
    <sheet name="Реестр всп.мат.2013пром. " sheetId="174" state="hidden" r:id="rId15"/>
    <sheet name="РСЭО факт за 2012г." sheetId="132" state="hidden" r:id="rId16"/>
    <sheet name="Услуги стор.орг..-2013г. " sheetId="147" state="hidden" r:id="rId17"/>
    <sheet name="++ Реестр всп.мат.2014 с ЛОЦ" sheetId="164" state="hidden" r:id="rId18"/>
    <sheet name="Реестр всп.мат.2013пром." sheetId="144" state="hidden" r:id="rId19"/>
    <sheet name="Реестр всп.мат.2012пром." sheetId="131" state="hidden" r:id="rId20"/>
    <sheet name="Матер.электро" sheetId="175" state="hidden" r:id="rId21"/>
    <sheet name="Услуги стор.орг." sheetId="185" state="hidden" r:id="rId22"/>
    <sheet name="Услуги стор.орг.-2021" sheetId="145" state="hidden" r:id="rId23"/>
    <sheet name="Услуги стор.орг..-2014г. (2)" sheetId="181" state="hidden" r:id="rId24"/>
    <sheet name="НВВ Расшифровка" sheetId="58" state="hidden" r:id="rId25"/>
    <sheet name="П 1.15." sheetId="17" state="hidden" r:id="rId26"/>
    <sheet name="П 1.18.2" sheetId="13" state="hidden" r:id="rId27"/>
    <sheet name="ФОТ 2020г. 2426+2496" sheetId="160" state="hidden" r:id="rId28"/>
    <sheet name="нетФОТ 2011г. цех 2496ПСХ" sheetId="162" state="hidden" r:id="rId29"/>
    <sheet name="ФЗП  эл.эн.2018г. 2326" sheetId="148" state="hidden" r:id="rId30"/>
    <sheet name="П 1.16 раб." sheetId="16" state="hidden" r:id="rId31"/>
    <sheet name="П 1.16 цех. (РСС+всп.раб.)" sheetId="68" state="hidden" r:id="rId32"/>
    <sheet name="П 1.16 свод" sheetId="71" state="hidden" r:id="rId33"/>
    <sheet name="ФЗП  эл.эн.2014г. 2452" sheetId="163" state="hidden" r:id="rId34"/>
    <sheet name="нетФОТ 2020г. свод 2452" sheetId="117" state="hidden" r:id="rId35"/>
    <sheet name="нет +++ ФОТ 2020г. всего" sheetId="107" state="hidden" r:id="rId36"/>
    <sheet name="П 1.16 АУП ОХР" sheetId="69" state="hidden" r:id="rId37"/>
    <sheet name="П 1.17" sheetId="37" state="hidden" r:id="rId38"/>
    <sheet name="П .1.17.1" sheetId="14" state="hidden" r:id="rId39"/>
    <sheet name="П 1.17ОХР " sheetId="168" state="hidden" r:id="rId40"/>
    <sheet name="П 1.17 свод" sheetId="66" state="hidden" r:id="rId41"/>
    <sheet name="П 1.17 (2)" sheetId="104" state="hidden" r:id="rId42"/>
    <sheet name="П .1.17.1 (2)" sheetId="105" state="hidden" r:id="rId43"/>
    <sheet name="Амортизация 21-22гг." sheetId="42" state="hidden" r:id="rId44"/>
    <sheet name="НИ 2021-2022" sheetId="182" state="hidden" r:id="rId45"/>
    <sheet name="Амортизация 11г. - 12г. (2)" sheetId="134" state="hidden" r:id="rId46"/>
    <sheet name="П 1.20." sheetId="12" state="hidden" r:id="rId47"/>
    <sheet name="П 1.20.3." sheetId="11" state="hidden" r:id="rId48"/>
    <sheet name="П 1.21.3." sheetId="10" state="hidden" r:id="rId49"/>
    <sheet name="П 1.24" sheetId="9" state="hidden" r:id="rId50"/>
    <sheet name="П 1.25." sheetId="8" state="hidden" r:id="rId51"/>
    <sheet name="ФЗП  эл.эн.2021г. 2326 (2)" sheetId="188" state="hidden" r:id="rId52"/>
    <sheet name="ФОТ 2021г. цех 2326" sheetId="161" state="hidden" r:id="rId53"/>
    <sheet name="Амортизация 21-22гг. (2)" sheetId="184" state="hidden" r:id="rId54"/>
    <sheet name="Пообъектн.расчет НИ 21-22гг." sheetId="187" state="hidden" r:id="rId55"/>
    <sheet name="ОХР " sheetId="41" state="hidden" r:id="rId56"/>
    <sheet name="Распред.приб. на соц.разв.2022" sheetId="62" state="hidden" r:id="rId57"/>
    <sheet name="Дефицит по потерям" sheetId="183" state="hidden" r:id="rId58"/>
    <sheet name="П 1.27" sheetId="7" state="hidden" r:id="rId59"/>
    <sheet name="П.2.1.пром.+ПСХ" sheetId="152" state="hidden" r:id="rId60"/>
    <sheet name="П.2.2.пром.+ПСХ" sheetId="153" state="hidden" r:id="rId61"/>
    <sheet name="П.2.1.общ." sheetId="108" state="hidden" r:id="rId62"/>
    <sheet name="П.2.2. общ" sheetId="109" state="hidden" r:id="rId63"/>
    <sheet name="активы общ." sheetId="110" state="hidden" r:id="rId64"/>
    <sheet name="Расчет" sheetId="36" state="hidden" r:id="rId65"/>
    <sheet name="П.2.1.утв.2016" sheetId="177" state="hidden" r:id="rId66"/>
    <sheet name="П.2.2.утв.2016" sheetId="178" state="hidden" r:id="rId67"/>
    <sheet name="Активы факт2011-2013гг" sheetId="146" state="hidden" r:id="rId68"/>
    <sheet name="П.2.1.ПСХ" sheetId="155" state="hidden" r:id="rId69"/>
    <sheet name="П.2.2.ПСХ" sheetId="156" state="hidden" r:id="rId70"/>
    <sheet name="активы ЛОЦ" sheetId="154" state="hidden" r:id="rId71"/>
    <sheet name="П.2.1.ЛОЦ" sheetId="150" state="hidden" r:id="rId72"/>
    <sheet name="П.2.2.ЛОЦ" sheetId="151" state="hidden" r:id="rId73"/>
    <sheet name="1тсо кроме мрск" sheetId="137" state="hidden" r:id="rId74"/>
    <sheet name="2тсо кроме мрск" sheetId="138" state="hidden" r:id="rId75"/>
    <sheet name="2016 тсо кроме мрск" sheetId="139" state="hidden" r:id="rId76"/>
    <sheet name="2016 тсо НК Энергосб" sheetId="167" state="hidden" r:id="rId77"/>
    <sheet name="Выпад.2014г." sheetId="133" state="hidden" r:id="rId78"/>
    <sheet name="НВВ на содержание 2012г." sheetId="135" state="hidden" r:id="rId79"/>
    <sheet name="Реестр всп.мат.2010 пром.+ПСХ" sheetId="95" state="hidden" r:id="rId80"/>
    <sheet name="Реестр вспомог.мат.2011 ПСХ" sheetId="115" state="hidden" r:id="rId81"/>
    <sheet name="Работы и услуги 2011г." sheetId="64" state="hidden" r:id="rId82"/>
    <sheet name="РСЭО 2012г." sheetId="96" state="hidden" r:id="rId83"/>
    <sheet name="П 1.17 цех." sheetId="76" state="hidden" r:id="rId84"/>
    <sheet name="Амортизация цех10г. - 11г." sheetId="97" state="hidden" r:id="rId85"/>
    <sheet name="П 1.17 ОХР" sheetId="65" state="hidden" r:id="rId86"/>
    <sheet name="1 И 2 ПОЛУГОДИЕ 2012" sheetId="126" state="hidden" r:id="rId87"/>
    <sheet name="2012" sheetId="125" state="hidden" r:id="rId88"/>
    <sheet name="1п-е 2012" sheetId="127" state="hidden" r:id="rId89"/>
    <sheet name="2п-е 2012" sheetId="128" state="hidden" r:id="rId90"/>
    <sheet name="2012 год" sheetId="129" state="hidden" r:id="rId91"/>
    <sheet name="НВВ на содержание" sheetId="103" state="hidden" r:id="rId92"/>
    <sheet name="послед2012г.об.по стр-ре СЭ (2)" sheetId="124" state="hidden" r:id="rId93"/>
    <sheet name="12г.Бал.уточ.Энерг+подсобн.хоз." sheetId="112" state="hidden" r:id="rId94"/>
    <sheet name="Прилож.1-2012г." sheetId="114" state="hidden" r:id="rId95"/>
    <sheet name="2012 Баланс  " sheetId="87" state="hidden" r:id="rId96"/>
    <sheet name="стр-ра пол.отп. 2012г.июнь" sheetId="113" state="hidden" r:id="rId97"/>
    <sheet name="П1.30 - 07.06.11г." sheetId="99" state="hidden" r:id="rId98"/>
    <sheet name="С-Э и сет.расч.инд.межсет.2011" sheetId="79" state="hidden" r:id="rId99"/>
    <sheet name="изм.приказ 27 от 28.04.2011" sheetId="121" state="hidden" r:id="rId100"/>
    <sheet name="2012г.об.по стр-ре СЭ" sheetId="123" state="hidden" r:id="rId101"/>
    <sheet name="2012г.об.под факт2010" sheetId="122" state="hidden" r:id="rId102"/>
    <sheet name="пл.об расч.по инд.межсет.та (2)" sheetId="120" state="hidden" r:id="rId103"/>
    <sheet name="пл.об расч.по инд.межсет.тар.11" sheetId="80" state="hidden" r:id="rId104"/>
    <sheet name="УГРКЭ об.конрасч.по инд.межсет." sheetId="119" state="hidden" r:id="rId105"/>
    <sheet name="Прилож.2 структура 2011г.-2012г" sheetId="118" state="hidden" r:id="rId106"/>
    <sheet name="орг. Корр-ка НВВ 2014г." sheetId="130" state="hidden" r:id="rId107"/>
    <sheet name="П.2.1. утв.2015" sheetId="172" state="hidden" r:id="rId108"/>
    <sheet name="П.2.2.утв.2015" sheetId="173" state="hidden" r:id="rId109"/>
    <sheet name="1 И 2 ПОЛУГОДИЕ 2012 (2)" sheetId="170" state="hidden" r:id="rId110"/>
  </sheets>
  <externalReferences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</externalReferences>
  <definedNames>
    <definedName name="___________nt1" localSheetId="54">#REF!</definedName>
    <definedName name="___________nt1" localSheetId="21">#REF!</definedName>
    <definedName name="___________nt1" localSheetId="51">#REF!</definedName>
    <definedName name="___________nt2" localSheetId="54">#REF!</definedName>
    <definedName name="___________nt2" localSheetId="21">#REF!</definedName>
    <definedName name="___________nt2" localSheetId="51">#REF!</definedName>
    <definedName name="___________nt3" localSheetId="54">#REF!</definedName>
    <definedName name="___________nt3" localSheetId="21">#REF!</definedName>
    <definedName name="___________nt3" localSheetId="51">#REF!</definedName>
    <definedName name="___________nt4" localSheetId="54">#REF!</definedName>
    <definedName name="___________nt4" localSheetId="21">#REF!</definedName>
    <definedName name="___________nt4" localSheetId="51">#REF!</definedName>
    <definedName name="___________nt5" localSheetId="54">#REF!</definedName>
    <definedName name="___________nt5" localSheetId="21">#REF!</definedName>
    <definedName name="___________nt5" localSheetId="51">#REF!</definedName>
    <definedName name="___________nt6" localSheetId="54">#REF!</definedName>
    <definedName name="___________nt6" localSheetId="21">#REF!</definedName>
    <definedName name="___________nt6" localSheetId="51">#REF!</definedName>
    <definedName name="___________nt7" localSheetId="54">#REF!</definedName>
    <definedName name="___________nt7" localSheetId="21">#REF!</definedName>
    <definedName name="___________nt7" localSheetId="51">#REF!</definedName>
    <definedName name="___________nt8" localSheetId="54">#REF!</definedName>
    <definedName name="___________nt8" localSheetId="21">#REF!</definedName>
    <definedName name="___________nt8" localSheetId="51">#REF!</definedName>
    <definedName name="___________nt9" localSheetId="54">#REF!</definedName>
    <definedName name="___________nt9" localSheetId="21">#REF!</definedName>
    <definedName name="___________nt9" localSheetId="51">#REF!</definedName>
    <definedName name="___________tt5" localSheetId="54">#REF!</definedName>
    <definedName name="___________tt5" localSheetId="21">#REF!</definedName>
    <definedName name="___________tt5" localSheetId="51">#REF!</definedName>
    <definedName name="___________tt6" localSheetId="54">#REF!</definedName>
    <definedName name="___________tt6" localSheetId="21">#REF!</definedName>
    <definedName name="___________tt6" localSheetId="51">#REF!</definedName>
    <definedName name="___________ttt5" localSheetId="54">#REF!</definedName>
    <definedName name="___________ttt5" localSheetId="21">#REF!</definedName>
    <definedName name="___________ttt5" localSheetId="51">#REF!</definedName>
    <definedName name="___________zt2" localSheetId="54">#REF!</definedName>
    <definedName name="___________zt2" localSheetId="21">#REF!</definedName>
    <definedName name="___________zt2" localSheetId="51">#REF!</definedName>
    <definedName name="___________zt3" localSheetId="54">#REF!</definedName>
    <definedName name="___________zt3" localSheetId="21">#REF!</definedName>
    <definedName name="___________zt3" localSheetId="51">#REF!</definedName>
    <definedName name="___________zt4" localSheetId="54">#REF!</definedName>
    <definedName name="___________zt4" localSheetId="21">#REF!</definedName>
    <definedName name="___________zt4" localSheetId="51">#REF!</definedName>
    <definedName name="___________zt5" localSheetId="54">#REF!</definedName>
    <definedName name="___________zt5" localSheetId="21">#REF!</definedName>
    <definedName name="___________zt5" localSheetId="51">#REF!</definedName>
    <definedName name="___________zt51" localSheetId="54">#REF!</definedName>
    <definedName name="___________zt51" localSheetId="21">#REF!</definedName>
    <definedName name="___________zt51" localSheetId="51">#REF!</definedName>
    <definedName name="___________zt6" localSheetId="54">#REF!</definedName>
    <definedName name="___________zt6" localSheetId="21">#REF!</definedName>
    <definedName name="___________zt6" localSheetId="51">#REF!</definedName>
    <definedName name="___________zt7" localSheetId="54">#REF!</definedName>
    <definedName name="___________zt7" localSheetId="21">#REF!</definedName>
    <definedName name="___________zt7" localSheetId="51">#REF!</definedName>
    <definedName name="___________zt8" localSheetId="54">#REF!</definedName>
    <definedName name="___________zt8" localSheetId="21">#REF!</definedName>
    <definedName name="___________zt8" localSheetId="51">#REF!</definedName>
    <definedName name="__________nt1" localSheetId="54">#REF!</definedName>
    <definedName name="__________nt1" localSheetId="21">#REF!</definedName>
    <definedName name="__________nt1" localSheetId="51">#REF!</definedName>
    <definedName name="__________nt2" localSheetId="54">#REF!</definedName>
    <definedName name="__________nt2" localSheetId="21">#REF!</definedName>
    <definedName name="__________nt2" localSheetId="51">#REF!</definedName>
    <definedName name="__________nt3" localSheetId="54">#REF!</definedName>
    <definedName name="__________nt3" localSheetId="21">#REF!</definedName>
    <definedName name="__________nt3" localSheetId="51">#REF!</definedName>
    <definedName name="__________nt4" localSheetId="54">#REF!</definedName>
    <definedName name="__________nt4" localSheetId="21">#REF!</definedName>
    <definedName name="__________nt4" localSheetId="51">#REF!</definedName>
    <definedName name="__________nt5" localSheetId="54">#REF!</definedName>
    <definedName name="__________nt5" localSheetId="21">#REF!</definedName>
    <definedName name="__________nt5" localSheetId="51">#REF!</definedName>
    <definedName name="__________nt6" localSheetId="54">#REF!</definedName>
    <definedName name="__________nt6" localSheetId="21">#REF!</definedName>
    <definedName name="__________nt6" localSheetId="51">#REF!</definedName>
    <definedName name="__________nt7" localSheetId="54">#REF!</definedName>
    <definedName name="__________nt7" localSheetId="21">#REF!</definedName>
    <definedName name="__________nt7" localSheetId="51">#REF!</definedName>
    <definedName name="__________nt8" localSheetId="54">#REF!</definedName>
    <definedName name="__________nt8" localSheetId="21">#REF!</definedName>
    <definedName name="__________nt8" localSheetId="51">#REF!</definedName>
    <definedName name="__________nt9" localSheetId="54">#REF!</definedName>
    <definedName name="__________nt9" localSheetId="21">#REF!</definedName>
    <definedName name="__________nt9" localSheetId="51">#REF!</definedName>
    <definedName name="__________tt5" localSheetId="54">#REF!</definedName>
    <definedName name="__________tt5" localSheetId="21">#REF!</definedName>
    <definedName name="__________tt5" localSheetId="51">#REF!</definedName>
    <definedName name="__________tt6" localSheetId="54">#REF!</definedName>
    <definedName name="__________tt6" localSheetId="21">#REF!</definedName>
    <definedName name="__________tt6" localSheetId="51">#REF!</definedName>
    <definedName name="__________ttt5" localSheetId="54">#REF!</definedName>
    <definedName name="__________ttt5" localSheetId="21">#REF!</definedName>
    <definedName name="__________ttt5" localSheetId="51">#REF!</definedName>
    <definedName name="__________zt2" localSheetId="54">#REF!</definedName>
    <definedName name="__________zt2" localSheetId="21">#REF!</definedName>
    <definedName name="__________zt2" localSheetId="51">#REF!</definedName>
    <definedName name="__________zt3" localSheetId="54">#REF!</definedName>
    <definedName name="__________zt3" localSheetId="21">#REF!</definedName>
    <definedName name="__________zt3" localSheetId="51">#REF!</definedName>
    <definedName name="__________zt4" localSheetId="54">#REF!</definedName>
    <definedName name="__________zt4" localSheetId="21">#REF!</definedName>
    <definedName name="__________zt4" localSheetId="51">#REF!</definedName>
    <definedName name="__________zt5" localSheetId="54">#REF!</definedName>
    <definedName name="__________zt5" localSheetId="21">#REF!</definedName>
    <definedName name="__________zt5" localSheetId="51">#REF!</definedName>
    <definedName name="__________zt51" localSheetId="54">#REF!</definedName>
    <definedName name="__________zt51" localSheetId="21">#REF!</definedName>
    <definedName name="__________zt51" localSheetId="51">#REF!</definedName>
    <definedName name="__________zt6" localSheetId="54">#REF!</definedName>
    <definedName name="__________zt6" localSheetId="21">#REF!</definedName>
    <definedName name="__________zt6" localSheetId="51">#REF!</definedName>
    <definedName name="__________zt7" localSheetId="54">#REF!</definedName>
    <definedName name="__________zt7" localSheetId="21">#REF!</definedName>
    <definedName name="__________zt7" localSheetId="51">#REF!</definedName>
    <definedName name="__________zt8" localSheetId="54">#REF!</definedName>
    <definedName name="__________zt8" localSheetId="21">#REF!</definedName>
    <definedName name="__________zt8" localSheetId="51">#REF!</definedName>
    <definedName name="_________nt1" localSheetId="57">#REF!</definedName>
    <definedName name="_________nt2" localSheetId="57">#REF!</definedName>
    <definedName name="_________nt3" localSheetId="57">#REF!</definedName>
    <definedName name="_________nt4" localSheetId="57">#REF!</definedName>
    <definedName name="_________nt5" localSheetId="57">#REF!</definedName>
    <definedName name="_________nt6" localSheetId="57">#REF!</definedName>
    <definedName name="_________nt7" localSheetId="57">#REF!</definedName>
    <definedName name="_________nt8" localSheetId="57">#REF!</definedName>
    <definedName name="_________nt9" localSheetId="57">#REF!</definedName>
    <definedName name="_________tt5" localSheetId="57">#REF!</definedName>
    <definedName name="_________tt6" localSheetId="57">#REF!</definedName>
    <definedName name="_________ttt5" localSheetId="57">#REF!</definedName>
    <definedName name="_________zt2" localSheetId="57">#REF!</definedName>
    <definedName name="_________zt3" localSheetId="57">#REF!</definedName>
    <definedName name="_________zt4" localSheetId="57">#REF!</definedName>
    <definedName name="_________zt5" localSheetId="57">#REF!</definedName>
    <definedName name="_________zt51" localSheetId="57">#REF!</definedName>
    <definedName name="_________zt6" localSheetId="57">#REF!</definedName>
    <definedName name="_________zt7" localSheetId="57">#REF!</definedName>
    <definedName name="_________zt8" localSheetId="57">#REF!</definedName>
    <definedName name="________nt1" localSheetId="54">#REF!</definedName>
    <definedName name="________nt1" localSheetId="21">#REF!</definedName>
    <definedName name="________nt1" localSheetId="51">#REF!</definedName>
    <definedName name="________nt2" localSheetId="54">#REF!</definedName>
    <definedName name="________nt2" localSheetId="21">#REF!</definedName>
    <definedName name="________nt2" localSheetId="51">#REF!</definedName>
    <definedName name="________nt3" localSheetId="54">#REF!</definedName>
    <definedName name="________nt3" localSheetId="21">#REF!</definedName>
    <definedName name="________nt3" localSheetId="51">#REF!</definedName>
    <definedName name="________nt4" localSheetId="54">#REF!</definedName>
    <definedName name="________nt4" localSheetId="21">#REF!</definedName>
    <definedName name="________nt4" localSheetId="51">#REF!</definedName>
    <definedName name="________nt5" localSheetId="54">#REF!</definedName>
    <definedName name="________nt5" localSheetId="21">#REF!</definedName>
    <definedName name="________nt5" localSheetId="51">#REF!</definedName>
    <definedName name="________nt6" localSheetId="54">#REF!</definedName>
    <definedName name="________nt6" localSheetId="21">#REF!</definedName>
    <definedName name="________nt6" localSheetId="51">#REF!</definedName>
    <definedName name="________nt7" localSheetId="54">#REF!</definedName>
    <definedName name="________nt7" localSheetId="21">#REF!</definedName>
    <definedName name="________nt7" localSheetId="51">#REF!</definedName>
    <definedName name="________nt8" localSheetId="54">#REF!</definedName>
    <definedName name="________nt8" localSheetId="21">#REF!</definedName>
    <definedName name="________nt8" localSheetId="51">#REF!</definedName>
    <definedName name="________nt9" localSheetId="54">#REF!</definedName>
    <definedName name="________nt9" localSheetId="21">#REF!</definedName>
    <definedName name="________nt9" localSheetId="51">#REF!</definedName>
    <definedName name="________tt5" localSheetId="54">#REF!</definedName>
    <definedName name="________tt5" localSheetId="21">#REF!</definedName>
    <definedName name="________tt5" localSheetId="51">#REF!</definedName>
    <definedName name="________tt6" localSheetId="54">#REF!</definedName>
    <definedName name="________tt6" localSheetId="21">#REF!</definedName>
    <definedName name="________tt6" localSheetId="51">#REF!</definedName>
    <definedName name="________ttt5" localSheetId="54">#REF!</definedName>
    <definedName name="________ttt5" localSheetId="21">#REF!</definedName>
    <definedName name="________ttt5" localSheetId="51">#REF!</definedName>
    <definedName name="________zt2" localSheetId="54">#REF!</definedName>
    <definedName name="________zt2" localSheetId="21">#REF!</definedName>
    <definedName name="________zt2" localSheetId="51">#REF!</definedName>
    <definedName name="________zt3" localSheetId="54">#REF!</definedName>
    <definedName name="________zt3" localSheetId="21">#REF!</definedName>
    <definedName name="________zt3" localSheetId="51">#REF!</definedName>
    <definedName name="________zt4" localSheetId="54">#REF!</definedName>
    <definedName name="________zt4" localSheetId="21">#REF!</definedName>
    <definedName name="________zt4" localSheetId="51">#REF!</definedName>
    <definedName name="________zt5" localSheetId="54">#REF!</definedName>
    <definedName name="________zt5" localSheetId="21">#REF!</definedName>
    <definedName name="________zt5" localSheetId="51">#REF!</definedName>
    <definedName name="________zt51" localSheetId="54">#REF!</definedName>
    <definedName name="________zt51" localSheetId="21">#REF!</definedName>
    <definedName name="________zt51" localSheetId="51">#REF!</definedName>
    <definedName name="________zt6" localSheetId="54">#REF!</definedName>
    <definedName name="________zt6" localSheetId="21">#REF!</definedName>
    <definedName name="________zt6" localSheetId="51">#REF!</definedName>
    <definedName name="________zt7" localSheetId="54">#REF!</definedName>
    <definedName name="________zt7" localSheetId="21">#REF!</definedName>
    <definedName name="________zt7" localSheetId="51">#REF!</definedName>
    <definedName name="________zt8" localSheetId="54">#REF!</definedName>
    <definedName name="________zt8" localSheetId="21">#REF!</definedName>
    <definedName name="________zt8" localSheetId="51">#REF!</definedName>
    <definedName name="________zt9">[1]s!$B$5</definedName>
    <definedName name="_______nt1" localSheetId="54">#REF!</definedName>
    <definedName name="_______nt1" localSheetId="21">#REF!</definedName>
    <definedName name="_______nt1" localSheetId="51">#REF!</definedName>
    <definedName name="_______nt2" localSheetId="54">#REF!</definedName>
    <definedName name="_______nt2" localSheetId="21">#REF!</definedName>
    <definedName name="_______nt2" localSheetId="51">#REF!</definedName>
    <definedName name="_______nt3" localSheetId="54">#REF!</definedName>
    <definedName name="_______nt3" localSheetId="21">#REF!</definedName>
    <definedName name="_______nt3" localSheetId="51">#REF!</definedName>
    <definedName name="_______nt4" localSheetId="54">#REF!</definedName>
    <definedName name="_______nt4" localSheetId="21">#REF!</definedName>
    <definedName name="_______nt4" localSheetId="51">#REF!</definedName>
    <definedName name="_______nt5" localSheetId="54">#REF!</definedName>
    <definedName name="_______nt5" localSheetId="21">#REF!</definedName>
    <definedName name="_______nt5" localSheetId="51">#REF!</definedName>
    <definedName name="_______nt6" localSheetId="54">#REF!</definedName>
    <definedName name="_______nt6" localSheetId="21">#REF!</definedName>
    <definedName name="_______nt6" localSheetId="51">#REF!</definedName>
    <definedName name="_______nt7" localSheetId="54">#REF!</definedName>
    <definedName name="_______nt7" localSheetId="21">#REF!</definedName>
    <definedName name="_______nt7" localSheetId="51">#REF!</definedName>
    <definedName name="_______nt8" localSheetId="54">#REF!</definedName>
    <definedName name="_______nt8" localSheetId="21">#REF!</definedName>
    <definedName name="_______nt8" localSheetId="51">#REF!</definedName>
    <definedName name="_______nt9" localSheetId="54">#REF!</definedName>
    <definedName name="_______nt9" localSheetId="21">#REF!</definedName>
    <definedName name="_______nt9" localSheetId="51">#REF!</definedName>
    <definedName name="_______tt5" localSheetId="54">#REF!</definedName>
    <definedName name="_______tt5" localSheetId="21">#REF!</definedName>
    <definedName name="_______tt5" localSheetId="51">#REF!</definedName>
    <definedName name="_______tt6" localSheetId="54">#REF!</definedName>
    <definedName name="_______tt6" localSheetId="21">#REF!</definedName>
    <definedName name="_______tt6" localSheetId="51">#REF!</definedName>
    <definedName name="_______ttt5" localSheetId="54">#REF!</definedName>
    <definedName name="_______ttt5" localSheetId="21">#REF!</definedName>
    <definedName name="_______ttt5" localSheetId="51">#REF!</definedName>
    <definedName name="_______zt2" localSheetId="54">#REF!</definedName>
    <definedName name="_______zt2" localSheetId="21">#REF!</definedName>
    <definedName name="_______zt2" localSheetId="51">#REF!</definedName>
    <definedName name="_______zt3" localSheetId="54">#REF!</definedName>
    <definedName name="_______zt3" localSheetId="21">#REF!</definedName>
    <definedName name="_______zt3" localSheetId="51">#REF!</definedName>
    <definedName name="_______zt4" localSheetId="54">#REF!</definedName>
    <definedName name="_______zt4" localSheetId="21">#REF!</definedName>
    <definedName name="_______zt4" localSheetId="51">#REF!</definedName>
    <definedName name="_______zt5" localSheetId="54">#REF!</definedName>
    <definedName name="_______zt5" localSheetId="21">#REF!</definedName>
    <definedName name="_______zt5" localSheetId="51">#REF!</definedName>
    <definedName name="_______zt51" localSheetId="54">#REF!</definedName>
    <definedName name="_______zt51" localSheetId="21">#REF!</definedName>
    <definedName name="_______zt51" localSheetId="51">#REF!</definedName>
    <definedName name="_______zt6" localSheetId="54">#REF!</definedName>
    <definedName name="_______zt6" localSheetId="21">#REF!</definedName>
    <definedName name="_______zt6" localSheetId="51">#REF!</definedName>
    <definedName name="_______zt7" localSheetId="54">#REF!</definedName>
    <definedName name="_______zt7" localSheetId="21">#REF!</definedName>
    <definedName name="_______zt7" localSheetId="51">#REF!</definedName>
    <definedName name="_______zt8" localSheetId="54">#REF!</definedName>
    <definedName name="_______zt8" localSheetId="21">#REF!</definedName>
    <definedName name="_______zt8" localSheetId="51">#REF!</definedName>
    <definedName name="_______zt9">[1]s!$B$5</definedName>
    <definedName name="______zt9">[1]s!$B$5</definedName>
    <definedName name="_____nt1" localSheetId="54">#REF!</definedName>
    <definedName name="_____nt1" localSheetId="21">#REF!</definedName>
    <definedName name="_____nt1" localSheetId="51">#REF!</definedName>
    <definedName name="_____nt2" localSheetId="54">#REF!</definedName>
    <definedName name="_____nt2" localSheetId="21">#REF!</definedName>
    <definedName name="_____nt2" localSheetId="51">#REF!</definedName>
    <definedName name="_____nt3" localSheetId="54">#REF!</definedName>
    <definedName name="_____nt3" localSheetId="21">#REF!</definedName>
    <definedName name="_____nt3" localSheetId="51">#REF!</definedName>
    <definedName name="_____nt4" localSheetId="54">#REF!</definedName>
    <definedName name="_____nt4" localSheetId="21">#REF!</definedName>
    <definedName name="_____nt4" localSheetId="51">#REF!</definedName>
    <definedName name="_____nt5" localSheetId="54">#REF!</definedName>
    <definedName name="_____nt5" localSheetId="21">#REF!</definedName>
    <definedName name="_____nt5" localSheetId="51">#REF!</definedName>
    <definedName name="_____nt6" localSheetId="54">#REF!</definedName>
    <definedName name="_____nt6" localSheetId="21">#REF!</definedName>
    <definedName name="_____nt6" localSheetId="51">#REF!</definedName>
    <definedName name="_____nt7" localSheetId="54">#REF!</definedName>
    <definedName name="_____nt7" localSheetId="21">#REF!</definedName>
    <definedName name="_____nt7" localSheetId="51">#REF!</definedName>
    <definedName name="_____nt8" localSheetId="54">#REF!</definedName>
    <definedName name="_____nt8" localSheetId="21">#REF!</definedName>
    <definedName name="_____nt8" localSheetId="51">#REF!</definedName>
    <definedName name="_____nt9" localSheetId="54">#REF!</definedName>
    <definedName name="_____nt9" localSheetId="21">#REF!</definedName>
    <definedName name="_____nt9" localSheetId="51">#REF!</definedName>
    <definedName name="_____tt5" localSheetId="54">#REF!</definedName>
    <definedName name="_____tt5" localSheetId="21">#REF!</definedName>
    <definedName name="_____tt5" localSheetId="51">#REF!</definedName>
    <definedName name="_____tt6" localSheetId="54">#REF!</definedName>
    <definedName name="_____tt6" localSheetId="21">#REF!</definedName>
    <definedName name="_____tt6" localSheetId="51">#REF!</definedName>
    <definedName name="_____ttt5" localSheetId="54">#REF!</definedName>
    <definedName name="_____ttt5" localSheetId="21">#REF!</definedName>
    <definedName name="_____ttt5" localSheetId="51">#REF!</definedName>
    <definedName name="_____zt2" localSheetId="54">#REF!</definedName>
    <definedName name="_____zt2" localSheetId="21">#REF!</definedName>
    <definedName name="_____zt2" localSheetId="51">#REF!</definedName>
    <definedName name="_____zt3" localSheetId="54">#REF!</definedName>
    <definedName name="_____zt3" localSheetId="21">#REF!</definedName>
    <definedName name="_____zt3" localSheetId="51">#REF!</definedName>
    <definedName name="_____zt4" localSheetId="54">#REF!</definedName>
    <definedName name="_____zt4" localSheetId="21">#REF!</definedName>
    <definedName name="_____zt4" localSheetId="51">#REF!</definedName>
    <definedName name="_____zt5" localSheetId="54">#REF!</definedName>
    <definedName name="_____zt5" localSheetId="21">#REF!</definedName>
    <definedName name="_____zt5" localSheetId="51">#REF!</definedName>
    <definedName name="_____zt51" localSheetId="54">#REF!</definedName>
    <definedName name="_____zt51" localSheetId="21">#REF!</definedName>
    <definedName name="_____zt51" localSheetId="51">#REF!</definedName>
    <definedName name="_____zt6" localSheetId="54">#REF!</definedName>
    <definedName name="_____zt6" localSheetId="21">#REF!</definedName>
    <definedName name="_____zt6" localSheetId="51">#REF!</definedName>
    <definedName name="_____zt7" localSheetId="54">#REF!</definedName>
    <definedName name="_____zt7" localSheetId="21">#REF!</definedName>
    <definedName name="_____zt7" localSheetId="51">#REF!</definedName>
    <definedName name="_____zt8" localSheetId="54">#REF!</definedName>
    <definedName name="_____zt8" localSheetId="21">#REF!</definedName>
    <definedName name="_____zt8" localSheetId="51">#REF!</definedName>
    <definedName name="_____zt9">[2]s!$B$5</definedName>
    <definedName name="____zt9">[1]s!$B$5</definedName>
    <definedName name="___nt1" localSheetId="53">#REF!</definedName>
    <definedName name="___nt1" localSheetId="44">#REF!</definedName>
    <definedName name="___nt1" localSheetId="0">#REF!</definedName>
    <definedName name="___nt1" localSheetId="54">#REF!</definedName>
    <definedName name="___nt1" localSheetId="21">#REF!</definedName>
    <definedName name="___nt1" localSheetId="23">#REF!</definedName>
    <definedName name="___nt1" localSheetId="51">#REF!</definedName>
    <definedName name="___nt2" localSheetId="53">#REF!</definedName>
    <definedName name="___nt2" localSheetId="44">#REF!</definedName>
    <definedName name="___nt2" localSheetId="0">#REF!</definedName>
    <definedName name="___nt2" localSheetId="54">#REF!</definedName>
    <definedName name="___nt2" localSheetId="21">#REF!</definedName>
    <definedName name="___nt2" localSheetId="23">#REF!</definedName>
    <definedName name="___nt2" localSheetId="51">#REF!</definedName>
    <definedName name="___nt3" localSheetId="53">#REF!</definedName>
    <definedName name="___nt3" localSheetId="44">#REF!</definedName>
    <definedName name="___nt3" localSheetId="0">#REF!</definedName>
    <definedName name="___nt3" localSheetId="54">#REF!</definedName>
    <definedName name="___nt3" localSheetId="21">#REF!</definedName>
    <definedName name="___nt3" localSheetId="23">#REF!</definedName>
    <definedName name="___nt3" localSheetId="51">#REF!</definedName>
    <definedName name="___nt4" localSheetId="53">#REF!</definedName>
    <definedName name="___nt4" localSheetId="44">#REF!</definedName>
    <definedName name="___nt4" localSheetId="0">#REF!</definedName>
    <definedName name="___nt4" localSheetId="54">#REF!</definedName>
    <definedName name="___nt4" localSheetId="21">#REF!</definedName>
    <definedName name="___nt4" localSheetId="23">#REF!</definedName>
    <definedName name="___nt4" localSheetId="51">#REF!</definedName>
    <definedName name="___nt5" localSheetId="53">#REF!</definedName>
    <definedName name="___nt5" localSheetId="44">#REF!</definedName>
    <definedName name="___nt5" localSheetId="0">#REF!</definedName>
    <definedName name="___nt5" localSheetId="54">#REF!</definedName>
    <definedName name="___nt5" localSheetId="21">#REF!</definedName>
    <definedName name="___nt5" localSheetId="23">#REF!</definedName>
    <definedName name="___nt5" localSheetId="51">#REF!</definedName>
    <definedName name="___nt6" localSheetId="53">#REF!</definedName>
    <definedName name="___nt6" localSheetId="44">#REF!</definedName>
    <definedName name="___nt6" localSheetId="0">#REF!</definedName>
    <definedName name="___nt6" localSheetId="54">#REF!</definedName>
    <definedName name="___nt6" localSheetId="21">#REF!</definedName>
    <definedName name="___nt6" localSheetId="23">#REF!</definedName>
    <definedName name="___nt6" localSheetId="51">#REF!</definedName>
    <definedName name="___nt7" localSheetId="53">#REF!</definedName>
    <definedName name="___nt7" localSheetId="44">#REF!</definedName>
    <definedName name="___nt7" localSheetId="0">#REF!</definedName>
    <definedName name="___nt7" localSheetId="54">#REF!</definedName>
    <definedName name="___nt7" localSheetId="21">#REF!</definedName>
    <definedName name="___nt7" localSheetId="23">#REF!</definedName>
    <definedName name="___nt7" localSheetId="51">#REF!</definedName>
    <definedName name="___nt8" localSheetId="53">#REF!</definedName>
    <definedName name="___nt8" localSheetId="44">#REF!</definedName>
    <definedName name="___nt8" localSheetId="0">#REF!</definedName>
    <definedName name="___nt8" localSheetId="54">#REF!</definedName>
    <definedName name="___nt8" localSheetId="21">#REF!</definedName>
    <definedName name="___nt8" localSheetId="23">#REF!</definedName>
    <definedName name="___nt8" localSheetId="51">#REF!</definedName>
    <definedName name="___nt9" localSheetId="53">#REF!</definedName>
    <definedName name="___nt9" localSheetId="44">#REF!</definedName>
    <definedName name="___nt9" localSheetId="0">#REF!</definedName>
    <definedName name="___nt9" localSheetId="54">#REF!</definedName>
    <definedName name="___nt9" localSheetId="21">#REF!</definedName>
    <definedName name="___nt9" localSheetId="23">#REF!</definedName>
    <definedName name="___nt9" localSheetId="51">#REF!</definedName>
    <definedName name="___tt5" localSheetId="53">#REF!</definedName>
    <definedName name="___tt5" localSheetId="44">#REF!</definedName>
    <definedName name="___tt5" localSheetId="0">#REF!</definedName>
    <definedName name="___tt5" localSheetId="54">#REF!</definedName>
    <definedName name="___tt5" localSheetId="21">#REF!</definedName>
    <definedName name="___tt5" localSheetId="23">#REF!</definedName>
    <definedName name="___tt5" localSheetId="51">#REF!</definedName>
    <definedName name="___tt6" localSheetId="53">#REF!</definedName>
    <definedName name="___tt6" localSheetId="44">#REF!</definedName>
    <definedName name="___tt6" localSheetId="0">#REF!</definedName>
    <definedName name="___tt6" localSheetId="54">#REF!</definedName>
    <definedName name="___tt6" localSheetId="21">#REF!</definedName>
    <definedName name="___tt6" localSheetId="23">#REF!</definedName>
    <definedName name="___tt6" localSheetId="51">#REF!</definedName>
    <definedName name="___ttt5" localSheetId="53">#REF!</definedName>
    <definedName name="___ttt5" localSheetId="44">#REF!</definedName>
    <definedName name="___ttt5" localSheetId="0">#REF!</definedName>
    <definedName name="___ttt5" localSheetId="54">#REF!</definedName>
    <definedName name="___ttt5" localSheetId="21">#REF!</definedName>
    <definedName name="___ttt5" localSheetId="23">#REF!</definedName>
    <definedName name="___ttt5" localSheetId="51">#REF!</definedName>
    <definedName name="___zt2" localSheetId="53">#REF!</definedName>
    <definedName name="___zt2" localSheetId="44">#REF!</definedName>
    <definedName name="___zt2" localSheetId="0">#REF!</definedName>
    <definedName name="___zt2" localSheetId="54">#REF!</definedName>
    <definedName name="___zt2" localSheetId="21">#REF!</definedName>
    <definedName name="___zt2" localSheetId="23">#REF!</definedName>
    <definedName name="___zt2" localSheetId="51">#REF!</definedName>
    <definedName name="___zt3" localSheetId="53">#REF!</definedName>
    <definedName name="___zt3" localSheetId="44">#REF!</definedName>
    <definedName name="___zt3" localSheetId="0">#REF!</definedName>
    <definedName name="___zt3" localSheetId="54">#REF!</definedName>
    <definedName name="___zt3" localSheetId="21">#REF!</definedName>
    <definedName name="___zt3" localSheetId="23">#REF!</definedName>
    <definedName name="___zt3" localSheetId="51">#REF!</definedName>
    <definedName name="___zt4" localSheetId="53">#REF!</definedName>
    <definedName name="___zt4" localSheetId="44">#REF!</definedName>
    <definedName name="___zt4" localSheetId="0">#REF!</definedName>
    <definedName name="___zt4" localSheetId="54">#REF!</definedName>
    <definedName name="___zt4" localSheetId="21">#REF!</definedName>
    <definedName name="___zt4" localSheetId="23">#REF!</definedName>
    <definedName name="___zt4" localSheetId="51">#REF!</definedName>
    <definedName name="___zt5" localSheetId="53">#REF!</definedName>
    <definedName name="___zt5" localSheetId="44">#REF!</definedName>
    <definedName name="___zt5" localSheetId="0">#REF!</definedName>
    <definedName name="___zt5" localSheetId="54">#REF!</definedName>
    <definedName name="___zt5" localSheetId="21">#REF!</definedName>
    <definedName name="___zt5" localSheetId="23">#REF!</definedName>
    <definedName name="___zt5" localSheetId="51">#REF!</definedName>
    <definedName name="___zt51" localSheetId="53">#REF!</definedName>
    <definedName name="___zt51" localSheetId="44">#REF!</definedName>
    <definedName name="___zt51" localSheetId="0">#REF!</definedName>
    <definedName name="___zt51" localSheetId="54">#REF!</definedName>
    <definedName name="___zt51" localSheetId="21">#REF!</definedName>
    <definedName name="___zt51" localSheetId="23">#REF!</definedName>
    <definedName name="___zt51" localSheetId="51">#REF!</definedName>
    <definedName name="___zt6" localSheetId="53">#REF!</definedName>
    <definedName name="___zt6" localSheetId="44">#REF!</definedName>
    <definedName name="___zt6" localSheetId="0">#REF!</definedName>
    <definedName name="___zt6" localSheetId="54">#REF!</definedName>
    <definedName name="___zt6" localSheetId="21">#REF!</definedName>
    <definedName name="___zt6" localSheetId="23">#REF!</definedName>
    <definedName name="___zt6" localSheetId="51">#REF!</definedName>
    <definedName name="___zt7" localSheetId="53">#REF!</definedName>
    <definedName name="___zt7" localSheetId="44">#REF!</definedName>
    <definedName name="___zt7" localSheetId="0">#REF!</definedName>
    <definedName name="___zt7" localSheetId="54">#REF!</definedName>
    <definedName name="___zt7" localSheetId="21">#REF!</definedName>
    <definedName name="___zt7" localSheetId="23">#REF!</definedName>
    <definedName name="___zt7" localSheetId="51">#REF!</definedName>
    <definedName name="___zt8" localSheetId="53">#REF!</definedName>
    <definedName name="___zt8" localSheetId="44">#REF!</definedName>
    <definedName name="___zt8" localSheetId="0">#REF!</definedName>
    <definedName name="___zt8" localSheetId="54">#REF!</definedName>
    <definedName name="___zt8" localSheetId="21">#REF!</definedName>
    <definedName name="___zt8" localSheetId="23">#REF!</definedName>
    <definedName name="___zt8" localSheetId="51">#REF!</definedName>
    <definedName name="___zt9">[1]s!$B$5</definedName>
    <definedName name="__nt1" localSheetId="57">#REF!</definedName>
    <definedName name="__nt1" localSheetId="20">#REF!</definedName>
    <definedName name="__nt1" localSheetId="54">#REF!</definedName>
    <definedName name="__nt1" localSheetId="21">#REF!</definedName>
    <definedName name="__nt1" localSheetId="51">#REF!</definedName>
    <definedName name="__nt2" localSheetId="57">#REF!</definedName>
    <definedName name="__nt2" localSheetId="20">#REF!</definedName>
    <definedName name="__nt2" localSheetId="54">#REF!</definedName>
    <definedName name="__nt2" localSheetId="21">#REF!</definedName>
    <definedName name="__nt2" localSheetId="51">#REF!</definedName>
    <definedName name="__nt3" localSheetId="57">#REF!</definedName>
    <definedName name="__nt3" localSheetId="20">#REF!</definedName>
    <definedName name="__nt3" localSheetId="54">#REF!</definedName>
    <definedName name="__nt3" localSheetId="21">#REF!</definedName>
    <definedName name="__nt3" localSheetId="51">#REF!</definedName>
    <definedName name="__nt4" localSheetId="57">#REF!</definedName>
    <definedName name="__nt4" localSheetId="20">#REF!</definedName>
    <definedName name="__nt4" localSheetId="54">#REF!</definedName>
    <definedName name="__nt4" localSheetId="21">#REF!</definedName>
    <definedName name="__nt4" localSheetId="51">#REF!</definedName>
    <definedName name="__nt5" localSheetId="57">#REF!</definedName>
    <definedName name="__nt5" localSheetId="20">#REF!</definedName>
    <definedName name="__nt5" localSheetId="54">#REF!</definedName>
    <definedName name="__nt5" localSheetId="21">#REF!</definedName>
    <definedName name="__nt5" localSheetId="51">#REF!</definedName>
    <definedName name="__nt6" localSheetId="57">#REF!</definedName>
    <definedName name="__nt6" localSheetId="20">#REF!</definedName>
    <definedName name="__nt6" localSheetId="54">#REF!</definedName>
    <definedName name="__nt6" localSheetId="21">#REF!</definedName>
    <definedName name="__nt6" localSheetId="51">#REF!</definedName>
    <definedName name="__nt7" localSheetId="57">#REF!</definedName>
    <definedName name="__nt7" localSheetId="20">#REF!</definedName>
    <definedName name="__nt7" localSheetId="54">#REF!</definedName>
    <definedName name="__nt7" localSheetId="21">#REF!</definedName>
    <definedName name="__nt7" localSheetId="51">#REF!</definedName>
    <definedName name="__nt8" localSheetId="57">#REF!</definedName>
    <definedName name="__nt8" localSheetId="20">#REF!</definedName>
    <definedName name="__nt8" localSheetId="54">#REF!</definedName>
    <definedName name="__nt8" localSheetId="21">#REF!</definedName>
    <definedName name="__nt8" localSheetId="51">#REF!</definedName>
    <definedName name="__nt9" localSheetId="57">#REF!</definedName>
    <definedName name="__nt9" localSheetId="20">#REF!</definedName>
    <definedName name="__nt9" localSheetId="54">#REF!</definedName>
    <definedName name="__nt9" localSheetId="21">#REF!</definedName>
    <definedName name="__nt9" localSheetId="51">#REF!</definedName>
    <definedName name="__tt5" localSheetId="57">#REF!</definedName>
    <definedName name="__tt5" localSheetId="20">#REF!</definedName>
    <definedName name="__tt5" localSheetId="54">#REF!</definedName>
    <definedName name="__tt5" localSheetId="21">#REF!</definedName>
    <definedName name="__tt5" localSheetId="51">#REF!</definedName>
    <definedName name="__tt6" localSheetId="57">#REF!</definedName>
    <definedName name="__tt6" localSheetId="20">#REF!</definedName>
    <definedName name="__tt6" localSheetId="54">#REF!</definedName>
    <definedName name="__tt6" localSheetId="21">#REF!</definedName>
    <definedName name="__tt6" localSheetId="51">#REF!</definedName>
    <definedName name="__ttt5" localSheetId="57">#REF!</definedName>
    <definedName name="__ttt5" localSheetId="20">#REF!</definedName>
    <definedName name="__ttt5" localSheetId="54">#REF!</definedName>
    <definedName name="__ttt5" localSheetId="21">#REF!</definedName>
    <definedName name="__ttt5" localSheetId="51">#REF!</definedName>
    <definedName name="__zt2" localSheetId="57">#REF!</definedName>
    <definedName name="__zt2" localSheetId="20">#REF!</definedName>
    <definedName name="__zt2" localSheetId="54">#REF!</definedName>
    <definedName name="__zt2" localSheetId="21">#REF!</definedName>
    <definedName name="__zt2" localSheetId="51">#REF!</definedName>
    <definedName name="__zt3" localSheetId="57">#REF!</definedName>
    <definedName name="__zt3" localSheetId="20">#REF!</definedName>
    <definedName name="__zt3" localSheetId="54">#REF!</definedName>
    <definedName name="__zt3" localSheetId="21">#REF!</definedName>
    <definedName name="__zt3" localSheetId="51">#REF!</definedName>
    <definedName name="__zt4" localSheetId="57">#REF!</definedName>
    <definedName name="__zt4" localSheetId="20">#REF!</definedName>
    <definedName name="__zt4" localSheetId="54">#REF!</definedName>
    <definedName name="__zt4" localSheetId="21">#REF!</definedName>
    <definedName name="__zt4" localSheetId="51">#REF!</definedName>
    <definedName name="__zt5" localSheetId="57">#REF!</definedName>
    <definedName name="__zt5" localSheetId="20">#REF!</definedName>
    <definedName name="__zt5" localSheetId="54">#REF!</definedName>
    <definedName name="__zt5" localSheetId="21">#REF!</definedName>
    <definedName name="__zt5" localSheetId="51">#REF!</definedName>
    <definedName name="__zt51" localSheetId="57">#REF!</definedName>
    <definedName name="__zt51" localSheetId="20">#REF!</definedName>
    <definedName name="__zt51" localSheetId="54">#REF!</definedName>
    <definedName name="__zt51" localSheetId="21">#REF!</definedName>
    <definedName name="__zt51" localSheetId="51">#REF!</definedName>
    <definedName name="__zt6" localSheetId="57">#REF!</definedName>
    <definedName name="__zt6" localSheetId="20">#REF!</definedName>
    <definedName name="__zt6" localSheetId="54">#REF!</definedName>
    <definedName name="__zt6" localSheetId="21">#REF!</definedName>
    <definedName name="__zt6" localSheetId="51">#REF!</definedName>
    <definedName name="__zt7" localSheetId="57">#REF!</definedName>
    <definedName name="__zt7" localSheetId="20">#REF!</definedName>
    <definedName name="__zt7" localSheetId="54">#REF!</definedName>
    <definedName name="__zt7" localSheetId="21">#REF!</definedName>
    <definedName name="__zt7" localSheetId="51">#REF!</definedName>
    <definedName name="__zt8" localSheetId="57">#REF!</definedName>
    <definedName name="__zt8" localSheetId="20">#REF!</definedName>
    <definedName name="__zt8" localSheetId="54">#REF!</definedName>
    <definedName name="__zt8" localSheetId="21">#REF!</definedName>
    <definedName name="__zt8" localSheetId="51">#REF!</definedName>
    <definedName name="__zt9">[1]s!$B$5</definedName>
    <definedName name="_Key1" localSheetId="57" hidden="1">#REF!</definedName>
    <definedName name="_Key1" localSheetId="54" hidden="1">#REF!</definedName>
    <definedName name="_Key1" localSheetId="21" hidden="1">#REF!</definedName>
    <definedName name="_Key1" localSheetId="51" hidden="1">#REF!</definedName>
    <definedName name="_nt1" localSheetId="53">#REF!</definedName>
    <definedName name="_nt1" localSheetId="57">#REF!</definedName>
    <definedName name="_nt1" localSheetId="20">#REF!</definedName>
    <definedName name="_nt1" localSheetId="44">#REF!</definedName>
    <definedName name="_nt1" localSheetId="0">#REF!</definedName>
    <definedName name="_nt1" localSheetId="54">#REF!</definedName>
    <definedName name="_nt1" localSheetId="21">#REF!</definedName>
    <definedName name="_nt1" localSheetId="23">#REF!</definedName>
    <definedName name="_nt1" localSheetId="51">#REF!</definedName>
    <definedName name="_nt2" localSheetId="53">#REF!</definedName>
    <definedName name="_nt2" localSheetId="57">#REF!</definedName>
    <definedName name="_nt2" localSheetId="20">#REF!</definedName>
    <definedName name="_nt2" localSheetId="44">#REF!</definedName>
    <definedName name="_nt2" localSheetId="0">#REF!</definedName>
    <definedName name="_nt2" localSheetId="54">#REF!</definedName>
    <definedName name="_nt2" localSheetId="21">#REF!</definedName>
    <definedName name="_nt2" localSheetId="23">#REF!</definedName>
    <definedName name="_nt2" localSheetId="51">#REF!</definedName>
    <definedName name="_nt3" localSheetId="53">#REF!</definedName>
    <definedName name="_nt3" localSheetId="57">#REF!</definedName>
    <definedName name="_nt3" localSheetId="20">#REF!</definedName>
    <definedName name="_nt3" localSheetId="44">#REF!</definedName>
    <definedName name="_nt3" localSheetId="0">#REF!</definedName>
    <definedName name="_nt3" localSheetId="54">#REF!</definedName>
    <definedName name="_nt3" localSheetId="21">#REF!</definedName>
    <definedName name="_nt3" localSheetId="23">#REF!</definedName>
    <definedName name="_nt3" localSheetId="51">#REF!</definedName>
    <definedName name="_nt4" localSheetId="53">#REF!</definedName>
    <definedName name="_nt4" localSheetId="57">#REF!</definedName>
    <definedName name="_nt4" localSheetId="20">#REF!</definedName>
    <definedName name="_nt4" localSheetId="44">#REF!</definedName>
    <definedName name="_nt4" localSheetId="0">#REF!</definedName>
    <definedName name="_nt4" localSheetId="54">#REF!</definedName>
    <definedName name="_nt4" localSheetId="21">#REF!</definedName>
    <definedName name="_nt4" localSheetId="23">#REF!</definedName>
    <definedName name="_nt4" localSheetId="51">#REF!</definedName>
    <definedName name="_nt5" localSheetId="53">#REF!</definedName>
    <definedName name="_nt5" localSheetId="57">#REF!</definedName>
    <definedName name="_nt5" localSheetId="20">#REF!</definedName>
    <definedName name="_nt5" localSheetId="44">#REF!</definedName>
    <definedName name="_nt5" localSheetId="0">#REF!</definedName>
    <definedName name="_nt5" localSheetId="54">#REF!</definedName>
    <definedName name="_nt5" localSheetId="21">#REF!</definedName>
    <definedName name="_nt5" localSheetId="23">#REF!</definedName>
    <definedName name="_nt5" localSheetId="51">#REF!</definedName>
    <definedName name="_nt6" localSheetId="53">#REF!</definedName>
    <definedName name="_nt6" localSheetId="57">#REF!</definedName>
    <definedName name="_nt6" localSheetId="20">#REF!</definedName>
    <definedName name="_nt6" localSheetId="44">#REF!</definedName>
    <definedName name="_nt6" localSheetId="0">#REF!</definedName>
    <definedName name="_nt6" localSheetId="54">#REF!</definedName>
    <definedName name="_nt6" localSheetId="21">#REF!</definedName>
    <definedName name="_nt6" localSheetId="23">#REF!</definedName>
    <definedName name="_nt6" localSheetId="51">#REF!</definedName>
    <definedName name="_nt7" localSheetId="53">#REF!</definedName>
    <definedName name="_nt7" localSheetId="57">#REF!</definedName>
    <definedName name="_nt7" localSheetId="20">#REF!</definedName>
    <definedName name="_nt7" localSheetId="44">#REF!</definedName>
    <definedName name="_nt7" localSheetId="0">#REF!</definedName>
    <definedName name="_nt7" localSheetId="54">#REF!</definedName>
    <definedName name="_nt7" localSheetId="21">#REF!</definedName>
    <definedName name="_nt7" localSheetId="23">#REF!</definedName>
    <definedName name="_nt7" localSheetId="51">#REF!</definedName>
    <definedName name="_nt8" localSheetId="53">#REF!</definedName>
    <definedName name="_nt8" localSheetId="57">#REF!</definedName>
    <definedName name="_nt8" localSheetId="20">#REF!</definedName>
    <definedName name="_nt8" localSheetId="44">#REF!</definedName>
    <definedName name="_nt8" localSheetId="0">#REF!</definedName>
    <definedName name="_nt8" localSheetId="54">#REF!</definedName>
    <definedName name="_nt8" localSheetId="21">#REF!</definedName>
    <definedName name="_nt8" localSheetId="23">#REF!</definedName>
    <definedName name="_nt8" localSheetId="51">#REF!</definedName>
    <definedName name="_nt9" localSheetId="53">#REF!</definedName>
    <definedName name="_nt9" localSheetId="57">#REF!</definedName>
    <definedName name="_nt9" localSheetId="20">#REF!</definedName>
    <definedName name="_nt9" localSheetId="44">#REF!</definedName>
    <definedName name="_nt9" localSheetId="0">#REF!</definedName>
    <definedName name="_nt9" localSheetId="54">#REF!</definedName>
    <definedName name="_nt9" localSheetId="21">#REF!</definedName>
    <definedName name="_nt9" localSheetId="23">#REF!</definedName>
    <definedName name="_nt9" localSheetId="51">#REF!</definedName>
    <definedName name="_Order1" hidden="1">255</definedName>
    <definedName name="_Sort" localSheetId="57" hidden="1">#REF!</definedName>
    <definedName name="_Sort" localSheetId="54" hidden="1">#REF!</definedName>
    <definedName name="_Sort" localSheetId="21" hidden="1">#REF!</definedName>
    <definedName name="_Sort" localSheetId="51" hidden="1">#REF!</definedName>
    <definedName name="_tt5" localSheetId="53">#REF!</definedName>
    <definedName name="_tt5" localSheetId="57">#REF!</definedName>
    <definedName name="_tt5" localSheetId="20">#REF!</definedName>
    <definedName name="_tt5" localSheetId="44">#REF!</definedName>
    <definedName name="_tt5" localSheetId="0">#REF!</definedName>
    <definedName name="_tt5" localSheetId="54">#REF!</definedName>
    <definedName name="_tt5" localSheetId="21">#REF!</definedName>
    <definedName name="_tt5" localSheetId="23">#REF!</definedName>
    <definedName name="_tt5" localSheetId="51">#REF!</definedName>
    <definedName name="_tt6" localSheetId="53">#REF!</definedName>
    <definedName name="_tt6" localSheetId="57">#REF!</definedName>
    <definedName name="_tt6" localSheetId="20">#REF!</definedName>
    <definedName name="_tt6" localSheetId="44">#REF!</definedName>
    <definedName name="_tt6" localSheetId="0">#REF!</definedName>
    <definedName name="_tt6" localSheetId="54">#REF!</definedName>
    <definedName name="_tt6" localSheetId="21">#REF!</definedName>
    <definedName name="_tt6" localSheetId="23">#REF!</definedName>
    <definedName name="_tt6" localSheetId="51">#REF!</definedName>
    <definedName name="_ttt5" localSheetId="53">#REF!</definedName>
    <definedName name="_ttt5" localSheetId="57">#REF!</definedName>
    <definedName name="_ttt5" localSheetId="20">#REF!</definedName>
    <definedName name="_ttt5" localSheetId="44">#REF!</definedName>
    <definedName name="_ttt5" localSheetId="0">#REF!</definedName>
    <definedName name="_ttt5" localSheetId="54">#REF!</definedName>
    <definedName name="_ttt5" localSheetId="21">#REF!</definedName>
    <definedName name="_ttt5" localSheetId="23">#REF!</definedName>
    <definedName name="_ttt5" localSheetId="51">#REF!</definedName>
    <definedName name="_zt2" localSheetId="53">#REF!</definedName>
    <definedName name="_zt2" localSheetId="57">#REF!</definedName>
    <definedName name="_zt2" localSheetId="20">#REF!</definedName>
    <definedName name="_zt2" localSheetId="44">#REF!</definedName>
    <definedName name="_zt2" localSheetId="0">#REF!</definedName>
    <definedName name="_zt2" localSheetId="54">#REF!</definedName>
    <definedName name="_zt2" localSheetId="21">#REF!</definedName>
    <definedName name="_zt2" localSheetId="23">#REF!</definedName>
    <definedName name="_zt2" localSheetId="51">#REF!</definedName>
    <definedName name="_zt3" localSheetId="53">#REF!</definedName>
    <definedName name="_zt3" localSheetId="57">#REF!</definedName>
    <definedName name="_zt3" localSheetId="20">#REF!</definedName>
    <definedName name="_zt3" localSheetId="44">#REF!</definedName>
    <definedName name="_zt3" localSheetId="0">#REF!</definedName>
    <definedName name="_zt3" localSheetId="54">#REF!</definedName>
    <definedName name="_zt3" localSheetId="21">#REF!</definedName>
    <definedName name="_zt3" localSheetId="23">#REF!</definedName>
    <definedName name="_zt3" localSheetId="51">#REF!</definedName>
    <definedName name="_zt4" localSheetId="53">#REF!</definedName>
    <definedName name="_zt4" localSheetId="57">#REF!</definedName>
    <definedName name="_zt4" localSheetId="20">#REF!</definedName>
    <definedName name="_zt4" localSheetId="44">#REF!</definedName>
    <definedName name="_zt4" localSheetId="0">#REF!</definedName>
    <definedName name="_zt4" localSheetId="54">#REF!</definedName>
    <definedName name="_zt4" localSheetId="21">#REF!</definedName>
    <definedName name="_zt4" localSheetId="23">#REF!</definedName>
    <definedName name="_zt4" localSheetId="51">#REF!</definedName>
    <definedName name="_zt5" localSheetId="53">#REF!</definedName>
    <definedName name="_zt5" localSheetId="57">#REF!</definedName>
    <definedName name="_zt5" localSheetId="20">#REF!</definedName>
    <definedName name="_zt5" localSheetId="44">#REF!</definedName>
    <definedName name="_zt5" localSheetId="0">#REF!</definedName>
    <definedName name="_zt5" localSheetId="54">#REF!</definedName>
    <definedName name="_zt5" localSheetId="21">#REF!</definedName>
    <definedName name="_zt5" localSheetId="23">#REF!</definedName>
    <definedName name="_zt5" localSheetId="51">#REF!</definedName>
    <definedName name="_zt51" localSheetId="53">#REF!</definedName>
    <definedName name="_zt51" localSheetId="57">#REF!</definedName>
    <definedName name="_zt51" localSheetId="20">#REF!</definedName>
    <definedName name="_zt51" localSheetId="44">#REF!</definedName>
    <definedName name="_zt51" localSheetId="0">#REF!</definedName>
    <definedName name="_zt51" localSheetId="54">#REF!</definedName>
    <definedName name="_zt51" localSheetId="21">#REF!</definedName>
    <definedName name="_zt51" localSheetId="23">#REF!</definedName>
    <definedName name="_zt51" localSheetId="51">#REF!</definedName>
    <definedName name="_zt6" localSheetId="53">#REF!</definedName>
    <definedName name="_zt6" localSheetId="57">#REF!</definedName>
    <definedName name="_zt6" localSheetId="20">#REF!</definedName>
    <definedName name="_zt6" localSheetId="44">#REF!</definedName>
    <definedName name="_zt6" localSheetId="0">#REF!</definedName>
    <definedName name="_zt6" localSheetId="54">#REF!</definedName>
    <definedName name="_zt6" localSheetId="21">#REF!</definedName>
    <definedName name="_zt6" localSheetId="23">#REF!</definedName>
    <definedName name="_zt6" localSheetId="51">#REF!</definedName>
    <definedName name="_zt7" localSheetId="53">#REF!</definedName>
    <definedName name="_zt7" localSheetId="57">#REF!</definedName>
    <definedName name="_zt7" localSheetId="20">#REF!</definedName>
    <definedName name="_zt7" localSheetId="44">#REF!</definedName>
    <definedName name="_zt7" localSheetId="0">#REF!</definedName>
    <definedName name="_zt7" localSheetId="54">#REF!</definedName>
    <definedName name="_zt7" localSheetId="21">#REF!</definedName>
    <definedName name="_zt7" localSheetId="23">#REF!</definedName>
    <definedName name="_zt7" localSheetId="51">#REF!</definedName>
    <definedName name="_zt8" localSheetId="53">#REF!</definedName>
    <definedName name="_zt8" localSheetId="57">#REF!</definedName>
    <definedName name="_zt8" localSheetId="20">#REF!</definedName>
    <definedName name="_zt8" localSheetId="44">#REF!</definedName>
    <definedName name="_zt8" localSheetId="0">#REF!</definedName>
    <definedName name="_zt8" localSheetId="54">#REF!</definedName>
    <definedName name="_zt8" localSheetId="21">#REF!</definedName>
    <definedName name="_zt8" localSheetId="23">#REF!</definedName>
    <definedName name="_zt8" localSheetId="51">#REF!</definedName>
    <definedName name="_zt9">[3]s!$B$5</definedName>
    <definedName name="AccessDatabase" hidden="1">"C:\My Documents\vlad\Var_2\can270398v2t05.mdb"</definedName>
    <definedName name="afrn" localSheetId="86" hidden="1">{#N/A,#N/A,FALSE,"общепр.расх"}</definedName>
    <definedName name="afrn" localSheetId="109" hidden="1">{#N/A,#N/A,FALSE,"общепр.расх"}</definedName>
    <definedName name="afrn" localSheetId="76">{#N/A,#N/A,FALSE,"общепр.расх"}</definedName>
    <definedName name="afrn" localSheetId="53" hidden="1">{#N/A,#N/A,FALSE,"общепр.расх"}</definedName>
    <definedName name="afrn" localSheetId="77" hidden="1">{#N/A,#N/A,FALSE,"общепр.расх"}</definedName>
    <definedName name="afrn" localSheetId="1" hidden="1">{#N/A,#N/A,FALSE,"общепр.расх"}</definedName>
    <definedName name="afrn" localSheetId="57" hidden="1">{#N/A,#N/A,FALSE,"общепр.расх"}</definedName>
    <definedName name="afrn" localSheetId="99" hidden="1">{#N/A,#N/A,FALSE,"общепр.расх"}</definedName>
    <definedName name="afrn" localSheetId="20" hidden="1">{#N/A,#N/A,FALSE,"общепр.расх"}</definedName>
    <definedName name="afrn" localSheetId="106" hidden="1">{#N/A,#N/A,FALSE,"общепр.расх"}</definedName>
    <definedName name="afrn" localSheetId="54" hidden="1">{#N/A,#N/A,FALSE,"общепр.расх"}</definedName>
    <definedName name="afrn" localSheetId="2" hidden="1">{#N/A,#N/A,FALSE,"общепр.расх"}</definedName>
    <definedName name="afrn" localSheetId="21" hidden="1">{#N/A,#N/A,FALSE,"общепр.расх"}</definedName>
    <definedName name="afrn" localSheetId="33" hidden="1">{#N/A,#N/A,FALSE,"общепр.расх"}</definedName>
    <definedName name="afrn" localSheetId="29" hidden="1">{#N/A,#N/A,FALSE,"общепр.расх"}</definedName>
    <definedName name="afrn" localSheetId="51" hidden="1">{#N/A,#N/A,FALSE,"общепр.расх"}</definedName>
    <definedName name="anscount" hidden="1">1</definedName>
    <definedName name="BASE_METHOD">[4]Титульный!$F$21</definedName>
    <definedName name="CURRENT_PERIOD_FOR_RAB">[4]Титульный!$F$17</definedName>
    <definedName name="Excel_BuiltIn_Print_Area" localSheetId="75">'2016 тсо кроме мрск'!$A$1:$F$78</definedName>
    <definedName name="Excel_BuiltIn_Print_Area" localSheetId="76">'2016 тсо НК Энергосб'!$A$1:$F$78</definedName>
    <definedName name="Excel_BuiltIn_Print_Area" localSheetId="74">'2тсо кроме мрск'!$A$1:$F$78</definedName>
    <definedName name="Excel_BuiltIn_Print_Area" localSheetId="57">NA()</definedName>
    <definedName name="Excel_BuiltIn_Print_Area_1" localSheetId="57">#REF!</definedName>
    <definedName name="Excel_BuiltIn_Print_Area_1" localSheetId="54">#REF!</definedName>
    <definedName name="Excel_BuiltIn_Print_Area_1" localSheetId="21">#REF!</definedName>
    <definedName name="Excel_BuiltIn_Print_Area_1" localSheetId="51">#REF!</definedName>
    <definedName name="Excel_BuiltIn_Print_Area_15" localSheetId="57">#REF!</definedName>
    <definedName name="Excel_BuiltIn_Print_Area_15" localSheetId="54">#REF!</definedName>
    <definedName name="Excel_BuiltIn_Print_Area_15" localSheetId="21">#REF!</definedName>
    <definedName name="Excel_BuiltIn_Print_Area_15" localSheetId="51">#REF!</definedName>
    <definedName name="Excel_BuiltIn_Print_Area_20" localSheetId="57">#REF!</definedName>
    <definedName name="Excel_BuiltIn_Print_Area_20" localSheetId="54">#REF!</definedName>
    <definedName name="Excel_BuiltIn_Print_Area_20" localSheetId="21">#REF!</definedName>
    <definedName name="Excel_BuiltIn_Print_Area_20" localSheetId="51">#REF!</definedName>
    <definedName name="Excel_BuiltIn_Print_Area_20_1" localSheetId="57">#REF!</definedName>
    <definedName name="Excel_BuiltIn_Print_Area_20_1" localSheetId="54">#REF!</definedName>
    <definedName name="Excel_BuiltIn_Print_Area_20_1" localSheetId="21">#REF!</definedName>
    <definedName name="Excel_BuiltIn_Print_Area_20_1" localSheetId="51">#REF!</definedName>
    <definedName name="Excel_BuiltIn_Print_Area_3" localSheetId="57">#REF!</definedName>
    <definedName name="Excel_BuiltIn_Print_Area_3" localSheetId="54">#REF!</definedName>
    <definedName name="Excel_BuiltIn_Print_Area_3" localSheetId="21">#REF!</definedName>
    <definedName name="Excel_BuiltIn_Print_Area_3" localSheetId="51">#REF!</definedName>
    <definedName name="Excel_BuiltIn_Print_Area_7" localSheetId="57">#REF!</definedName>
    <definedName name="Excel_BuiltIn_Print_Area_7" localSheetId="54">#REF!</definedName>
    <definedName name="Excel_BuiltIn_Print_Area_7" localSheetId="21">#REF!</definedName>
    <definedName name="Excel_BuiltIn_Print_Area_7" localSheetId="51">#REF!</definedName>
    <definedName name="Excel_BuiltIn_Print_Area_8" localSheetId="57">#REF!</definedName>
    <definedName name="Excel_BuiltIn_Print_Area_8" localSheetId="54">#REF!</definedName>
    <definedName name="Excel_BuiltIn_Print_Area_8" localSheetId="21">#REF!</definedName>
    <definedName name="Excel_BuiltIn_Print_Area_8" localSheetId="51">#REF!</definedName>
    <definedName name="FIRST_PERIOD_FOR_RAB">[4]Титульный!$M$7</definedName>
    <definedName name="ggg" localSheetId="53">#REF!</definedName>
    <definedName name="ggg" localSheetId="57">#REF!</definedName>
    <definedName name="ggg" localSheetId="20">#REF!</definedName>
    <definedName name="ggg" localSheetId="44">#REF!</definedName>
    <definedName name="ggg" localSheetId="0">#REF!</definedName>
    <definedName name="ggg" localSheetId="54">#REF!</definedName>
    <definedName name="ggg" localSheetId="21">#REF!</definedName>
    <definedName name="ggg" localSheetId="23">#REF!</definedName>
    <definedName name="ggg" localSheetId="51">#REF!</definedName>
    <definedName name="ggg_1">NA()</definedName>
    <definedName name="ggg_2">NA()</definedName>
    <definedName name="ggg_3">NA()</definedName>
    <definedName name="ggg_4">NA()</definedName>
    <definedName name="ggg_5">NA()</definedName>
    <definedName name="ggg_6">NA()</definedName>
    <definedName name="god">[4]Титульный!$M$5</definedName>
    <definedName name="hhh" localSheetId="53">#REF!</definedName>
    <definedName name="hhh" localSheetId="57">#REF!</definedName>
    <definedName name="hhh" localSheetId="20">#REF!</definedName>
    <definedName name="hhh" localSheetId="44">#REF!</definedName>
    <definedName name="hhh" localSheetId="0">#REF!</definedName>
    <definedName name="hhh" localSheetId="54">#REF!</definedName>
    <definedName name="hhh" localSheetId="21">#REF!</definedName>
    <definedName name="hhh" localSheetId="23">#REF!</definedName>
    <definedName name="hhh" localSheetId="51">#REF!</definedName>
    <definedName name="hhh_1">NA()</definedName>
    <definedName name="hhh_2">NA()</definedName>
    <definedName name="hhh_3">NA()</definedName>
    <definedName name="hhh_4">NA()</definedName>
    <definedName name="hhh_5">NA()</definedName>
    <definedName name="hhh_6">NA()</definedName>
    <definedName name="hklhkf" localSheetId="53">#REF!</definedName>
    <definedName name="hklhkf" localSheetId="57">#REF!</definedName>
    <definedName name="hklhkf" localSheetId="20">#REF!</definedName>
    <definedName name="hklhkf" localSheetId="44">#REF!</definedName>
    <definedName name="hklhkf" localSheetId="0">#REF!</definedName>
    <definedName name="hklhkf" localSheetId="54">#REF!</definedName>
    <definedName name="hklhkf" localSheetId="21">#REF!</definedName>
    <definedName name="hklhkf" localSheetId="23">#REF!</definedName>
    <definedName name="hklhkf" localSheetId="51">#REF!</definedName>
    <definedName name="hklhkf_1">NA()</definedName>
    <definedName name="hklhkf_2">NA()</definedName>
    <definedName name="hklhkf_3">NA()</definedName>
    <definedName name="hklhkf_4">NA()</definedName>
    <definedName name="hklhkf_5">NA()</definedName>
    <definedName name="hklhkf_6">NA()</definedName>
    <definedName name="jjj" localSheetId="57">[1]s!#REF!</definedName>
    <definedName name="jjj" localSheetId="20">[1]s!#REF!</definedName>
    <definedName name="jjj" localSheetId="44">[1]s!#REF!</definedName>
    <definedName name="jjj" localSheetId="0">[1]s!#REF!</definedName>
    <definedName name="jjj" localSheetId="54">[1]s!#REF!</definedName>
    <definedName name="jjj" localSheetId="21">[1]s!#REF!</definedName>
    <definedName name="jjj" localSheetId="23">[1]s!#REF!</definedName>
    <definedName name="jjj" localSheetId="51">[1]s!#REF!</definedName>
    <definedName name="jjj_1">NA()</definedName>
    <definedName name="jjj_2">NA()</definedName>
    <definedName name="jjj_3">NA()</definedName>
    <definedName name="jjj_4">NA()</definedName>
    <definedName name="jjj_5">NA()</definedName>
    <definedName name="jjj_6">NA()</definedName>
    <definedName name="limcount" hidden="1">1</definedName>
    <definedName name="LONGTERM_SECTION_2_2">'[4]Расчёт расходов долгосрочный'!$G$33:$AB$33</definedName>
    <definedName name="LONGTERM_SECTION_5_1">'[4]Расчёт расходов долгосрочный'!$C$69</definedName>
    <definedName name="LONGTERM_SECTION_5_12">'[4]Расчёт расходов долгосрочный'!$I$86:$AB$86</definedName>
    <definedName name="LONGTERM_SECTION_5_6">'[4]Расчёт расходов долгосрочный'!$G$78:$AB$78</definedName>
    <definedName name="LONGTERM_SECTION_7">'[4]Расчёт расходов долгосрочный'!$I$94:$AB$94</definedName>
    <definedName name="LONGTERM_SECTION_INDEX">'[4]Расчёт расходов долгосрочный'!$G$22:$AB$22</definedName>
    <definedName name="LONGTERM_SECTION_MANAGED_COSTS">'[4]Расчёт расходов долгосрочный'!$G$63:$AB$63</definedName>
    <definedName name="LONGTERM_YEARS">'[4]Расчёт расходов долгосрочный'!$I$8:$AB$8</definedName>
    <definedName name="nt1_1">NA()</definedName>
    <definedName name="nt1_2">NA()</definedName>
    <definedName name="nt1_3">NA()</definedName>
    <definedName name="nt1_4">NA()</definedName>
    <definedName name="nt1_5">NA()</definedName>
    <definedName name="nt1_6">NA()</definedName>
    <definedName name="nt2_1">NA()</definedName>
    <definedName name="nt2_2">NA()</definedName>
    <definedName name="nt2_3">NA()</definedName>
    <definedName name="nt2_4">NA()</definedName>
    <definedName name="nt2_5">NA()</definedName>
    <definedName name="nt2_6">NA()</definedName>
    <definedName name="nt3_1">NA()</definedName>
    <definedName name="nt3_2">NA()</definedName>
    <definedName name="nt3_3">NA()</definedName>
    <definedName name="nt3_4">NA()</definedName>
    <definedName name="nt3_5">NA()</definedName>
    <definedName name="nt3_6">NA()</definedName>
    <definedName name="nt4_1">NA()</definedName>
    <definedName name="nt4_2">NA()</definedName>
    <definedName name="nt4_3">NA()</definedName>
    <definedName name="nt4_4">NA()</definedName>
    <definedName name="nt4_5">NA()</definedName>
    <definedName name="nt4_6">NA()</definedName>
    <definedName name="nt5_1" localSheetId="53">#REF!</definedName>
    <definedName name="nt5_1" localSheetId="57">#REF!</definedName>
    <definedName name="nt5_1" localSheetId="20">#REF!</definedName>
    <definedName name="nt5_1" localSheetId="44">#REF!</definedName>
    <definedName name="nt5_1" localSheetId="0">#REF!</definedName>
    <definedName name="nt5_1" localSheetId="54">#REF!</definedName>
    <definedName name="nt5_1" localSheetId="21">#REF!</definedName>
    <definedName name="nt5_1" localSheetId="23">#REF!</definedName>
    <definedName name="nt5_1" localSheetId="51">#REF!</definedName>
    <definedName name="nt5_1_1">NA()</definedName>
    <definedName name="nt5_1_1_1">NA()</definedName>
    <definedName name="nt5_1_2">NA()</definedName>
    <definedName name="nt5_1_3">NA()</definedName>
    <definedName name="nt5_1_4">NA()</definedName>
    <definedName name="nt5_1_5">NA()</definedName>
    <definedName name="nt5_1_6">NA()</definedName>
    <definedName name="nt5_2">NA()</definedName>
    <definedName name="nt5_3">NA()</definedName>
    <definedName name="nt5_4">NA()</definedName>
    <definedName name="nt5_5">NA()</definedName>
    <definedName name="nt5_6">NA()</definedName>
    <definedName name="nt6_1">NA()</definedName>
    <definedName name="nt6_2">NA()</definedName>
    <definedName name="nt6_3">NA()</definedName>
    <definedName name="nt6_4">NA()</definedName>
    <definedName name="nt6_5">NA()</definedName>
    <definedName name="nt6_6">NA()</definedName>
    <definedName name="nt7_1">NA()</definedName>
    <definedName name="nt7_2">NA()</definedName>
    <definedName name="nt7_3">NA()</definedName>
    <definedName name="nt7_4">NA()</definedName>
    <definedName name="nt7_5">NA()</definedName>
    <definedName name="nt7_6">NA()</definedName>
    <definedName name="nt8_1">NA()</definedName>
    <definedName name="nt8_2">NA()</definedName>
    <definedName name="nt8_3">NA()</definedName>
    <definedName name="nt8_4">NA()</definedName>
    <definedName name="nt8_5">NA()</definedName>
    <definedName name="nt8_6">NA()</definedName>
    <definedName name="nt9_1">NA()</definedName>
    <definedName name="nt9_2">NA()</definedName>
    <definedName name="nt9_3">NA()</definedName>
    <definedName name="nt9_4">NA()</definedName>
    <definedName name="nt9_5">NA()</definedName>
    <definedName name="nt9_6">NA()</definedName>
    <definedName name="NVV_BY_LEVELS_SMOOTHING_TOTAL_VALUES">'[4]НВВ по уровням'!$F$25,'[4]НВВ по уровням'!$F$38,'[4]НВВ по уровням'!$F$51,'[4]НВВ по уровням'!$F$64,'[4]НВВ по уровням'!$F$77,'[4]НВВ по уровням'!$F$90,'[4]НВВ по уровням'!$F$103,'[4]НВВ по уровням'!$F$116,'[4]НВВ по уровням'!$F$129,'[4]НВВ по уровням'!$F$142,'[4]НВВ по уровням'!$F$155,'[4]НВВ по уровням'!$F$168,'[4]НВВ по уровням'!$F$181,'[4]НВВ по уровням'!$F$194,'[4]НВВ по уровням'!$F$207,'[4]НВВ по уровням'!$F$220,'[4]НВВ по уровням'!$F$233,'[4]НВВ по уровням'!$F$246,'[4]НВВ по уровням'!$F$259,'[4]НВВ по уровням'!$F$272,'[4]НВВ по уровням'!$F$285,'[4]НВВ по уровням'!$F$298,'[4]НВВ по уровням'!$F$311,'[4]НВВ по уровням'!$F$324,'[4]НВВ по уровням'!$F$337,'[4]НВВ по уровням'!$F$350</definedName>
    <definedName name="NVV_BY_LEVELS_SMOOTHING_YEARS">'[4]НВВ по уровням'!$C$25,'[4]НВВ по уровням'!$C$38,'[4]НВВ по уровням'!$C$51,'[4]НВВ по уровням'!$C$64,'[4]НВВ по уровням'!$C$77,'[4]НВВ по уровням'!$C$90,'[4]НВВ по уровням'!$C$103,'[4]НВВ по уровням'!$C$116,'[4]НВВ по уровням'!$C$129,'[4]НВВ по уровням'!$C$142,'[4]НВВ по уровням'!$C$155,'[4]НВВ по уровням'!$C$168,'[4]НВВ по уровням'!$C$181,'[4]НВВ по уровням'!$C$194,'[4]НВВ по уровням'!$C$207,'[4]НВВ по уровням'!$C$220,'[4]НВВ по уровням'!$C$233,'[4]НВВ по уровням'!$C$246,'[4]НВВ по уровням'!$C$259,'[4]НВВ по уровням'!$C$272,'[4]НВВ по уровням'!$C$285,'[4]НВВ по уровням'!$C$298,'[4]НВВ по уровням'!$C$311,'[4]НВВ по уровням'!$C$324,'[4]НВВ по уровням'!$C$337,'[4]НВВ по уровням'!$C$350</definedName>
    <definedName name="org">[4]Титульный!$F$10</definedName>
    <definedName name="PREBASE_METHOD">[4]Титульный!$F$20</definedName>
    <definedName name="RAB_SECTION_2_3">'[4]Расчёт расходов RAB'!$G$33:$H$33,'[4]Расчёт расходов RAB'!$J$33:$K$33,'[4]Расчёт расходов RAB'!$M$33:$N$33,'[4]Расчёт расходов RAB'!$P$33:$Q$33,'[4]Расчёт расходов RAB'!$S$33:$T$33,'[4]Расчёт расходов RAB'!$V$33:$W$33,'[4]Расчёт расходов RAB'!$Y$33:$Z$33,'[4]Расчёт расходов RAB'!$AB$33:$AC$33,'[4]Расчёт расходов RAB'!$AE$33:$AF$33,'[4]Расчёт расходов RAB'!$AH$33:$AI$33,'[4]Расчёт расходов RAB'!$AK$33:$AL$33,'[4]Расчёт расходов RAB'!$AN$33:$AO$33,'[4]Расчёт расходов RAB'!$AQ$33:$AR$33</definedName>
    <definedName name="RAB_SECTION_3_6">'[4]Расчёт расходов RAB'!$G$71:$H$71,'[4]Расчёт расходов RAB'!$J$71:$K$71,'[4]Расчёт расходов RAB'!$M$71:$N$71,'[4]Расчёт расходов RAB'!$P$71:$Q$71,'[4]Расчёт расходов RAB'!$S$71:$T$71,'[4]Расчёт расходов RAB'!$V$71:$W$71,'[4]Расчёт расходов RAB'!$Y$71:$Z$71,'[4]Расчёт расходов RAB'!$AB$71:$AC$71,'[4]Расчёт расходов RAB'!$AE$71:$AF$71,'[4]Расчёт расходов RAB'!$AH$71:$AI$71,'[4]Расчёт расходов RAB'!$AK$71:$AL$71,'[4]Расчёт расходов RAB'!$AN$71:$AO$71,'[4]Расчёт расходов RAB'!$AQ$71:$AR$71</definedName>
    <definedName name="RAB_SECTION_INDEX">'[4]Расчёт расходов RAB'!$G$22:$H$22,'[4]Расчёт расходов RAB'!$J$22:$K$22,'[4]Расчёт расходов RAB'!$M$22:$N$22,'[4]Расчёт расходов RAB'!$P$22:$Q$22,'[4]Расчёт расходов RAB'!$S$22:$T$22,'[4]Расчёт расходов RAB'!$V$22:$W$22,'[4]Расчёт расходов RAB'!$Y$22:$Z$22,'[4]Расчёт расходов RAB'!$AB$22:$AC$22,'[4]Расчёт расходов RAB'!$AE$22:$AF$22,'[4]Расчёт расходов RAB'!$AH$22:$AI$22,'[4]Расчёт расходов RAB'!$AK$22:$AL$22,'[4]Расчёт расходов RAB'!$AN$22:$AO$22,'[4]Расчёт расходов RAB'!$AQ$22:$AR$22</definedName>
    <definedName name="RAB_SECTION_MANAGED_COSTS">'[4]Расчёт расходов RAB'!$G$56:$H$56,'[4]Расчёт расходов RAB'!$J$56:$K$56,'[4]Расчёт расходов RAB'!$M$56:$N$56,'[4]Расчёт расходов RAB'!$P$56:$Q$56,'[4]Расчёт расходов RAB'!$S$56:$T$56,'[4]Расчёт расходов RAB'!$V$56:$W$56,'[4]Расчёт расходов RAB'!$Y$56:$Z$56,'[4]Расчёт расходов RAB'!$AB$56:$AC$56,'[4]Расчёт расходов RAB'!$AE$56:$AF$56,'[4]Расчёт расходов RAB'!$AH$56:$AI$56,'[4]Расчёт расходов RAB'!$AK$56:$AL$56,'[4]Расчёт расходов RAB'!$AN$56:$AO$56,'[4]Расчёт расходов RAB'!$AQ$56:$AR$56</definedName>
    <definedName name="RAB_SECTION_TOTAL_NVV">'[4]Расчёт расходов RAB'!$G$93:$H$93,'[4]Расчёт расходов RAB'!$J$93:$K$93,'[4]Расчёт расходов RAB'!$M$93:$N$93,'[4]Расчёт расходов RAB'!$P$93:$Q$93,'[4]Расчёт расходов RAB'!$S$93:$T$93,'[4]Расчёт расходов RAB'!$V$93:$W$93,'[4]Расчёт расходов RAB'!$Y$93:$Z$93,'[4]Расчёт расходов RAB'!$AB$93:$AC$93,'[4]Расчёт расходов RAB'!$AE$93:$AF$93,'[4]Расчёт расходов RAB'!$AH$93:$AI$93,'[4]Расчёт расходов RAB'!$AK$93:$AL$93,'[4]Расчёт расходов RAB'!$AN$93:$AO$93,'[4]Расчёт расходов RAB'!$AQ$93:$AR$93</definedName>
    <definedName name="RAB_YEARS">'[4]Расчёт расходов RAB'!$G$8:$H$8,'[4]Расчёт расходов RAB'!$J$8:$K$8,'[4]Расчёт расходов RAB'!$M$8:$N$8,'[4]Расчёт расходов RAB'!$P$8:$Q$8,'[4]Расчёт расходов RAB'!$S$8:$T$8,'[4]Расчёт расходов RAB'!$V$8:$W$8,'[4]Расчёт расходов RAB'!$Y$8:$Z$8,'[4]Расчёт расходов RAB'!$AB$8:$AC$8,'[4]Расчёт расходов RAB'!$AE$8:$AF$8,'[4]Расчёт расходов RAB'!$AH$8:$AI$8,'[4]Расчёт расходов RAB'!$AK$8:$AL$8,'[4]Расчёт расходов RAB'!$AN$8:$AO$8,'[4]Расчёт расходов RAB'!$AQ$8:$AR$8</definedName>
    <definedName name="rasch_god">[5]НОРМАТИВЫ!$D$3</definedName>
    <definedName name="reg_name">[4]Титульный!$F$6</definedName>
    <definedName name="REGULATION_1_METHOD">[4]Титульный!$F$23</definedName>
    <definedName name="REGULATION_10_METHOD">[4]Титульный!$F$32</definedName>
    <definedName name="REGULATION_2_METHOD">[4]Титульный!$F$24</definedName>
    <definedName name="REGULATION_3_METHOD">[4]Титульный!$F$25</definedName>
    <definedName name="REGULATION_4_METHOD">[4]Титульный!$F$26</definedName>
    <definedName name="REGULATION_5_METHOD">[4]Титульный!$F$27</definedName>
    <definedName name="REGULATION_6_METHOD">[4]Титульный!$F$28</definedName>
    <definedName name="REGULATION_7_METHOD">[4]Титульный!$F$29</definedName>
    <definedName name="REGULATION_8_METHOD">[4]Титульный!$F$30</definedName>
    <definedName name="REGULATION_9_METHOD">[4]Титульный!$F$31</definedName>
    <definedName name="REGULATION_METHOD">[4]Титульный!$F$22</definedName>
    <definedName name="SCOPE_16_PRT" localSheetId="17">P1_SCOPE_16_PRT,P2_SCOPE_16_PRT</definedName>
    <definedName name="SCOPE_16_PRT" localSheetId="109">P1_SCOPE_16_PRT,P2_SCOPE_16_PRT</definedName>
    <definedName name="SCOPE_16_PRT" localSheetId="70">P1_SCOPE_16_PRT,P2_SCOPE_16_PRT</definedName>
    <definedName name="SCOPE_16_PRT" localSheetId="53">P1_SCOPE_16_PRT,P2_SCOPE_16_PRT</definedName>
    <definedName name="SCOPE_16_PRT" localSheetId="57">P1_SCOPE_16_PRT,P2_SCOPE_16_PRT</definedName>
    <definedName name="SCOPE_16_PRT" localSheetId="20">P1_SCOPE_16_PRT,P2_SCOPE_16_PRT</definedName>
    <definedName name="SCOPE_16_PRT" localSheetId="44">P1_SCOPE_16_PRT,P2_SCOPE_16_PRT</definedName>
    <definedName name="SCOPE_16_PRT" localSheetId="0">P1_SCOPE_16_PRT,P2_SCOPE_16_PRT</definedName>
    <definedName name="SCOPE_16_PRT" localSheetId="39">P1_SCOPE_16_PRT,P2_SCOPE_16_PRT</definedName>
    <definedName name="SCOPE_16_PRT" localSheetId="54">P1_SCOPE_16_PRT,P2_SCOPE_16_PRT</definedName>
    <definedName name="SCOPE_16_PRT" localSheetId="14">P1_SCOPE_16_PRT,P2_SCOPE_16_PRT</definedName>
    <definedName name="SCOPE_16_PRT" localSheetId="21">P1_SCOPE_16_PRT,P2_SCOPE_16_PRT</definedName>
    <definedName name="SCOPE_16_PRT" localSheetId="23">P1_SCOPE_16_PRT,P2_SCOPE_16_PRT</definedName>
    <definedName name="SCOPE_16_PRT" localSheetId="33">P1_SCOPE_16_PRT,P2_SCOPE_16_PRT</definedName>
    <definedName name="SCOPE_16_PRT" localSheetId="51">P1_SCOPE_16_PRT,P2_SCOPE_16_PRT</definedName>
    <definedName name="SCOPE_PER_PRT" localSheetId="17">P5_SCOPE_PER_PRT,P6_SCOPE_PER_PRT,P7_SCOPE_PER_PRT,P8_SCOPE_PER_PRT</definedName>
    <definedName name="SCOPE_PER_PRT" localSheetId="109">P5_SCOPE_PER_PRT,P6_SCOPE_PER_PRT,P7_SCOPE_PER_PRT,P8_SCOPE_PER_PRT</definedName>
    <definedName name="SCOPE_PER_PRT" localSheetId="70">P5_SCOPE_PER_PRT,P6_SCOPE_PER_PRT,P7_SCOPE_PER_PRT,P8_SCOPE_PER_PRT</definedName>
    <definedName name="SCOPE_PER_PRT" localSheetId="53">P5_SCOPE_PER_PRT,P6_SCOPE_PER_PRT,P7_SCOPE_PER_PRT,P8_SCOPE_PER_PRT</definedName>
    <definedName name="SCOPE_PER_PRT" localSheetId="57">P5_SCOPE_PER_PRT,P6_SCOPE_PER_PRT,P7_SCOPE_PER_PRT,P8_SCOPE_PER_PRT</definedName>
    <definedName name="SCOPE_PER_PRT" localSheetId="20">P5_SCOPE_PER_PRT,P6_SCOPE_PER_PRT,P7_SCOPE_PER_PRT,P8_SCOPE_PER_PRT</definedName>
    <definedName name="SCOPE_PER_PRT" localSheetId="44">P5_SCOPE_PER_PRT,P6_SCOPE_PER_PRT,P7_SCOPE_PER_PRT,P8_SCOPE_PER_PRT</definedName>
    <definedName name="SCOPE_PER_PRT" localSheetId="0">P5_SCOPE_PER_PRT,P6_SCOPE_PER_PRT,P7_SCOPE_PER_PRT,P8_SCOPE_PER_PRT</definedName>
    <definedName name="SCOPE_PER_PRT" localSheetId="39">P5_SCOPE_PER_PRT,P6_SCOPE_PER_PRT,P7_SCOPE_PER_PRT,P8_SCOPE_PER_PRT</definedName>
    <definedName name="SCOPE_PER_PRT" localSheetId="54">P5_SCOPE_PER_PRT,P6_SCOPE_PER_PRT,P7_SCOPE_PER_PRT,P8_SCOPE_PER_PRT</definedName>
    <definedName name="SCOPE_PER_PRT" localSheetId="14">P5_SCOPE_PER_PRT,P6_SCOPE_PER_PRT,P7_SCOPE_PER_PRT,P8_SCOPE_PER_PRT</definedName>
    <definedName name="SCOPE_PER_PRT" localSheetId="21">P5_SCOPE_PER_PRT,P6_SCOPE_PER_PRT,P7_SCOPE_PER_PRT,P8_SCOPE_PER_PRT</definedName>
    <definedName name="SCOPE_PER_PRT" localSheetId="23">P5_SCOPE_PER_PRT,P6_SCOPE_PER_PRT,P7_SCOPE_PER_PRT,P8_SCOPE_PER_PRT</definedName>
    <definedName name="SCOPE_PER_PRT" localSheetId="33">P5_SCOPE_PER_PRT,P6_SCOPE_PER_PRT,P7_SCOPE_PER_PRT,P8_SCOPE_PER_PRT</definedName>
    <definedName name="SCOPE_PER_PRT" localSheetId="51">P5_SCOPE_PER_PRT,P6_SCOPE_PER_PRT,P7_SCOPE_PER_PRT,P8_SCOPE_PER_PRT</definedName>
    <definedName name="SCOPE_SV_PRT" localSheetId="17">P1_SCOPE_SV_PRT,P2_SCOPE_SV_PRT,P3_SCOPE_SV_PRT</definedName>
    <definedName name="SCOPE_SV_PRT" localSheetId="109">P1_SCOPE_SV_PRT,P2_SCOPE_SV_PRT,P3_SCOPE_SV_PRT</definedName>
    <definedName name="SCOPE_SV_PRT" localSheetId="70">P1_SCOPE_SV_PRT,P2_SCOPE_SV_PRT,P3_SCOPE_SV_PRT</definedName>
    <definedName name="SCOPE_SV_PRT" localSheetId="53">P1_SCOPE_SV_PRT,P2_SCOPE_SV_PRT,P3_SCOPE_SV_PRT</definedName>
    <definedName name="SCOPE_SV_PRT" localSheetId="57">P1_SCOPE_SV_PRT,P2_SCOPE_SV_PRT,P3_SCOPE_SV_PRT</definedName>
    <definedName name="SCOPE_SV_PRT" localSheetId="20">P1_SCOPE_SV_PRT,P2_SCOPE_SV_PRT,P3_SCOPE_SV_PRT</definedName>
    <definedName name="SCOPE_SV_PRT" localSheetId="44">P1_SCOPE_SV_PRT,P2_SCOPE_SV_PRT,P3_SCOPE_SV_PRT</definedName>
    <definedName name="SCOPE_SV_PRT" localSheetId="0">P1_SCOPE_SV_PRT,P2_SCOPE_SV_PRT,P3_SCOPE_SV_PRT</definedName>
    <definedName name="SCOPE_SV_PRT" localSheetId="39">P1_SCOPE_SV_PRT,P2_SCOPE_SV_PRT,P3_SCOPE_SV_PRT</definedName>
    <definedName name="SCOPE_SV_PRT" localSheetId="54">P1_SCOPE_SV_PRT,P2_SCOPE_SV_PRT,P3_SCOPE_SV_PRT</definedName>
    <definedName name="SCOPE_SV_PRT" localSheetId="14">P1_SCOPE_SV_PRT,P2_SCOPE_SV_PRT,P3_SCOPE_SV_PRT</definedName>
    <definedName name="SCOPE_SV_PRT" localSheetId="21">P1_SCOPE_SV_PRT,P2_SCOPE_SV_PRT,P3_SCOPE_SV_PRT</definedName>
    <definedName name="SCOPE_SV_PRT" localSheetId="23">P1_SCOPE_SV_PRT,P2_SCOPE_SV_PRT,P3_SCOPE_SV_PRT</definedName>
    <definedName name="SCOPE_SV_PRT" localSheetId="33">P1_SCOPE_SV_PRT,P2_SCOPE_SV_PRT,P3_SCOPE_SV_PRT</definedName>
    <definedName name="SCOPE_SV_PRT" localSheetId="51">P1_SCOPE_SV_PRT,P2_SCOPE_SV_PRT,P3_SCOPE_SV_PRT</definedName>
    <definedName name="sencount" hidden="1">1</definedName>
    <definedName name="T2_DiapProt" localSheetId="17">P1_T2_DiapProt,P2_T2_DiapProt</definedName>
    <definedName name="T2_DiapProt" localSheetId="109">P1_T2_DiapProt,P2_T2_DiapProt</definedName>
    <definedName name="T2_DiapProt" localSheetId="70">P1_T2_DiapProt,P2_T2_DiapProt</definedName>
    <definedName name="T2_DiapProt" localSheetId="53">P1_T2_DiapProt,P2_T2_DiapProt</definedName>
    <definedName name="T2_DiapProt" localSheetId="57">P1_T2_DiapProt,P2_T2_DiapProt</definedName>
    <definedName name="T2_DiapProt" localSheetId="20">P1_T2_DiapProt,P2_T2_DiapProt</definedName>
    <definedName name="T2_DiapProt" localSheetId="44">P1_T2_DiapProt,P2_T2_DiapProt</definedName>
    <definedName name="T2_DiapProt" localSheetId="0">P1_T2_DiapProt,P2_T2_DiapProt</definedName>
    <definedName name="T2_DiapProt" localSheetId="39">P1_T2_DiapProt,P2_T2_DiapProt</definedName>
    <definedName name="T2_DiapProt" localSheetId="54">P1_T2_DiapProt,P2_T2_DiapProt</definedName>
    <definedName name="T2_DiapProt" localSheetId="14">P1_T2_DiapProt,P2_T2_DiapProt</definedName>
    <definedName name="T2_DiapProt" localSheetId="21">P1_T2_DiapProt,P2_T2_DiapProt</definedName>
    <definedName name="T2_DiapProt" localSheetId="23">P1_T2_DiapProt,P2_T2_DiapProt</definedName>
    <definedName name="T2_DiapProt" localSheetId="33">P1_T2_DiapProt,P2_T2_DiapProt</definedName>
    <definedName name="T2_DiapProt" localSheetId="51">P1_T2_DiapProt,P2_T2_DiapProt</definedName>
    <definedName name="T6_Protect" localSheetId="17">P1_T6_Protect,P2_T6_Protect</definedName>
    <definedName name="T6_Protect" localSheetId="109">P1_T6_Protect,P2_T6_Protect</definedName>
    <definedName name="T6_Protect" localSheetId="70">P1_T6_Protect,P2_T6_Protect</definedName>
    <definedName name="T6_Protect" localSheetId="53">P1_T6_Protect,P2_T6_Protect</definedName>
    <definedName name="T6_Protect" localSheetId="57">P1_T6_Protect,P2_T6_Protect</definedName>
    <definedName name="T6_Protect" localSheetId="20">P1_T6_Protect,P2_T6_Protect</definedName>
    <definedName name="T6_Protect" localSheetId="44">P1_T6_Protect,P2_T6_Protect</definedName>
    <definedName name="T6_Protect" localSheetId="0">P1_T6_Protect,P2_T6_Protect</definedName>
    <definedName name="T6_Protect" localSheetId="39">P1_T6_Protect,P2_T6_Protect</definedName>
    <definedName name="T6_Protect" localSheetId="54">P1_T6_Protect,P2_T6_Protect</definedName>
    <definedName name="T6_Protect" localSheetId="14">P1_T6_Protect,P2_T6_Protect</definedName>
    <definedName name="T6_Protect" localSheetId="21">P1_T6_Protect,P2_T6_Protect</definedName>
    <definedName name="T6_Protect" localSheetId="23">P1_T6_Protect,P2_T6_Protect</definedName>
    <definedName name="T6_Protect" localSheetId="33">P1_T6_Protect,P2_T6_Protect</definedName>
    <definedName name="T6_Protect" localSheetId="51">P1_T6_Protect,P2_T6_Protect</definedName>
    <definedName name="tt5_1">NA()</definedName>
    <definedName name="tt5_2">NA()</definedName>
    <definedName name="tt5_3">NA()</definedName>
    <definedName name="tt5_4">NA()</definedName>
    <definedName name="tt5_5">NA()</definedName>
    <definedName name="tt5_6">NA()</definedName>
    <definedName name="tt6_1">NA()</definedName>
    <definedName name="tt6_2">NA()</definedName>
    <definedName name="tt6_3">NA()</definedName>
    <definedName name="tt6_4">NA()</definedName>
    <definedName name="tt6_5">NA()</definedName>
    <definedName name="tt6_6">NA()</definedName>
    <definedName name="ttt5_1">NA()</definedName>
    <definedName name="ttt5_2">NA()</definedName>
    <definedName name="ttt5_3">NA()</definedName>
    <definedName name="ttt5_4">NA()</definedName>
    <definedName name="ttt5_5">NA()</definedName>
    <definedName name="ttt5_6">NA()</definedName>
    <definedName name="version">[4]Инструкция!$N$2</definedName>
    <definedName name="wrn.План" localSheetId="86" hidden="1">{"Прибыль пресс",#N/A,FALSE,"Прессов"}</definedName>
    <definedName name="wrn.План" localSheetId="109" hidden="1">{"Прибыль пресс",#N/A,FALSE,"Прессов"}</definedName>
    <definedName name="wrn.План" localSheetId="76">{"Прибыль пресс",#N/A,FALSE,"Прессов"}</definedName>
    <definedName name="wrn.План" localSheetId="53" hidden="1">{"Прибыль пресс",#N/A,FALSE,"Прессов"}</definedName>
    <definedName name="wrn.План" localSheetId="77" hidden="1">{"Прибыль пресс",#N/A,FALSE,"Прессов"}</definedName>
    <definedName name="wrn.План" localSheetId="1" hidden="1">{"Прибыль пресс",#N/A,FALSE,"Прессов"}</definedName>
    <definedName name="wrn.План" localSheetId="57" hidden="1">{"Прибыль пресс",#N/A,FALSE,"Прессов"}</definedName>
    <definedName name="wrn.План" localSheetId="99" hidden="1">{"Прибыль пресс",#N/A,FALSE,"Прессов"}</definedName>
    <definedName name="wrn.План" localSheetId="20" hidden="1">{"Прибыль пресс",#N/A,FALSE,"Прессов"}</definedName>
    <definedName name="wrn.План" localSheetId="106" hidden="1">{"Прибыль пресс",#N/A,FALSE,"Прессов"}</definedName>
    <definedName name="wrn.План" localSheetId="54" hidden="1">{"Прибыль пресс",#N/A,FALSE,"Прессов"}</definedName>
    <definedName name="wrn.План" localSheetId="2" hidden="1">{"Прибыль пресс",#N/A,FALSE,"Прессов"}</definedName>
    <definedName name="wrn.План" localSheetId="21" hidden="1">{"Прибыль пресс",#N/A,FALSE,"Прессов"}</definedName>
    <definedName name="wrn.План" localSheetId="33" hidden="1">{"Прибыль пресс",#N/A,FALSE,"Прессов"}</definedName>
    <definedName name="wrn.План" localSheetId="29" hidden="1">{"Прибыль пресс",#N/A,FALSE,"Прессов"}</definedName>
    <definedName name="wrn.План" localSheetId="51" hidden="1">{"Прибыль пресс",#N/A,FALSE,"Прессов"}</definedName>
    <definedName name="wrn.Прибыль._.дерев." localSheetId="86" hidden="1">{"Прибыль дерев",#N/A,FALSE,"Дерев"}</definedName>
    <definedName name="wrn.Прибыль._.дерев." localSheetId="109" hidden="1">{"Прибыль дерев",#N/A,FALSE,"Дерев"}</definedName>
    <definedName name="wrn.Прибыль._.дерев." localSheetId="76">{"Прибыль дерев",#N/A,FALSE,"Дерев"}</definedName>
    <definedName name="wrn.Прибыль._.дерев." localSheetId="53" hidden="1">{"Прибыль дерев",#N/A,FALSE,"Дерев"}</definedName>
    <definedName name="wrn.Прибыль._.дерев." localSheetId="77" hidden="1">{"Прибыль дерев",#N/A,FALSE,"Дерев"}</definedName>
    <definedName name="wrn.Прибыль._.дерев." localSheetId="1" hidden="1">{"Прибыль дерев",#N/A,FALSE,"Дерев"}</definedName>
    <definedName name="wrn.Прибыль._.дерев." localSheetId="57" hidden="1">{"Прибыль дерев",#N/A,FALSE,"Дерев"}</definedName>
    <definedName name="wrn.Прибыль._.дерев." localSheetId="99" hidden="1">{"Прибыль дерев",#N/A,FALSE,"Дерев"}</definedName>
    <definedName name="wrn.Прибыль._.дерев." localSheetId="20" hidden="1">{"Прибыль дерев",#N/A,FALSE,"Дерев"}</definedName>
    <definedName name="wrn.Прибыль._.дерев." localSheetId="106" hidden="1">{"Прибыль дерев",#N/A,FALSE,"Дерев"}</definedName>
    <definedName name="wrn.Прибыль._.дерев." localSheetId="54" hidden="1">{"Прибыль дерев",#N/A,FALSE,"Дерев"}</definedName>
    <definedName name="wrn.Прибыль._.дерев." localSheetId="2" hidden="1">{"Прибыль дерев",#N/A,FALSE,"Дерев"}</definedName>
    <definedName name="wrn.Прибыль._.дерев." localSheetId="21" hidden="1">{"Прибыль дерев",#N/A,FALSE,"Дерев"}</definedName>
    <definedName name="wrn.Прибыль._.дерев." localSheetId="33" hidden="1">{"Прибыль дерев",#N/A,FALSE,"Дерев"}</definedName>
    <definedName name="wrn.Прибыль._.дерев." localSheetId="29" hidden="1">{"Прибыль дерев",#N/A,FALSE,"Дерев"}</definedName>
    <definedName name="wrn.Прибыль._.дерев." localSheetId="51" hidden="1">{"Прибыль дерев",#N/A,FALSE,"Дерев"}</definedName>
    <definedName name="wrn.Прибыль._.ЗАП." localSheetId="86" hidden="1">{"Прибыль ЗАП",#N/A,FALSE,"ЗАП"}</definedName>
    <definedName name="wrn.Прибыль._.ЗАП." localSheetId="109" hidden="1">{"Прибыль ЗАП",#N/A,FALSE,"ЗАП"}</definedName>
    <definedName name="wrn.Прибыль._.ЗАП." localSheetId="76">{"Прибыль ЗАП",#N/A,FALSE,"ЗАП"}</definedName>
    <definedName name="wrn.Прибыль._.ЗАП." localSheetId="53" hidden="1">{"Прибыль ЗАП",#N/A,FALSE,"ЗАП"}</definedName>
    <definedName name="wrn.Прибыль._.ЗАП." localSheetId="77" hidden="1">{"Прибыль ЗАП",#N/A,FALSE,"ЗАП"}</definedName>
    <definedName name="wrn.Прибыль._.ЗАП." localSheetId="1" hidden="1">{"Прибыль ЗАП",#N/A,FALSE,"ЗАП"}</definedName>
    <definedName name="wrn.Прибыль._.ЗАП." localSheetId="57" hidden="1">{"Прибыль ЗАП",#N/A,FALSE,"ЗАП"}</definedName>
    <definedName name="wrn.Прибыль._.ЗАП." localSheetId="99" hidden="1">{"Прибыль ЗАП",#N/A,FALSE,"ЗАП"}</definedName>
    <definedName name="wrn.Прибыль._.ЗАП." localSheetId="20" hidden="1">{"Прибыль ЗАП",#N/A,FALSE,"ЗАП"}</definedName>
    <definedName name="wrn.Прибыль._.ЗАП." localSheetId="106" hidden="1">{"Прибыль ЗАП",#N/A,FALSE,"ЗАП"}</definedName>
    <definedName name="wrn.Прибыль._.ЗАП." localSheetId="54" hidden="1">{"Прибыль ЗАП",#N/A,FALSE,"ЗАП"}</definedName>
    <definedName name="wrn.Прибыль._.ЗАП." localSheetId="2" hidden="1">{"Прибыль ЗАП",#N/A,FALSE,"ЗАП"}</definedName>
    <definedName name="wrn.Прибыль._.ЗАП." localSheetId="21" hidden="1">{"Прибыль ЗАП",#N/A,FALSE,"ЗАП"}</definedName>
    <definedName name="wrn.Прибыль._.ЗАП." localSheetId="33" hidden="1">{"Прибыль ЗАП",#N/A,FALSE,"ЗАП"}</definedName>
    <definedName name="wrn.Прибыль._.ЗАП." localSheetId="29" hidden="1">{"Прибыль ЗАП",#N/A,FALSE,"ЗАП"}</definedName>
    <definedName name="wrn.Прибыль._.ЗАП." localSheetId="51" hidden="1">{"Прибыль ЗАП",#N/A,FALSE,"ЗАП"}</definedName>
    <definedName name="wrn.Прибыль._.инстр." localSheetId="86" hidden="1">{"Прибыль инстр",#N/A,FALSE,"Инстр"}</definedName>
    <definedName name="wrn.Прибыль._.инстр." localSheetId="109" hidden="1">{"Прибыль инстр",#N/A,FALSE,"Инстр"}</definedName>
    <definedName name="wrn.Прибыль._.инстр." localSheetId="76">{"Прибыль инстр",#N/A,FALSE,"Инстр"}</definedName>
    <definedName name="wrn.Прибыль._.инстр." localSheetId="53" hidden="1">{"Прибыль инстр",#N/A,FALSE,"Инстр"}</definedName>
    <definedName name="wrn.Прибыль._.инстр." localSheetId="77" hidden="1">{"Прибыль инстр",#N/A,FALSE,"Инстр"}</definedName>
    <definedName name="wrn.Прибыль._.инстр." localSheetId="1" hidden="1">{"Прибыль инстр",#N/A,FALSE,"Инстр"}</definedName>
    <definedName name="wrn.Прибыль._.инстр." localSheetId="57" hidden="1">{"Прибыль инстр",#N/A,FALSE,"Инстр"}</definedName>
    <definedName name="wrn.Прибыль._.инстр." localSheetId="99" hidden="1">{"Прибыль инстр",#N/A,FALSE,"Инстр"}</definedName>
    <definedName name="wrn.Прибыль._.инстр." localSheetId="20" hidden="1">{"Прибыль инстр",#N/A,FALSE,"Инстр"}</definedName>
    <definedName name="wrn.Прибыль._.инстр." localSheetId="106" hidden="1">{"Прибыль инстр",#N/A,FALSE,"Инстр"}</definedName>
    <definedName name="wrn.Прибыль._.инстр." localSheetId="54" hidden="1">{"Прибыль инстр",#N/A,FALSE,"Инстр"}</definedName>
    <definedName name="wrn.Прибыль._.инстр." localSheetId="2" hidden="1">{"Прибыль инстр",#N/A,FALSE,"Инстр"}</definedName>
    <definedName name="wrn.Прибыль._.инстр." localSheetId="21" hidden="1">{"Прибыль инстр",#N/A,FALSE,"Инстр"}</definedName>
    <definedName name="wrn.Прибыль._.инстр." localSheetId="33" hidden="1">{"Прибыль инстр",#N/A,FALSE,"Инстр"}</definedName>
    <definedName name="wrn.Прибыль._.инстр." localSheetId="29" hidden="1">{"Прибыль инстр",#N/A,FALSE,"Инстр"}</definedName>
    <definedName name="wrn.Прибыль._.инстр." localSheetId="51" hidden="1">{"Прибыль инстр",#N/A,FALSE,"Инстр"}</definedName>
    <definedName name="wrn.Прибыль._.литейн." localSheetId="86" hidden="1">{"Прибыль",#N/A,FALSE,"Литейн"}</definedName>
    <definedName name="wrn.Прибыль._.литейн." localSheetId="109" hidden="1">{"Прибыль",#N/A,FALSE,"Литейн"}</definedName>
    <definedName name="wrn.Прибыль._.литейн." localSheetId="76">{"Прибыль",#N/A,FALSE,"Литейн"}</definedName>
    <definedName name="wrn.Прибыль._.литейн." localSheetId="53" hidden="1">{"Прибыль",#N/A,FALSE,"Литейн"}</definedName>
    <definedName name="wrn.Прибыль._.литейн." localSheetId="77" hidden="1">{"Прибыль",#N/A,FALSE,"Литейн"}</definedName>
    <definedName name="wrn.Прибыль._.литейн." localSheetId="1" hidden="1">{"Прибыль",#N/A,FALSE,"Литейн"}</definedName>
    <definedName name="wrn.Прибыль._.литейн." localSheetId="57" hidden="1">{"Прибыль",#N/A,FALSE,"Литейн"}</definedName>
    <definedName name="wrn.Прибыль._.литейн." localSheetId="99" hidden="1">{"Прибыль",#N/A,FALSE,"Литейн"}</definedName>
    <definedName name="wrn.Прибыль._.литейн." localSheetId="20" hidden="1">{"Прибыль",#N/A,FALSE,"Литейн"}</definedName>
    <definedName name="wrn.Прибыль._.литейн." localSheetId="106" hidden="1">{"Прибыль",#N/A,FALSE,"Литейн"}</definedName>
    <definedName name="wrn.Прибыль._.литейн." localSheetId="54" hidden="1">{"Прибыль",#N/A,FALSE,"Литейн"}</definedName>
    <definedName name="wrn.Прибыль._.литейн." localSheetId="2" hidden="1">{"Прибыль",#N/A,FALSE,"Литейн"}</definedName>
    <definedName name="wrn.Прибыль._.литейн." localSheetId="21" hidden="1">{"Прибыль",#N/A,FALSE,"Литейн"}</definedName>
    <definedName name="wrn.Прибыль._.литейн." localSheetId="33" hidden="1">{"Прибыль",#N/A,FALSE,"Литейн"}</definedName>
    <definedName name="wrn.Прибыль._.литейн." localSheetId="29" hidden="1">{"Прибыль",#N/A,FALSE,"Литейн"}</definedName>
    <definedName name="wrn.Прибыль._.литейн." localSheetId="51" hidden="1">{"Прибыль",#N/A,FALSE,"Литейн"}</definedName>
    <definedName name="wrn.Прибыль._.механ." localSheetId="86" hidden="1">{"Прибыль механ",#N/A,FALSE,"Механ"}</definedName>
    <definedName name="wrn.Прибыль._.механ." localSheetId="109" hidden="1">{"Прибыль механ",#N/A,FALSE,"Механ"}</definedName>
    <definedName name="wrn.Прибыль._.механ." localSheetId="76">{"Прибыль механ",#N/A,FALSE,"Механ"}</definedName>
    <definedName name="wrn.Прибыль._.механ." localSheetId="53" hidden="1">{"Прибыль механ",#N/A,FALSE,"Механ"}</definedName>
    <definedName name="wrn.Прибыль._.механ." localSheetId="77" hidden="1">{"Прибыль механ",#N/A,FALSE,"Механ"}</definedName>
    <definedName name="wrn.Прибыль._.механ." localSheetId="1" hidden="1">{"Прибыль механ",#N/A,FALSE,"Механ"}</definedName>
    <definedName name="wrn.Прибыль._.механ." localSheetId="57" hidden="1">{"Прибыль механ",#N/A,FALSE,"Механ"}</definedName>
    <definedName name="wrn.Прибыль._.механ." localSheetId="99" hidden="1">{"Прибыль механ",#N/A,FALSE,"Механ"}</definedName>
    <definedName name="wrn.Прибыль._.механ." localSheetId="20" hidden="1">{"Прибыль механ",#N/A,FALSE,"Механ"}</definedName>
    <definedName name="wrn.Прибыль._.механ." localSheetId="106" hidden="1">{"Прибыль механ",#N/A,FALSE,"Механ"}</definedName>
    <definedName name="wrn.Прибыль._.механ." localSheetId="54" hidden="1">{"Прибыль механ",#N/A,FALSE,"Механ"}</definedName>
    <definedName name="wrn.Прибыль._.механ." localSheetId="2" hidden="1">{"Прибыль механ",#N/A,FALSE,"Механ"}</definedName>
    <definedName name="wrn.Прибыль._.механ." localSheetId="21" hidden="1">{"Прибыль механ",#N/A,FALSE,"Механ"}</definedName>
    <definedName name="wrn.Прибыль._.механ." localSheetId="33" hidden="1">{"Прибыль механ",#N/A,FALSE,"Механ"}</definedName>
    <definedName name="wrn.Прибыль._.механ." localSheetId="29" hidden="1">{"Прибыль механ",#N/A,FALSE,"Механ"}</definedName>
    <definedName name="wrn.Прибыль._.механ." localSheetId="51" hidden="1">{"Прибыль механ",#N/A,FALSE,"Механ"}</definedName>
    <definedName name="wrn.Прибыль._.прессов." localSheetId="86" hidden="1">{"Прибыль пресс",#N/A,FALSE,"Прессов"}</definedName>
    <definedName name="wrn.Прибыль._.прессов." localSheetId="109" hidden="1">{"Прибыль пресс",#N/A,FALSE,"Прессов"}</definedName>
    <definedName name="wrn.Прибыль._.прессов." localSheetId="76">{"Прибыль пресс",#N/A,FALSE,"Прессов"}</definedName>
    <definedName name="wrn.Прибыль._.прессов." localSheetId="53" hidden="1">{"Прибыль пресс",#N/A,FALSE,"Прессов"}</definedName>
    <definedName name="wrn.Прибыль._.прессов." localSheetId="77" hidden="1">{"Прибыль пресс",#N/A,FALSE,"Прессов"}</definedName>
    <definedName name="wrn.Прибыль._.прессов." localSheetId="1" hidden="1">{"Прибыль пресс",#N/A,FALSE,"Прессов"}</definedName>
    <definedName name="wrn.Прибыль._.прессов." localSheetId="57" hidden="1">{"Прибыль пресс",#N/A,FALSE,"Прессов"}</definedName>
    <definedName name="wrn.Прибыль._.прессов." localSheetId="99" hidden="1">{"Прибыль пресс",#N/A,FALSE,"Прессов"}</definedName>
    <definedName name="wrn.Прибыль._.прессов." localSheetId="20" hidden="1">{"Прибыль пресс",#N/A,FALSE,"Прессов"}</definedName>
    <definedName name="wrn.Прибыль._.прессов." localSheetId="106" hidden="1">{"Прибыль пресс",#N/A,FALSE,"Прессов"}</definedName>
    <definedName name="wrn.Прибыль._.прессов." localSheetId="54" hidden="1">{"Прибыль пресс",#N/A,FALSE,"Прессов"}</definedName>
    <definedName name="wrn.Прибыль._.прессов." localSheetId="2" hidden="1">{"Прибыль пресс",#N/A,FALSE,"Прессов"}</definedName>
    <definedName name="wrn.Прибыль._.прессов." localSheetId="21" hidden="1">{"Прибыль пресс",#N/A,FALSE,"Прессов"}</definedName>
    <definedName name="wrn.Прибыль._.прессов." localSheetId="33" hidden="1">{"Прибыль пресс",#N/A,FALSE,"Прессов"}</definedName>
    <definedName name="wrn.Прибыль._.прессов." localSheetId="29" hidden="1">{"Прибыль пресс",#N/A,FALSE,"Прессов"}</definedName>
    <definedName name="wrn.Прибыль._.прессов." localSheetId="51" hidden="1">{"Прибыль пресс",#N/A,FALSE,"Прессов"}</definedName>
    <definedName name="wrn.Прибыль._.прокатн." localSheetId="86" hidden="1">{"Прибыль прокатн",#N/A,FALSE,"Прокатн"}</definedName>
    <definedName name="wrn.Прибыль._.прокатн." localSheetId="109" hidden="1">{"Прибыль прокатн",#N/A,FALSE,"Прокатн"}</definedName>
    <definedName name="wrn.Прибыль._.прокатн." localSheetId="76">{"Прибыль прокатн",#N/A,FALSE,"Прокатн"}</definedName>
    <definedName name="wrn.Прибыль._.прокатн." localSheetId="53" hidden="1">{"Прибыль прокатн",#N/A,FALSE,"Прокатн"}</definedName>
    <definedName name="wrn.Прибыль._.прокатн." localSheetId="77" hidden="1">{"Прибыль прокатн",#N/A,FALSE,"Прокатн"}</definedName>
    <definedName name="wrn.Прибыль._.прокатн." localSheetId="1" hidden="1">{"Прибыль прокатн",#N/A,FALSE,"Прокатн"}</definedName>
    <definedName name="wrn.Прибыль._.прокатн." localSheetId="57" hidden="1">{"Прибыль прокатн",#N/A,FALSE,"Прокатн"}</definedName>
    <definedName name="wrn.Прибыль._.прокатн." localSheetId="99" hidden="1">{"Прибыль прокатн",#N/A,FALSE,"Прокатн"}</definedName>
    <definedName name="wrn.Прибыль._.прокатн." localSheetId="20" hidden="1">{"Прибыль прокатн",#N/A,FALSE,"Прокатн"}</definedName>
    <definedName name="wrn.Прибыль._.прокатн." localSheetId="106" hidden="1">{"Прибыль прокатн",#N/A,FALSE,"Прокатн"}</definedName>
    <definedName name="wrn.Прибыль._.прокатн." localSheetId="54" hidden="1">{"Прибыль прокатн",#N/A,FALSE,"Прокатн"}</definedName>
    <definedName name="wrn.Прибыль._.прокатн." localSheetId="2" hidden="1">{"Прибыль прокатн",#N/A,FALSE,"Прокатн"}</definedName>
    <definedName name="wrn.Прибыль._.прокатн." localSheetId="21" hidden="1">{"Прибыль прокатн",#N/A,FALSE,"Прокатн"}</definedName>
    <definedName name="wrn.Прибыль._.прокатн." localSheetId="33" hidden="1">{"Прибыль прокатн",#N/A,FALSE,"Прокатн"}</definedName>
    <definedName name="wrn.Прибыль._.прокатн." localSheetId="29" hidden="1">{"Прибыль прокатн",#N/A,FALSE,"Прокатн"}</definedName>
    <definedName name="wrn.Прибыль._.прокатн." localSheetId="51" hidden="1">{"Прибыль прокатн",#N/A,FALSE,"Прокатн"}</definedName>
    <definedName name="wrn.Прибыль._.СаМеКо." localSheetId="86" hidden="1">{"Прибыль СаМеКо",#N/A,FALSE,"Итог СаМеКо"}</definedName>
    <definedName name="wrn.Прибыль._.СаМеКо." localSheetId="109" hidden="1">{"Прибыль СаМеКо",#N/A,FALSE,"Итог СаМеКо"}</definedName>
    <definedName name="wrn.Прибыль._.СаМеКо." localSheetId="76">{"Прибыль СаМеКо",#N/A,FALSE,"Итог СаМеКо"}</definedName>
    <definedName name="wrn.Прибыль._.СаМеКо." localSheetId="53" hidden="1">{"Прибыль СаМеКо",#N/A,FALSE,"Итог СаМеКо"}</definedName>
    <definedName name="wrn.Прибыль._.СаМеКо." localSheetId="77" hidden="1">{"Прибыль СаМеКо",#N/A,FALSE,"Итог СаМеКо"}</definedName>
    <definedName name="wrn.Прибыль._.СаМеКо." localSheetId="1" hidden="1">{"Прибыль СаМеКо",#N/A,FALSE,"Итог СаМеКо"}</definedName>
    <definedName name="wrn.Прибыль._.СаМеКо." localSheetId="57" hidden="1">{"Прибыль СаМеКо",#N/A,FALSE,"Итог СаМеКо"}</definedName>
    <definedName name="wrn.Прибыль._.СаМеКо." localSheetId="99" hidden="1">{"Прибыль СаМеКо",#N/A,FALSE,"Итог СаМеКо"}</definedName>
    <definedName name="wrn.Прибыль._.СаМеКо." localSheetId="20" hidden="1">{"Прибыль СаМеКо",#N/A,FALSE,"Итог СаМеКо"}</definedName>
    <definedName name="wrn.Прибыль._.СаМеКо." localSheetId="106" hidden="1">{"Прибыль СаМеКо",#N/A,FALSE,"Итог СаМеКо"}</definedName>
    <definedName name="wrn.Прибыль._.СаМеКо." localSheetId="54" hidden="1">{"Прибыль СаМеКо",#N/A,FALSE,"Итог СаМеКо"}</definedName>
    <definedName name="wrn.Прибыль._.СаМеКо." localSheetId="2" hidden="1">{"Прибыль СаМеКо",#N/A,FALSE,"Итог СаМеКо"}</definedName>
    <definedName name="wrn.Прибыль._.СаМеКо." localSheetId="21" hidden="1">{"Прибыль СаМеКо",#N/A,FALSE,"Итог СаМеКо"}</definedName>
    <definedName name="wrn.Прибыль._.СаМеКо." localSheetId="33" hidden="1">{"Прибыль СаМеКо",#N/A,FALSE,"Итог СаМеКо"}</definedName>
    <definedName name="wrn.Прибыль._.СаМеКо." localSheetId="29" hidden="1">{"Прибыль СаМеКо",#N/A,FALSE,"Итог СаМеКо"}</definedName>
    <definedName name="wrn.Прибыль._.СаМеКо." localSheetId="51" hidden="1">{"Прибыль СаМеКо",#N/A,FALSE,"Итог СаМеКо"}</definedName>
    <definedName name="wrn.Прибыль._.СМЗ." localSheetId="86" hidden="1">{"Прибыль СМЗ",#N/A,FALSE,"СМЗ"}</definedName>
    <definedName name="wrn.Прибыль._.СМЗ." localSheetId="109" hidden="1">{"Прибыль СМЗ",#N/A,FALSE,"СМЗ"}</definedName>
    <definedName name="wrn.Прибыль._.СМЗ." localSheetId="76">{"Прибыль СМЗ",#N/A,FALSE,"СМЗ"}</definedName>
    <definedName name="wrn.Прибыль._.СМЗ." localSheetId="53" hidden="1">{"Прибыль СМЗ",#N/A,FALSE,"СМЗ"}</definedName>
    <definedName name="wrn.Прибыль._.СМЗ." localSheetId="77" hidden="1">{"Прибыль СМЗ",#N/A,FALSE,"СМЗ"}</definedName>
    <definedName name="wrn.Прибыль._.СМЗ." localSheetId="1" hidden="1">{"Прибыль СМЗ",#N/A,FALSE,"СМЗ"}</definedName>
    <definedName name="wrn.Прибыль._.СМЗ." localSheetId="57" hidden="1">{"Прибыль СМЗ",#N/A,FALSE,"СМЗ"}</definedName>
    <definedName name="wrn.Прибыль._.СМЗ." localSheetId="99" hidden="1">{"Прибыль СМЗ",#N/A,FALSE,"СМЗ"}</definedName>
    <definedName name="wrn.Прибыль._.СМЗ." localSheetId="20" hidden="1">{"Прибыль СМЗ",#N/A,FALSE,"СМЗ"}</definedName>
    <definedName name="wrn.Прибыль._.СМЗ." localSheetId="106" hidden="1">{"Прибыль СМЗ",#N/A,FALSE,"СМЗ"}</definedName>
    <definedName name="wrn.Прибыль._.СМЗ." localSheetId="54" hidden="1">{"Прибыль СМЗ",#N/A,FALSE,"СМЗ"}</definedName>
    <definedName name="wrn.Прибыль._.СМЗ." localSheetId="2" hidden="1">{"Прибыль СМЗ",#N/A,FALSE,"СМЗ"}</definedName>
    <definedName name="wrn.Прибыль._.СМЗ." localSheetId="21" hidden="1">{"Прибыль СМЗ",#N/A,FALSE,"СМЗ"}</definedName>
    <definedName name="wrn.Прибыль._.СМЗ." localSheetId="33" hidden="1">{"Прибыль СМЗ",#N/A,FALSE,"СМЗ"}</definedName>
    <definedName name="wrn.Прибыль._.СМЗ." localSheetId="29" hidden="1">{"Прибыль СМЗ",#N/A,FALSE,"СМЗ"}</definedName>
    <definedName name="wrn.Прибыль._.СМЗ." localSheetId="51" hidden="1">{"Прибыль СМЗ",#N/A,FALSE,"СМЗ"}</definedName>
    <definedName name="wrn.Прибыль._.энерг." localSheetId="86" hidden="1">{"Приибыль энерг",#N/A,FALSE,"Энерг"}</definedName>
    <definedName name="wrn.Прибыль._.энерг." localSheetId="109" hidden="1">{"Приибыль энерг",#N/A,FALSE,"Энерг"}</definedName>
    <definedName name="wrn.Прибыль._.энерг." localSheetId="76">{"Приибыль энерг",#N/A,FALSE,"Энерг"}</definedName>
    <definedName name="wrn.Прибыль._.энерг." localSheetId="53" hidden="1">{"Приибыль энерг",#N/A,FALSE,"Энерг"}</definedName>
    <definedName name="wrn.Прибыль._.энерг." localSheetId="77" hidden="1">{"Приибыль энерг",#N/A,FALSE,"Энерг"}</definedName>
    <definedName name="wrn.Прибыль._.энерг." localSheetId="1" hidden="1">{"Приибыль энерг",#N/A,FALSE,"Энерг"}</definedName>
    <definedName name="wrn.Прибыль._.энерг." localSheetId="57" hidden="1">{"Приибыль энерг",#N/A,FALSE,"Энерг"}</definedName>
    <definedName name="wrn.Прибыль._.энерг." localSheetId="99" hidden="1">{"Приибыль энерг",#N/A,FALSE,"Энерг"}</definedName>
    <definedName name="wrn.Прибыль._.энерг." localSheetId="20" hidden="1">{"Приибыль энерг",#N/A,FALSE,"Энерг"}</definedName>
    <definedName name="wrn.Прибыль._.энерг." localSheetId="106" hidden="1">{"Приибыль энерг",#N/A,FALSE,"Энерг"}</definedName>
    <definedName name="wrn.Прибыль._.энерг." localSheetId="54" hidden="1">{"Приибыль энерг",#N/A,FALSE,"Энерг"}</definedName>
    <definedName name="wrn.Прибыль._.энерг." localSheetId="2" hidden="1">{"Приибыль энерг",#N/A,FALSE,"Энерг"}</definedName>
    <definedName name="wrn.Прибыль._.энерг." localSheetId="21" hidden="1">{"Приибыль энерг",#N/A,FALSE,"Энерг"}</definedName>
    <definedName name="wrn.Прибыль._.энерг." localSheetId="33" hidden="1">{"Приибыль энерг",#N/A,FALSE,"Энерг"}</definedName>
    <definedName name="wrn.Прибыль._.энерг." localSheetId="29" hidden="1">{"Приибыль энерг",#N/A,FALSE,"Энерг"}</definedName>
    <definedName name="wrn.Прибыль._.энерг." localSheetId="51" hidden="1">{"Приибыль энерг",#N/A,FALSE,"Энерг"}</definedName>
    <definedName name="wrn.смета." localSheetId="86" hidden="1">{#N/A,#N/A,FALSE,"общепр.расх"}</definedName>
    <definedName name="wrn.смета." localSheetId="109" hidden="1">{#N/A,#N/A,FALSE,"общепр.расх"}</definedName>
    <definedName name="wrn.смета." localSheetId="76">{#N/A,#N/A,FALSE,"общепр.расх"}</definedName>
    <definedName name="wrn.смета." localSheetId="53" hidden="1">{#N/A,#N/A,FALSE,"общепр.расх"}</definedName>
    <definedName name="wrn.смета." localSheetId="77" hidden="1">{#N/A,#N/A,FALSE,"общепр.расх"}</definedName>
    <definedName name="wrn.смета." localSheetId="1" hidden="1">{#N/A,#N/A,FALSE,"общепр.расх"}</definedName>
    <definedName name="wrn.смета." localSheetId="57" hidden="1">{#N/A,#N/A,FALSE,"общепр.расх"}</definedName>
    <definedName name="wrn.смета." localSheetId="99" hidden="1">{#N/A,#N/A,FALSE,"общепр.расх"}</definedName>
    <definedName name="wrn.смета." localSheetId="20" hidden="1">{#N/A,#N/A,FALSE,"общепр.расх"}</definedName>
    <definedName name="wrn.смета." localSheetId="106" hidden="1">{#N/A,#N/A,FALSE,"общепр.расх"}</definedName>
    <definedName name="wrn.смета." localSheetId="54" hidden="1">{#N/A,#N/A,FALSE,"общепр.расх"}</definedName>
    <definedName name="wrn.смета." localSheetId="2" hidden="1">{#N/A,#N/A,FALSE,"общепр.расх"}</definedName>
    <definedName name="wrn.смета." localSheetId="21" hidden="1">{#N/A,#N/A,FALSE,"общепр.расх"}</definedName>
    <definedName name="wrn.смета." localSheetId="33" hidden="1">{#N/A,#N/A,FALSE,"общепр.расх"}</definedName>
    <definedName name="wrn.смета." localSheetId="29" hidden="1">{#N/A,#N/A,FALSE,"общепр.расх"}</definedName>
    <definedName name="wrn.смета." localSheetId="51" hidden="1">{#N/A,#N/A,FALSE,"общепр.расх"}</definedName>
    <definedName name="Z_30FEE15E_D26F_11D4_A6F7_00508B6A7686_.wvu.FilterData" localSheetId="17" hidden="1">#REF!</definedName>
    <definedName name="Z_30FEE15E_D26F_11D4_A6F7_00508B6A7686_.wvu.FilterData" localSheetId="109" hidden="1">#REF!</definedName>
    <definedName name="Z_30FEE15E_D26F_11D4_A6F7_00508B6A7686_.wvu.FilterData" localSheetId="76">#REF!</definedName>
    <definedName name="Z_30FEE15E_D26F_11D4_A6F7_00508B6A7686_.wvu.FilterData" localSheetId="70" hidden="1">#REF!</definedName>
    <definedName name="Z_30FEE15E_D26F_11D4_A6F7_00508B6A7686_.wvu.FilterData" localSheetId="67" hidden="1">#REF!</definedName>
    <definedName name="Z_30FEE15E_D26F_11D4_A6F7_00508B6A7686_.wvu.FilterData" localSheetId="53" hidden="1">#REF!</definedName>
    <definedName name="Z_30FEE15E_D26F_11D4_A6F7_00508B6A7686_.wvu.FilterData" localSheetId="1" hidden="1">#REF!</definedName>
    <definedName name="Z_30FEE15E_D26F_11D4_A6F7_00508B6A7686_.wvu.FilterData" localSheetId="57" hidden="1">#REF!</definedName>
    <definedName name="Z_30FEE15E_D26F_11D4_A6F7_00508B6A7686_.wvu.FilterData" localSheetId="20" hidden="1">#REF!</definedName>
    <definedName name="Z_30FEE15E_D26F_11D4_A6F7_00508B6A7686_.wvu.FilterData" localSheetId="44" hidden="1">#REF!</definedName>
    <definedName name="Z_30FEE15E_D26F_11D4_A6F7_00508B6A7686_.wvu.FilterData" localSheetId="0" hidden="1">#REF!</definedName>
    <definedName name="Z_30FEE15E_D26F_11D4_A6F7_00508B6A7686_.wvu.FilterData" localSheetId="39" hidden="1">#REF!</definedName>
    <definedName name="Z_30FEE15E_D26F_11D4_A6F7_00508B6A7686_.wvu.FilterData" localSheetId="9" hidden="1">#REF!</definedName>
    <definedName name="Z_30FEE15E_D26F_11D4_A6F7_00508B6A7686_.wvu.FilterData" localSheetId="54" hidden="1">#REF!</definedName>
    <definedName name="Z_30FEE15E_D26F_11D4_A6F7_00508B6A7686_.wvu.FilterData" localSheetId="18" hidden="1">#REF!</definedName>
    <definedName name="Z_30FEE15E_D26F_11D4_A6F7_00508B6A7686_.wvu.FilterData" localSheetId="14" hidden="1">#REF!</definedName>
    <definedName name="Z_30FEE15E_D26F_11D4_A6F7_00508B6A7686_.wvu.FilterData" localSheetId="21" hidden="1">#REF!</definedName>
    <definedName name="Z_30FEE15E_D26F_11D4_A6F7_00508B6A7686_.wvu.FilterData" localSheetId="16" hidden="1">#REF!</definedName>
    <definedName name="Z_30FEE15E_D26F_11D4_A6F7_00508B6A7686_.wvu.FilterData" localSheetId="23" hidden="1">#REF!</definedName>
    <definedName name="Z_30FEE15E_D26F_11D4_A6F7_00508B6A7686_.wvu.FilterData" localSheetId="33" hidden="1">#REF!</definedName>
    <definedName name="Z_30FEE15E_D26F_11D4_A6F7_00508B6A7686_.wvu.FilterData" localSheetId="29" hidden="1">#REF!</definedName>
    <definedName name="Z_30FEE15E_D26F_11D4_A6F7_00508B6A7686_.wvu.FilterData" localSheetId="51" hidden="1">#REF!</definedName>
    <definedName name="Z_30FEE15E_D26F_11D4_A6F7_00508B6A7686_.wvu.PrintArea" localSheetId="17" hidden="1">#REF!</definedName>
    <definedName name="Z_30FEE15E_D26F_11D4_A6F7_00508B6A7686_.wvu.PrintArea" localSheetId="109" hidden="1">#REF!</definedName>
    <definedName name="Z_30FEE15E_D26F_11D4_A6F7_00508B6A7686_.wvu.PrintArea" localSheetId="76">#REF!</definedName>
    <definedName name="Z_30FEE15E_D26F_11D4_A6F7_00508B6A7686_.wvu.PrintArea" localSheetId="70" hidden="1">#REF!</definedName>
    <definedName name="Z_30FEE15E_D26F_11D4_A6F7_00508B6A7686_.wvu.PrintArea" localSheetId="67" hidden="1">#REF!</definedName>
    <definedName name="Z_30FEE15E_D26F_11D4_A6F7_00508B6A7686_.wvu.PrintArea" localSheetId="53" hidden="1">#REF!</definedName>
    <definedName name="Z_30FEE15E_D26F_11D4_A6F7_00508B6A7686_.wvu.PrintArea" localSheetId="1" hidden="1">#REF!</definedName>
    <definedName name="Z_30FEE15E_D26F_11D4_A6F7_00508B6A7686_.wvu.PrintArea" localSheetId="57" hidden="1">#REF!</definedName>
    <definedName name="Z_30FEE15E_D26F_11D4_A6F7_00508B6A7686_.wvu.PrintArea" localSheetId="20" hidden="1">#REF!</definedName>
    <definedName name="Z_30FEE15E_D26F_11D4_A6F7_00508B6A7686_.wvu.PrintArea" localSheetId="44" hidden="1">#REF!</definedName>
    <definedName name="Z_30FEE15E_D26F_11D4_A6F7_00508B6A7686_.wvu.PrintArea" localSheetId="0" hidden="1">#REF!</definedName>
    <definedName name="Z_30FEE15E_D26F_11D4_A6F7_00508B6A7686_.wvu.PrintArea" localSheetId="39" hidden="1">#REF!</definedName>
    <definedName name="Z_30FEE15E_D26F_11D4_A6F7_00508B6A7686_.wvu.PrintArea" localSheetId="9" hidden="1">#REF!</definedName>
    <definedName name="Z_30FEE15E_D26F_11D4_A6F7_00508B6A7686_.wvu.PrintArea" localSheetId="54" hidden="1">#REF!</definedName>
    <definedName name="Z_30FEE15E_D26F_11D4_A6F7_00508B6A7686_.wvu.PrintArea" localSheetId="18" hidden="1">#REF!</definedName>
    <definedName name="Z_30FEE15E_D26F_11D4_A6F7_00508B6A7686_.wvu.PrintArea" localSheetId="14" hidden="1">#REF!</definedName>
    <definedName name="Z_30FEE15E_D26F_11D4_A6F7_00508B6A7686_.wvu.PrintArea" localSheetId="21" hidden="1">#REF!</definedName>
    <definedName name="Z_30FEE15E_D26F_11D4_A6F7_00508B6A7686_.wvu.PrintArea" localSheetId="16" hidden="1">#REF!</definedName>
    <definedName name="Z_30FEE15E_D26F_11D4_A6F7_00508B6A7686_.wvu.PrintArea" localSheetId="23" hidden="1">#REF!</definedName>
    <definedName name="Z_30FEE15E_D26F_11D4_A6F7_00508B6A7686_.wvu.PrintArea" localSheetId="33" hidden="1">#REF!</definedName>
    <definedName name="Z_30FEE15E_D26F_11D4_A6F7_00508B6A7686_.wvu.PrintArea" localSheetId="29" hidden="1">#REF!</definedName>
    <definedName name="Z_30FEE15E_D26F_11D4_A6F7_00508B6A7686_.wvu.PrintArea" localSheetId="51" hidden="1">#REF!</definedName>
    <definedName name="Z_30FEE15E_D26F_11D4_A6F7_00508B6A7686_.wvu.PrintTitles" localSheetId="17" hidden="1">#REF!</definedName>
    <definedName name="Z_30FEE15E_D26F_11D4_A6F7_00508B6A7686_.wvu.PrintTitles" localSheetId="109" hidden="1">#REF!</definedName>
    <definedName name="Z_30FEE15E_D26F_11D4_A6F7_00508B6A7686_.wvu.PrintTitles" localSheetId="76">#REF!</definedName>
    <definedName name="Z_30FEE15E_D26F_11D4_A6F7_00508B6A7686_.wvu.PrintTitles" localSheetId="70" hidden="1">#REF!</definedName>
    <definedName name="Z_30FEE15E_D26F_11D4_A6F7_00508B6A7686_.wvu.PrintTitles" localSheetId="67" hidden="1">#REF!</definedName>
    <definedName name="Z_30FEE15E_D26F_11D4_A6F7_00508B6A7686_.wvu.PrintTitles" localSheetId="53" hidden="1">#REF!</definedName>
    <definedName name="Z_30FEE15E_D26F_11D4_A6F7_00508B6A7686_.wvu.PrintTitles" localSheetId="1" hidden="1">#REF!</definedName>
    <definedName name="Z_30FEE15E_D26F_11D4_A6F7_00508B6A7686_.wvu.PrintTitles" localSheetId="57" hidden="1">#REF!</definedName>
    <definedName name="Z_30FEE15E_D26F_11D4_A6F7_00508B6A7686_.wvu.PrintTitles" localSheetId="20" hidden="1">#REF!</definedName>
    <definedName name="Z_30FEE15E_D26F_11D4_A6F7_00508B6A7686_.wvu.PrintTitles" localSheetId="44" hidden="1">#REF!</definedName>
    <definedName name="Z_30FEE15E_D26F_11D4_A6F7_00508B6A7686_.wvu.PrintTitles" localSheetId="0" hidden="1">#REF!</definedName>
    <definedName name="Z_30FEE15E_D26F_11D4_A6F7_00508B6A7686_.wvu.PrintTitles" localSheetId="39" hidden="1">#REF!</definedName>
    <definedName name="Z_30FEE15E_D26F_11D4_A6F7_00508B6A7686_.wvu.PrintTitles" localSheetId="9" hidden="1">#REF!</definedName>
    <definedName name="Z_30FEE15E_D26F_11D4_A6F7_00508B6A7686_.wvu.PrintTitles" localSheetId="54" hidden="1">#REF!</definedName>
    <definedName name="Z_30FEE15E_D26F_11D4_A6F7_00508B6A7686_.wvu.PrintTitles" localSheetId="18" hidden="1">#REF!</definedName>
    <definedName name="Z_30FEE15E_D26F_11D4_A6F7_00508B6A7686_.wvu.PrintTitles" localSheetId="14" hidden="1">#REF!</definedName>
    <definedName name="Z_30FEE15E_D26F_11D4_A6F7_00508B6A7686_.wvu.PrintTitles" localSheetId="21" hidden="1">#REF!</definedName>
    <definedName name="Z_30FEE15E_D26F_11D4_A6F7_00508B6A7686_.wvu.PrintTitles" localSheetId="16" hidden="1">#REF!</definedName>
    <definedName name="Z_30FEE15E_D26F_11D4_A6F7_00508B6A7686_.wvu.PrintTitles" localSheetId="23" hidden="1">#REF!</definedName>
    <definedName name="Z_30FEE15E_D26F_11D4_A6F7_00508B6A7686_.wvu.PrintTitles" localSheetId="33" hidden="1">#REF!</definedName>
    <definedName name="Z_30FEE15E_D26F_11D4_A6F7_00508B6A7686_.wvu.PrintTitles" localSheetId="29" hidden="1">#REF!</definedName>
    <definedName name="Z_30FEE15E_D26F_11D4_A6F7_00508B6A7686_.wvu.PrintTitles" localSheetId="51" hidden="1">#REF!</definedName>
    <definedName name="Z_30FEE15E_D26F_11D4_A6F7_00508B6A7686_.wvu.Rows" localSheetId="17" hidden="1">#REF!</definedName>
    <definedName name="Z_30FEE15E_D26F_11D4_A6F7_00508B6A7686_.wvu.Rows" localSheetId="109" hidden="1">#REF!</definedName>
    <definedName name="Z_30FEE15E_D26F_11D4_A6F7_00508B6A7686_.wvu.Rows" localSheetId="76">#REF!</definedName>
    <definedName name="Z_30FEE15E_D26F_11D4_A6F7_00508B6A7686_.wvu.Rows" localSheetId="70" hidden="1">#REF!</definedName>
    <definedName name="Z_30FEE15E_D26F_11D4_A6F7_00508B6A7686_.wvu.Rows" localSheetId="67" hidden="1">#REF!</definedName>
    <definedName name="Z_30FEE15E_D26F_11D4_A6F7_00508B6A7686_.wvu.Rows" localSheetId="53" hidden="1">#REF!</definedName>
    <definedName name="Z_30FEE15E_D26F_11D4_A6F7_00508B6A7686_.wvu.Rows" localSheetId="1" hidden="1">#REF!</definedName>
    <definedName name="Z_30FEE15E_D26F_11D4_A6F7_00508B6A7686_.wvu.Rows" localSheetId="57" hidden="1">#REF!</definedName>
    <definedName name="Z_30FEE15E_D26F_11D4_A6F7_00508B6A7686_.wvu.Rows" localSheetId="20" hidden="1">#REF!</definedName>
    <definedName name="Z_30FEE15E_D26F_11D4_A6F7_00508B6A7686_.wvu.Rows" localSheetId="44" hidden="1">#REF!</definedName>
    <definedName name="Z_30FEE15E_D26F_11D4_A6F7_00508B6A7686_.wvu.Rows" localSheetId="0" hidden="1">#REF!</definedName>
    <definedName name="Z_30FEE15E_D26F_11D4_A6F7_00508B6A7686_.wvu.Rows" localSheetId="39" hidden="1">#REF!</definedName>
    <definedName name="Z_30FEE15E_D26F_11D4_A6F7_00508B6A7686_.wvu.Rows" localSheetId="9" hidden="1">#REF!</definedName>
    <definedName name="Z_30FEE15E_D26F_11D4_A6F7_00508B6A7686_.wvu.Rows" localSheetId="54" hidden="1">#REF!</definedName>
    <definedName name="Z_30FEE15E_D26F_11D4_A6F7_00508B6A7686_.wvu.Rows" localSheetId="18" hidden="1">#REF!</definedName>
    <definedName name="Z_30FEE15E_D26F_11D4_A6F7_00508B6A7686_.wvu.Rows" localSheetId="14" hidden="1">#REF!</definedName>
    <definedName name="Z_30FEE15E_D26F_11D4_A6F7_00508B6A7686_.wvu.Rows" localSheetId="21" hidden="1">#REF!</definedName>
    <definedName name="Z_30FEE15E_D26F_11D4_A6F7_00508B6A7686_.wvu.Rows" localSheetId="16" hidden="1">#REF!</definedName>
    <definedName name="Z_30FEE15E_D26F_11D4_A6F7_00508B6A7686_.wvu.Rows" localSheetId="23" hidden="1">#REF!</definedName>
    <definedName name="Z_30FEE15E_D26F_11D4_A6F7_00508B6A7686_.wvu.Rows" localSheetId="33" hidden="1">#REF!</definedName>
    <definedName name="Z_30FEE15E_D26F_11D4_A6F7_00508B6A7686_.wvu.Rows" localSheetId="29" hidden="1">#REF!</definedName>
    <definedName name="Z_30FEE15E_D26F_11D4_A6F7_00508B6A7686_.wvu.Rows" localSheetId="51" hidden="1">#REF!</definedName>
    <definedName name="zt_1a" localSheetId="53">#REF!</definedName>
    <definedName name="zt_1a" localSheetId="57">#REF!</definedName>
    <definedName name="zt_1a" localSheetId="20">#REF!</definedName>
    <definedName name="zt_1a" localSheetId="44">#REF!</definedName>
    <definedName name="zt_1a" localSheetId="0">#REF!</definedName>
    <definedName name="zt_1a" localSheetId="54">#REF!</definedName>
    <definedName name="zt_1a" localSheetId="21">#REF!</definedName>
    <definedName name="zt_1a" localSheetId="23">#REF!</definedName>
    <definedName name="zt_1a" localSheetId="51">#REF!</definedName>
    <definedName name="zt_1a_1">NA()</definedName>
    <definedName name="zt_1a_2">NA()</definedName>
    <definedName name="zt_1a_3">NA()</definedName>
    <definedName name="zt_1a_4">NA()</definedName>
    <definedName name="zt_1a_5">NA()</definedName>
    <definedName name="zt_1a_6">NA()</definedName>
    <definedName name="zt2_1">NA()</definedName>
    <definedName name="zt2_2">NA()</definedName>
    <definedName name="zt2_3">NA()</definedName>
    <definedName name="zt2_4">NA()</definedName>
    <definedName name="zt2_5">NA()</definedName>
    <definedName name="zt2_6">NA()</definedName>
    <definedName name="zt2a" localSheetId="53">#REF!</definedName>
    <definedName name="zt2a" localSheetId="57">#REF!</definedName>
    <definedName name="zt2a" localSheetId="20">#REF!</definedName>
    <definedName name="zt2a" localSheetId="44">#REF!</definedName>
    <definedName name="zt2a" localSheetId="0">#REF!</definedName>
    <definedName name="zt2a" localSheetId="54">#REF!</definedName>
    <definedName name="zt2a" localSheetId="21">#REF!</definedName>
    <definedName name="zt2a" localSheetId="23">#REF!</definedName>
    <definedName name="zt2a" localSheetId="51">#REF!</definedName>
    <definedName name="zt2a_1">NA()</definedName>
    <definedName name="zt2a_2">NA()</definedName>
    <definedName name="zt2a_3">NA()</definedName>
    <definedName name="zt2a_4">NA()</definedName>
    <definedName name="zt2a_5">NA()</definedName>
    <definedName name="zt2a_6">NA()</definedName>
    <definedName name="zt3_1" localSheetId="53">#REF!</definedName>
    <definedName name="zt3_1" localSheetId="57">#REF!</definedName>
    <definedName name="zt3_1" localSheetId="20">#REF!</definedName>
    <definedName name="zt3_1" localSheetId="44">#REF!</definedName>
    <definedName name="zt3_1" localSheetId="0">#REF!</definedName>
    <definedName name="zt3_1" localSheetId="54">#REF!</definedName>
    <definedName name="zt3_1" localSheetId="21">#REF!</definedName>
    <definedName name="zt3_1" localSheetId="23">#REF!</definedName>
    <definedName name="zt3_1" localSheetId="51">#REF!</definedName>
    <definedName name="zt3_1_1">NA()</definedName>
    <definedName name="zt3_1_1_1">NA()</definedName>
    <definedName name="zt3_1_2">NA()</definedName>
    <definedName name="zt3_1_3">NA()</definedName>
    <definedName name="zt3_1_4">NA()</definedName>
    <definedName name="zt3_1_5">NA()</definedName>
    <definedName name="zt3_1_6">NA()</definedName>
    <definedName name="zt3_2" localSheetId="53">#REF!</definedName>
    <definedName name="zt3_2" localSheetId="57">#REF!</definedName>
    <definedName name="zt3_2" localSheetId="20">#REF!</definedName>
    <definedName name="zt3_2" localSheetId="44">#REF!</definedName>
    <definedName name="zt3_2" localSheetId="0">#REF!</definedName>
    <definedName name="zt3_2" localSheetId="54">#REF!</definedName>
    <definedName name="zt3_2" localSheetId="21">#REF!</definedName>
    <definedName name="zt3_2" localSheetId="23">#REF!</definedName>
    <definedName name="zt3_2" localSheetId="51">#REF!</definedName>
    <definedName name="zt3_2_1">NA()</definedName>
    <definedName name="zt3_2_1_1">NA()</definedName>
    <definedName name="zt3_2_2">NA()</definedName>
    <definedName name="zt3_2_3">NA()</definedName>
    <definedName name="zt3_2_4">NA()</definedName>
    <definedName name="zt3_2_5">NA()</definedName>
    <definedName name="zt3_2_6">NA()</definedName>
    <definedName name="zt3_3">NA()</definedName>
    <definedName name="zt3_4">NA()</definedName>
    <definedName name="zt3_5">NA()</definedName>
    <definedName name="zt3_6">NA()</definedName>
    <definedName name="zt4_1" localSheetId="53">#REF!</definedName>
    <definedName name="zt4_1" localSheetId="57">#REF!</definedName>
    <definedName name="zt4_1" localSheetId="20">#REF!</definedName>
    <definedName name="zt4_1" localSheetId="44">#REF!</definedName>
    <definedName name="zt4_1" localSheetId="0">#REF!</definedName>
    <definedName name="zt4_1" localSheetId="54">#REF!</definedName>
    <definedName name="zt4_1" localSheetId="21">#REF!</definedName>
    <definedName name="zt4_1" localSheetId="23">#REF!</definedName>
    <definedName name="zt4_1" localSheetId="51">#REF!</definedName>
    <definedName name="zt4_1_1">NA()</definedName>
    <definedName name="zt4_1_1_1">NA()</definedName>
    <definedName name="zt4_1_2">NA()</definedName>
    <definedName name="zt4_1_3">NA()</definedName>
    <definedName name="zt4_1_4">NA()</definedName>
    <definedName name="zt4_1_5">NA()</definedName>
    <definedName name="zt4_1_6">NA()</definedName>
    <definedName name="zt4_2">NA()</definedName>
    <definedName name="zt4_3">NA()</definedName>
    <definedName name="zt4_4">NA()</definedName>
    <definedName name="zt4_5">NA()</definedName>
    <definedName name="zt4_6">NA()</definedName>
    <definedName name="zt5_1" localSheetId="57">[1]s!$B$13</definedName>
    <definedName name="zt5_1_1">NA()</definedName>
    <definedName name="zt5_2">NA()</definedName>
    <definedName name="zt5_3">NA()</definedName>
    <definedName name="zt5_4">NA()</definedName>
    <definedName name="zt5_5">NA()</definedName>
    <definedName name="zt5_6">NA()</definedName>
    <definedName name="zt51_1">NA()</definedName>
    <definedName name="zt51_2">NA()</definedName>
    <definedName name="zt51_3">NA()</definedName>
    <definedName name="zt51_4">NA()</definedName>
    <definedName name="zt51_5">NA()</definedName>
    <definedName name="zt51_6">NA()</definedName>
    <definedName name="zt6_1">NA()</definedName>
    <definedName name="zt6_2">NA()</definedName>
    <definedName name="zt6_3">NA()</definedName>
    <definedName name="zt6_4">NA()</definedName>
    <definedName name="zt6_5">NA()</definedName>
    <definedName name="zt6_6">NA()</definedName>
    <definedName name="zt7_1" localSheetId="57">[1]s!$B$14</definedName>
    <definedName name="zt7_1_1">NA()</definedName>
    <definedName name="zt7_2" localSheetId="57">[1]s!$B$16</definedName>
    <definedName name="zt7_2_1">NA()</definedName>
    <definedName name="zt7_3" localSheetId="53">#REF!</definedName>
    <definedName name="zt7_3" localSheetId="57">#REF!</definedName>
    <definedName name="zt7_3" localSheetId="20">#REF!</definedName>
    <definedName name="zt7_3" localSheetId="44">#REF!</definedName>
    <definedName name="zt7_3" localSheetId="0">#REF!</definedName>
    <definedName name="zt7_3" localSheetId="54">#REF!</definedName>
    <definedName name="zt7_3" localSheetId="21">#REF!</definedName>
    <definedName name="zt7_3" localSheetId="23">#REF!</definedName>
    <definedName name="zt7_3" localSheetId="51">#REF!</definedName>
    <definedName name="zt7_3_1">NA()</definedName>
    <definedName name="zt7_3_1_1">NA()</definedName>
    <definedName name="zt7_3_2">NA()</definedName>
    <definedName name="zt7_3_3">NA()</definedName>
    <definedName name="zt7_3_4">NA()</definedName>
    <definedName name="zt7_3_5">NA()</definedName>
    <definedName name="zt7_3_6">NA()</definedName>
    <definedName name="zt7_4">NA()</definedName>
    <definedName name="zt7_5">NA()</definedName>
    <definedName name="zt7_6">NA()</definedName>
    <definedName name="zt8_1">NA()</definedName>
    <definedName name="zt8_2" localSheetId="53">#REF!</definedName>
    <definedName name="zt8_2" localSheetId="57">#REF!</definedName>
    <definedName name="zt8_2" localSheetId="20">#REF!</definedName>
    <definedName name="zt8_2" localSheetId="44">#REF!</definedName>
    <definedName name="zt8_2" localSheetId="0">#REF!</definedName>
    <definedName name="zt8_2" localSheetId="54">#REF!</definedName>
    <definedName name="zt8_2" localSheetId="21">#REF!</definedName>
    <definedName name="zt8_2" localSheetId="23">#REF!</definedName>
    <definedName name="zt8_2" localSheetId="51">#REF!</definedName>
    <definedName name="zt8_2_1">NA()</definedName>
    <definedName name="zt8_2_1_1">NA()</definedName>
    <definedName name="zt8_2_2">NA()</definedName>
    <definedName name="zt8_2_3">NA()</definedName>
    <definedName name="zt8_2_4">NA()</definedName>
    <definedName name="zt8_2_5">NA()</definedName>
    <definedName name="zt8_2_6">NA()</definedName>
    <definedName name="zt8_3" localSheetId="53">#REF!</definedName>
    <definedName name="zt8_3" localSheetId="57">#REF!</definedName>
    <definedName name="zt8_3" localSheetId="20">#REF!</definedName>
    <definedName name="zt8_3" localSheetId="44">#REF!</definedName>
    <definedName name="zt8_3" localSheetId="0">#REF!</definedName>
    <definedName name="zt8_3" localSheetId="54">#REF!</definedName>
    <definedName name="zt8_3" localSheetId="21">#REF!</definedName>
    <definedName name="zt8_3" localSheetId="23">#REF!</definedName>
    <definedName name="zt8_3" localSheetId="51">#REF!</definedName>
    <definedName name="zt8_3_1">NA()</definedName>
    <definedName name="zt8_3_1_1">NA()</definedName>
    <definedName name="zt8_3_2">NA()</definedName>
    <definedName name="zt8_3_3">NA()</definedName>
    <definedName name="zt8_3_4">NA()</definedName>
    <definedName name="zt8_3_5">NA()</definedName>
    <definedName name="zt8_3_6">NA()</definedName>
    <definedName name="zt8_4">NA()</definedName>
    <definedName name="zt8_5">NA()</definedName>
    <definedName name="zt8_6">NA()</definedName>
    <definedName name="zt9_1" localSheetId="57">[1]s!$B$6</definedName>
    <definedName name="zt9_3" localSheetId="57">[1]s!$B$8</definedName>
    <definedName name="zt9_4" localSheetId="53">#REF!</definedName>
    <definedName name="zt9_4" localSheetId="57">#REF!</definedName>
    <definedName name="zt9_4" localSheetId="20">#REF!</definedName>
    <definedName name="zt9_4" localSheetId="44">#REF!</definedName>
    <definedName name="zt9_4" localSheetId="0">#REF!</definedName>
    <definedName name="zt9_4" localSheetId="54">#REF!</definedName>
    <definedName name="zt9_4" localSheetId="21">#REF!</definedName>
    <definedName name="zt9_4" localSheetId="23">#REF!</definedName>
    <definedName name="zt9_4" localSheetId="51">#REF!</definedName>
    <definedName name="zt9_4_1">NA()</definedName>
    <definedName name="zt9_4_2">NA()</definedName>
    <definedName name="zt9_4_3">NA()</definedName>
    <definedName name="zt9_4_4">NA()</definedName>
    <definedName name="zt9_4_5">NA()</definedName>
    <definedName name="zt9_4_6">NA()</definedName>
    <definedName name="zt9_5" localSheetId="57">[1]s!$B$9</definedName>
    <definedName name="zt9_6" localSheetId="57">[1]s!$B$10</definedName>
    <definedName name="zt9_7" localSheetId="57">[1]s!$B$11</definedName>
    <definedName name="zto" localSheetId="53">#REF!</definedName>
    <definedName name="zto" localSheetId="57">#REF!</definedName>
    <definedName name="zto" localSheetId="20">#REF!</definedName>
    <definedName name="zto" localSheetId="44">#REF!</definedName>
    <definedName name="zto" localSheetId="0">#REF!</definedName>
    <definedName name="zto" localSheetId="54">#REF!</definedName>
    <definedName name="zto" localSheetId="21">#REF!</definedName>
    <definedName name="zto" localSheetId="23">#REF!</definedName>
    <definedName name="zto" localSheetId="51">#REF!</definedName>
    <definedName name="zto_1">NA()</definedName>
    <definedName name="zto_2">NA()</definedName>
    <definedName name="zto_3">NA()</definedName>
    <definedName name="zto_4">NA()</definedName>
    <definedName name="zto_5">NA()</definedName>
    <definedName name="zto_6">NA()</definedName>
    <definedName name="ztt5" localSheetId="53">#REF!</definedName>
    <definedName name="ztt5" localSheetId="57">#REF!</definedName>
    <definedName name="ztt5" localSheetId="20">#REF!</definedName>
    <definedName name="ztt5" localSheetId="44">#REF!</definedName>
    <definedName name="ztt5" localSheetId="0">#REF!</definedName>
    <definedName name="ztt5" localSheetId="54">#REF!</definedName>
    <definedName name="ztt5" localSheetId="21">#REF!</definedName>
    <definedName name="ztt5" localSheetId="23">#REF!</definedName>
    <definedName name="ztt5" localSheetId="51">#REF!</definedName>
    <definedName name="ztt5_1">NA()</definedName>
    <definedName name="ztt5_2">NA()</definedName>
    <definedName name="ztt5_3">NA()</definedName>
    <definedName name="ztt5_4">NA()</definedName>
    <definedName name="ztt5_5">NA()</definedName>
    <definedName name="ztt5_6">NA()</definedName>
    <definedName name="zzt1" localSheetId="53">#REF!</definedName>
    <definedName name="zzt1" localSheetId="57">#REF!</definedName>
    <definedName name="zzt1" localSheetId="20">#REF!</definedName>
    <definedName name="zzt1" localSheetId="44">#REF!</definedName>
    <definedName name="zzt1" localSheetId="0">#REF!</definedName>
    <definedName name="zzt1" localSheetId="54">#REF!</definedName>
    <definedName name="zzt1" localSheetId="21">#REF!</definedName>
    <definedName name="zzt1" localSheetId="23">#REF!</definedName>
    <definedName name="zzt1" localSheetId="51">#REF!</definedName>
    <definedName name="zzt1_1">NA()</definedName>
    <definedName name="zzt1_2">NA()</definedName>
    <definedName name="zzt1_3">NA()</definedName>
    <definedName name="zzt1_4">NA()</definedName>
    <definedName name="zzt1_5">NA()</definedName>
    <definedName name="zzt1_6">NA()</definedName>
    <definedName name="апппп" localSheetId="57">#REF!</definedName>
    <definedName name="апппп" localSheetId="54">#REF!</definedName>
    <definedName name="апппп" localSheetId="21">#REF!</definedName>
    <definedName name="апппп" localSheetId="51">#REF!</definedName>
    <definedName name="всп." localSheetId="86" hidden="1">{"Прибыль инстр",#N/A,FALSE,"Инстр"}</definedName>
    <definedName name="всп." localSheetId="109" hidden="1">{"Прибыль инстр",#N/A,FALSE,"Инстр"}</definedName>
    <definedName name="всп." localSheetId="76">{"Прибыль инстр",#N/A,FALSE,"Инстр"}</definedName>
    <definedName name="всп." localSheetId="53" hidden="1">{"Прибыль инстр",#N/A,FALSE,"Инстр"}</definedName>
    <definedName name="всп." localSheetId="77" hidden="1">{"Прибыль инстр",#N/A,FALSE,"Инстр"}</definedName>
    <definedName name="всп." localSheetId="1" hidden="1">{"Прибыль инстр",#N/A,FALSE,"Инстр"}</definedName>
    <definedName name="всп." localSheetId="57" hidden="1">{"Прибыль инстр",#N/A,FALSE,"Инстр"}</definedName>
    <definedName name="всп." localSheetId="99" hidden="1">{"Прибыль инстр",#N/A,FALSE,"Инстр"}</definedName>
    <definedName name="всп." localSheetId="20" hidden="1">{"Прибыль инстр",#N/A,FALSE,"Инстр"}</definedName>
    <definedName name="всп." localSheetId="106" hidden="1">{"Прибыль инстр",#N/A,FALSE,"Инстр"}</definedName>
    <definedName name="всп." localSheetId="54" hidden="1">{"Прибыль инстр",#N/A,FALSE,"Инстр"}</definedName>
    <definedName name="всп." localSheetId="2" hidden="1">{"Прибыль инстр",#N/A,FALSE,"Инстр"}</definedName>
    <definedName name="всп." localSheetId="21" hidden="1">{"Прибыль инстр",#N/A,FALSE,"Инстр"}</definedName>
    <definedName name="всп." localSheetId="33" hidden="1">{"Прибыль инстр",#N/A,FALSE,"Инстр"}</definedName>
    <definedName name="всп." localSheetId="29" hidden="1">{"Прибыль инстр",#N/A,FALSE,"Инстр"}</definedName>
    <definedName name="всп." localSheetId="51" hidden="1">{"Прибыль инстр",#N/A,FALSE,"Инстр"}</definedName>
    <definedName name="город.сети" localSheetId="86" hidden="1">{#N/A,#N/A,FALSE,"общепр.расх"}</definedName>
    <definedName name="город.сети" localSheetId="109" hidden="1">{#N/A,#N/A,FALSE,"общепр.расх"}</definedName>
    <definedName name="город.сети" localSheetId="76">{#N/A,#N/A,FALSE,"общепр.расх"}</definedName>
    <definedName name="город.сети" localSheetId="53" hidden="1">{#N/A,#N/A,FALSE,"общепр.расх"}</definedName>
    <definedName name="город.сети" localSheetId="77" hidden="1">{#N/A,#N/A,FALSE,"общепр.расх"}</definedName>
    <definedName name="город.сети" localSheetId="1" hidden="1">{#N/A,#N/A,FALSE,"общепр.расх"}</definedName>
    <definedName name="город.сети" localSheetId="57" hidden="1">{#N/A,#N/A,FALSE,"общепр.расх"}</definedName>
    <definedName name="город.сети" localSheetId="99" hidden="1">{#N/A,#N/A,FALSE,"общепр.расх"}</definedName>
    <definedName name="город.сети" localSheetId="20" hidden="1">{#N/A,#N/A,FALSE,"общепр.расх"}</definedName>
    <definedName name="город.сети" localSheetId="106" hidden="1">{#N/A,#N/A,FALSE,"общепр.расх"}</definedName>
    <definedName name="город.сети" localSheetId="54" hidden="1">{#N/A,#N/A,FALSE,"общепр.расх"}</definedName>
    <definedName name="город.сети" localSheetId="2" hidden="1">{#N/A,#N/A,FALSE,"общепр.расх"}</definedName>
    <definedName name="город.сети" localSheetId="21" hidden="1">{#N/A,#N/A,FALSE,"общепр.расх"}</definedName>
    <definedName name="город.сети" localSheetId="33" hidden="1">{#N/A,#N/A,FALSE,"общепр.расх"}</definedName>
    <definedName name="город.сети" localSheetId="29" hidden="1">{#N/A,#N/A,FALSE,"общепр.расх"}</definedName>
    <definedName name="город.сети" localSheetId="51" hidden="1">{#N/A,#N/A,FALSE,"общепр.расх"}</definedName>
    <definedName name="дол">[6]ЗАПОЛНЕНИЕ!$C$3</definedName>
    <definedName name="должность">'[7]ввод данных'!$C$4</definedName>
    <definedName name="ЁЁЁ" localSheetId="53">#REF!</definedName>
    <definedName name="ЁЁЁ" localSheetId="57">#REF!</definedName>
    <definedName name="ЁЁЁ" localSheetId="20">#REF!</definedName>
    <definedName name="ЁЁЁ" localSheetId="44">#REF!</definedName>
    <definedName name="ЁЁЁ" localSheetId="0">#REF!</definedName>
    <definedName name="ЁЁЁ" localSheetId="54">#REF!</definedName>
    <definedName name="ЁЁЁ" localSheetId="21">#REF!</definedName>
    <definedName name="ЁЁЁ" localSheetId="23">#REF!</definedName>
    <definedName name="ЁЁЁ" localSheetId="51">#REF!</definedName>
    <definedName name="ЁЁЁ_1">NA()</definedName>
    <definedName name="ЁЁЁ_2">NA()</definedName>
    <definedName name="ЁЁЁ_3">NA()</definedName>
    <definedName name="ЁЁЁ_4">NA()</definedName>
    <definedName name="ЁЁЁ_5">NA()</definedName>
    <definedName name="ЁЁЁ_6">NA()</definedName>
    <definedName name="жжж" localSheetId="57" hidden="1">{"Прибыль механ",#N/A,FALSE,"Механ"}</definedName>
    <definedName name="_xlnm.Print_Titles" localSheetId="24">'НВВ Расшифровка'!$5:$6</definedName>
    <definedName name="_xlnm.Print_Titles" localSheetId="106">'орг. Корр-ка НВВ 2014г.'!$5:$6</definedName>
    <definedName name="_xlnm.Print_Titles" localSheetId="6">'П 1.3.'!$5:$6</definedName>
    <definedName name="_xlnm.Print_Titles" localSheetId="97">'П1.30 - 07.06.11г.'!$6:$7</definedName>
    <definedName name="_xlnm.Print_Titles" localSheetId="9">'П1.30 -2022г., 1 и 2 п-е'!$6:$8</definedName>
    <definedName name="_xlnm.Print_Titles" localSheetId="54">'Пообъектн.расчет НИ 21-22гг.'!$8:$8</definedName>
    <definedName name="_xlnm.Print_Titles" localSheetId="105">'Прилож.2 структура 2011г.-2012г'!$7:$10</definedName>
    <definedName name="_xlnm.Print_Titles" localSheetId="2">'Расчет НВВ 2022г.'!$5:$6</definedName>
    <definedName name="_xlnm.Print_Titles" localSheetId="15">'РСЭО факт за 2012г.'!$4:$5</definedName>
    <definedName name="_xlnm.Print_Titles" localSheetId="16">'Услуги стор.орг..-2013г. '!$4:$5</definedName>
    <definedName name="_xlnm.Print_Titles" localSheetId="23">'Услуги стор.орг..-2014г. (2)'!$4:$4</definedName>
    <definedName name="_xlnm.Print_Titles" localSheetId="22">'Услуги стор.орг.-2021'!$5:$5</definedName>
    <definedName name="_xlnm.Print_Titles" localSheetId="33">'ФЗП  эл.эн.2014г. 2452'!$A:$B,'ФЗП  эл.эн.2014г. 2452'!$5:$7</definedName>
    <definedName name="_xlnm.Print_Titles" localSheetId="29">'ФЗП  эл.эн.2018г. 2326'!$A:$B,'ФЗП  эл.эн.2018г. 2326'!$5:$7</definedName>
    <definedName name="_xlnm.Print_Titles" localSheetId="51">'ФЗП  эл.эн.2021г. 2326 (2)'!$A:$B,'ФЗП  эл.эн.2021г. 2326 (2)'!$6:$8</definedName>
    <definedName name="ЗАД" localSheetId="86" hidden="1">{"Прибыль",#N/A,FALSE,"Литейн"}</definedName>
    <definedName name="ЗАД" localSheetId="109" hidden="1">{"Прибыль",#N/A,FALSE,"Литейн"}</definedName>
    <definedName name="ЗАД" localSheetId="76">{"Прибыль",#N/A,FALSE,"Литейн"}</definedName>
    <definedName name="ЗАД" localSheetId="53" hidden="1">{"Прибыль",#N/A,FALSE,"Литейн"}</definedName>
    <definedName name="ЗАД" localSheetId="77" hidden="1">{"Прибыль",#N/A,FALSE,"Литейн"}</definedName>
    <definedName name="ЗАД" localSheetId="1" hidden="1">{"Прибыль",#N/A,FALSE,"Литейн"}</definedName>
    <definedName name="ЗАД" localSheetId="57" hidden="1">{"Прибыль",#N/A,FALSE,"Литейн"}</definedName>
    <definedName name="ЗАД" localSheetId="99" hidden="1">{"Прибыль",#N/A,FALSE,"Литейн"}</definedName>
    <definedName name="ЗАД" localSheetId="20" hidden="1">{"Прибыль",#N/A,FALSE,"Литейн"}</definedName>
    <definedName name="ЗАД" localSheetId="106" hidden="1">{"Прибыль",#N/A,FALSE,"Литейн"}</definedName>
    <definedName name="ЗАД" localSheetId="54" hidden="1">{"Прибыль",#N/A,FALSE,"Литейн"}</definedName>
    <definedName name="ЗАД" localSheetId="2" hidden="1">{"Прибыль",#N/A,FALSE,"Литейн"}</definedName>
    <definedName name="ЗАД" localSheetId="21" hidden="1">{"Прибыль",#N/A,FALSE,"Литейн"}</definedName>
    <definedName name="ЗАД" localSheetId="33" hidden="1">{"Прибыль",#N/A,FALSE,"Литейн"}</definedName>
    <definedName name="ЗАД" localSheetId="29" hidden="1">{"Прибыль",#N/A,FALSE,"Литейн"}</definedName>
    <definedName name="ЗАД" localSheetId="51" hidden="1">{"Прибыль",#N/A,FALSE,"Литейн"}</definedName>
    <definedName name="им" localSheetId="86" hidden="1">{"Приибыль энерг",#N/A,FALSE,"Энерг"}</definedName>
    <definedName name="им" localSheetId="109" hidden="1">{"Приибыль энерг",#N/A,FALSE,"Энерг"}</definedName>
    <definedName name="им" localSheetId="76">{"Приибыль энерг",#N/A,FALSE,"Энерг"}</definedName>
    <definedName name="им" localSheetId="53" hidden="1">{"Приибыль энерг",#N/A,FALSE,"Энерг"}</definedName>
    <definedName name="им" localSheetId="77" hidden="1">{"Приибыль энерг",#N/A,FALSE,"Энерг"}</definedName>
    <definedName name="им" localSheetId="1" hidden="1">{"Приибыль энерг",#N/A,FALSE,"Энерг"}</definedName>
    <definedName name="им" localSheetId="57" hidden="1">{"Приибыль энерг",#N/A,FALSE,"Энерг"}</definedName>
    <definedName name="им" localSheetId="99" hidden="1">{"Приибыль энерг",#N/A,FALSE,"Энерг"}</definedName>
    <definedName name="им" localSheetId="20" hidden="1">{"Приибыль энерг",#N/A,FALSE,"Энерг"}</definedName>
    <definedName name="им" localSheetId="106" hidden="1">{"Приибыль энерг",#N/A,FALSE,"Энерг"}</definedName>
    <definedName name="им" localSheetId="54" hidden="1">{"Приибыль энерг",#N/A,FALSE,"Энерг"}</definedName>
    <definedName name="им" localSheetId="2" hidden="1">{"Приибыль энерг",#N/A,FALSE,"Энерг"}</definedName>
    <definedName name="им" localSheetId="21" hidden="1">{"Приибыль энерг",#N/A,FALSE,"Энерг"}</definedName>
    <definedName name="им" localSheetId="33" hidden="1">{"Приибыль энерг",#N/A,FALSE,"Энерг"}</definedName>
    <definedName name="им" localSheetId="29" hidden="1">{"Приибыль энерг",#N/A,FALSE,"Энерг"}</definedName>
    <definedName name="им" localSheetId="51" hidden="1">{"Приибыль энерг",#N/A,FALSE,"Энерг"}</definedName>
    <definedName name="исп">[6]ЗАПОЛНЕНИЕ!$I$2</definedName>
    <definedName name="исполнитель">'[7]ввод данных'!$C$3</definedName>
    <definedName name="_xlnm.Print_Area" localSheetId="73">'1тсо кроме мрск'!$A$1:$F$78</definedName>
    <definedName name="_xlnm.Print_Area" localSheetId="75">'2016 тсо кроме мрск'!$A$1:$F$78</definedName>
    <definedName name="_xlnm.Print_Area" localSheetId="76">'2016 тсо НК Энергосб'!$A$1:$F$78</definedName>
    <definedName name="_xlnm.Print_Area" localSheetId="74">'2тсо кроме мрск'!$A$1:$F$78</definedName>
    <definedName name="_xlnm.Print_Area" localSheetId="53">'Амортизация 21-22гг. (2)'!$A$1:$Z$48</definedName>
    <definedName name="_xlnm.Print_Area" localSheetId="1">'Выпад.дох.за 2015г.в тар.2017'!$A$1:$S$49</definedName>
    <definedName name="_xlnm.Print_Area" localSheetId="57">#REF!</definedName>
    <definedName name="_xlnm.Print_Area" localSheetId="78">'НВВ на содержание 2012г.'!$A$1:$G$86</definedName>
    <definedName name="_xlnm.Print_Area" localSheetId="24">'НВВ Расшифровка'!$A$1:$E$68</definedName>
    <definedName name="_xlnm.Print_Area" localSheetId="34">'нетФОТ 2020г. свод 2452'!$A$1:$Q$33</definedName>
    <definedName name="_xlnm.Print_Area" localSheetId="44">'НИ 2021-2022'!$A$1:$S$46</definedName>
    <definedName name="_xlnm.Print_Area" localSheetId="11">'НК Энерго 2022 год'!$A$1:$F$50</definedName>
    <definedName name="_xlnm.Print_Area" localSheetId="106">'орг. Корр-ка НВВ 2014г.'!$A$1:$M$73</definedName>
    <definedName name="_xlnm.Print_Area" localSheetId="55">'ОХР '!$A$1:$S$56</definedName>
    <definedName name="_xlnm.Print_Area" localSheetId="0">#REF!</definedName>
    <definedName name="_xlnm.Print_Area" localSheetId="9">'П1.30 -2022г., 1 и 2 п-е'!$A$1:$V$286</definedName>
    <definedName name="_xlnm.Print_Area" localSheetId="54">'Пообъектн.расчет НИ 21-22гг.'!$A$1:$AA$50</definedName>
    <definedName name="_xlnm.Print_Area" localSheetId="105">'Прилож.2 структура 2011г.-2012г'!$A$1:$L$66</definedName>
    <definedName name="_xlnm.Print_Area" localSheetId="2">'Расчет НВВ 2022г.'!$A$1:$N$90</definedName>
    <definedName name="_xlnm.Print_Area" localSheetId="10">'тсо 2022 год'!$A$1:$F$50</definedName>
    <definedName name="_xlnm.Print_Area" localSheetId="21">#REF!</definedName>
    <definedName name="_xlnm.Print_Area" localSheetId="23">'Услуги стор.орг..-2014г. (2)'!$A$1:$G$36</definedName>
    <definedName name="_xlnm.Print_Area" localSheetId="22">'Услуги стор.орг.-2021'!$A$1:$G$41</definedName>
    <definedName name="_xlnm.Print_Area" localSheetId="33">'ФЗП  эл.эн.2014г. 2452'!$A$1:$Z$54</definedName>
    <definedName name="_xlnm.Print_Area" localSheetId="29">'ФЗП  эл.эн.2018г. 2326'!$A$1:$Z$85</definedName>
    <definedName name="_xlnm.Print_Area" localSheetId="51">'ФЗП  эл.эн.2021г. 2326 (2)'!$A$1:$AB$78</definedName>
    <definedName name="_xlnm.Print_Area" localSheetId="52">'ФОТ 2021г. цех 2326'!$A$1:$H$35</definedName>
    <definedName name="_xlnm.Print_Area" localSheetId="7">Электроэнергия!$A$1:$L$36</definedName>
    <definedName name="_xlnm.Print_Area">#REF!</definedName>
    <definedName name="орг">[6]ЗАПОЛНЕНИЕ!$C$2</definedName>
    <definedName name="Организация">'[8]ввод данных'!$C$2</definedName>
    <definedName name="ос">[6]ЗАПОЛНЕНИЕ!$C$272:$C$283</definedName>
    <definedName name="ппп" localSheetId="86" hidden="1">{"Прибыль пресс",#N/A,FALSE,"Прессов"}</definedName>
    <definedName name="ппп" localSheetId="109" hidden="1">{"Прибыль пресс",#N/A,FALSE,"Прессов"}</definedName>
    <definedName name="ппп" localSheetId="76">{"Прибыль пресс",#N/A,FALSE,"Прессов"}</definedName>
    <definedName name="ппп" localSheetId="53" hidden="1">{"Прибыль пресс",#N/A,FALSE,"Прессов"}</definedName>
    <definedName name="ппп" localSheetId="77" hidden="1">{"Прибыль пресс",#N/A,FALSE,"Прессов"}</definedName>
    <definedName name="ппп" localSheetId="1" hidden="1">{"Прибыль пресс",#N/A,FALSE,"Прессов"}</definedName>
    <definedName name="ппп" localSheetId="57" hidden="1">{"Прибыль пресс",#N/A,FALSE,"Прессов"}</definedName>
    <definedName name="ппп" localSheetId="99" hidden="1">{"Прибыль пресс",#N/A,FALSE,"Прессов"}</definedName>
    <definedName name="ппп" localSheetId="20" hidden="1">{"Прибыль пресс",#N/A,FALSE,"Прессов"}</definedName>
    <definedName name="ппп" localSheetId="106" hidden="1">{"Прибыль пресс",#N/A,FALSE,"Прессов"}</definedName>
    <definedName name="ппп" localSheetId="54" hidden="1">{"Прибыль пресс",#N/A,FALSE,"Прессов"}</definedName>
    <definedName name="ппп" localSheetId="2" hidden="1">{"Прибыль пресс",#N/A,FALSE,"Прессов"}</definedName>
    <definedName name="ппп" localSheetId="21" hidden="1">{"Прибыль пресс",#N/A,FALSE,"Прессов"}</definedName>
    <definedName name="ппп" localSheetId="33" hidden="1">{"Прибыль пресс",#N/A,FALSE,"Прессов"}</definedName>
    <definedName name="ппп" localSheetId="29" hidden="1">{"Прибыль пресс",#N/A,FALSE,"Прессов"}</definedName>
    <definedName name="ппп" localSheetId="51" hidden="1">{"Прибыль пресс",#N/A,FALSE,"Прессов"}</definedName>
    <definedName name="про" localSheetId="53">#REF!</definedName>
    <definedName name="про" localSheetId="57">#REF!</definedName>
    <definedName name="про" localSheetId="20">#REF!</definedName>
    <definedName name="про" localSheetId="44">#REF!</definedName>
    <definedName name="про" localSheetId="0">#REF!</definedName>
    <definedName name="про" localSheetId="54">#REF!</definedName>
    <definedName name="про" localSheetId="21">#REF!</definedName>
    <definedName name="про" localSheetId="23">#REF!</definedName>
    <definedName name="про" localSheetId="51">#REF!</definedName>
    <definedName name="про_1">NA()</definedName>
    <definedName name="про_2">NA()</definedName>
    <definedName name="про_3">NA()</definedName>
    <definedName name="про_4">NA()</definedName>
    <definedName name="про_5">NA()</definedName>
    <definedName name="про_6">NA()</definedName>
    <definedName name="рп" localSheetId="53">#REF!</definedName>
    <definedName name="рп" localSheetId="57">#REF!</definedName>
    <definedName name="рп" localSheetId="20">#REF!</definedName>
    <definedName name="рп" localSheetId="44">#REF!</definedName>
    <definedName name="рп" localSheetId="0">#REF!</definedName>
    <definedName name="рп" localSheetId="54">#REF!</definedName>
    <definedName name="рп" localSheetId="21">#REF!</definedName>
    <definedName name="рп" localSheetId="23">#REF!</definedName>
    <definedName name="рп" localSheetId="51">#REF!</definedName>
    <definedName name="рп_1">NA()</definedName>
    <definedName name="рп_2">NA()</definedName>
    <definedName name="рп_3">NA()</definedName>
    <definedName name="рп_4">NA()</definedName>
    <definedName name="рп_5">NA()</definedName>
    <definedName name="рп_6">NA()</definedName>
    <definedName name="т3.1" localSheetId="54">'[6]3.1'!#REF!</definedName>
    <definedName name="т3.1" localSheetId="21">'[6]3.1'!#REF!</definedName>
    <definedName name="т3.1" localSheetId="51">'[6]3.1'!#REF!</definedName>
    <definedName name="тел">[6]ЗАПОЛНЕНИЕ!$I$3</definedName>
    <definedName name="ТТТ" localSheetId="109" hidden="1">{#N/A,#N/A,FALSE,"общепр.расх"}</definedName>
    <definedName name="ТТТ" localSheetId="53" hidden="1">{#N/A,#N/A,FALSE,"общепр.расх"}</definedName>
    <definedName name="ТТТ" localSheetId="57" hidden="1">#REF!</definedName>
    <definedName name="ТТТ" localSheetId="20" hidden="1">{#N/A,#N/A,FALSE,"общепр.расх"}</definedName>
    <definedName name="ТТТ" localSheetId="54" hidden="1">{#N/A,#N/A,FALSE,"общепр.расх"}</definedName>
    <definedName name="ТТТ" localSheetId="21" hidden="1">{#N/A,#N/A,FALSE,"общепр.расх"}</definedName>
    <definedName name="тттт" localSheetId="53">#REF!</definedName>
    <definedName name="тттт" localSheetId="57">#REF!</definedName>
    <definedName name="тттт" localSheetId="44">#REF!</definedName>
    <definedName name="тттт" localSheetId="54">#REF!</definedName>
    <definedName name="тттт" localSheetId="21">#REF!</definedName>
    <definedName name="тттт" localSheetId="23">#REF!</definedName>
    <definedName name="тттт" localSheetId="51">#REF!</definedName>
    <definedName name="Услуги" localSheetId="86" hidden="1">{#N/A,#N/A,FALSE,"общепр.расх"}</definedName>
    <definedName name="Услуги" localSheetId="109" hidden="1">{#N/A,#N/A,FALSE,"общепр.расх"}</definedName>
    <definedName name="Услуги" localSheetId="76">{#N/A,#N/A,FALSE,"общепр.расх"}</definedName>
    <definedName name="Услуги" localSheetId="53" hidden="1">{#N/A,#N/A,FALSE,"общепр.расх"}</definedName>
    <definedName name="Услуги" localSheetId="77" hidden="1">{#N/A,#N/A,FALSE,"общепр.расх"}</definedName>
    <definedName name="Услуги" localSheetId="1" hidden="1">{#N/A,#N/A,FALSE,"общепр.расх"}</definedName>
    <definedName name="Услуги" localSheetId="57" hidden="1">{#N/A,#N/A,FALSE,"общепр.расх"}</definedName>
    <definedName name="Услуги" localSheetId="99" hidden="1">{#N/A,#N/A,FALSE,"общепр.расх"}</definedName>
    <definedName name="Услуги" localSheetId="20" hidden="1">{#N/A,#N/A,FALSE,"общепр.расх"}</definedName>
    <definedName name="Услуги" localSheetId="106" hidden="1">{#N/A,#N/A,FALSE,"общепр.расх"}</definedName>
    <definedName name="Услуги" localSheetId="54" hidden="1">{#N/A,#N/A,FALSE,"общепр.расх"}</definedName>
    <definedName name="Услуги" localSheetId="2" hidden="1">{#N/A,#N/A,FALSE,"общепр.расх"}</definedName>
    <definedName name="Услуги" localSheetId="21" hidden="1">{#N/A,#N/A,FALSE,"общепр.расх"}</definedName>
    <definedName name="Услуги" localSheetId="33" hidden="1">{#N/A,#N/A,FALSE,"общепр.расх"}</definedName>
    <definedName name="Услуги" localSheetId="29" hidden="1">{#N/A,#N/A,FALSE,"общепр.расх"}</definedName>
    <definedName name="Услуги" localSheetId="51" hidden="1">{#N/A,#N/A,FALSE,"общепр.расх"}</definedName>
    <definedName name="фио">[9]расчет!$N$11</definedName>
    <definedName name="цех.себ." localSheetId="86" hidden="1">{#N/A,#N/A,FALSE,"общепр.расх"}</definedName>
    <definedName name="цех.себ." localSheetId="109" hidden="1">{#N/A,#N/A,FALSE,"общепр.расх"}</definedName>
    <definedName name="цех.себ." localSheetId="76">{#N/A,#N/A,FALSE,"общепр.расх"}</definedName>
    <definedName name="цех.себ." localSheetId="53" hidden="1">{#N/A,#N/A,FALSE,"общепр.расх"}</definedName>
    <definedName name="цех.себ." localSheetId="77" hidden="1">{#N/A,#N/A,FALSE,"общепр.расх"}</definedName>
    <definedName name="цех.себ." localSheetId="1" hidden="1">{#N/A,#N/A,FALSE,"общепр.расх"}</definedName>
    <definedName name="цех.себ." localSheetId="57" hidden="1">{#N/A,#N/A,FALSE,"общепр.расх"}</definedName>
    <definedName name="цех.себ." localSheetId="99" hidden="1">{#N/A,#N/A,FALSE,"общепр.расх"}</definedName>
    <definedName name="цех.себ." localSheetId="20" hidden="1">{#N/A,#N/A,FALSE,"общепр.расх"}</definedName>
    <definedName name="цех.себ." localSheetId="106" hidden="1">{#N/A,#N/A,FALSE,"общепр.расх"}</definedName>
    <definedName name="цех.себ." localSheetId="54" hidden="1">{#N/A,#N/A,FALSE,"общепр.расх"}</definedName>
    <definedName name="цех.себ." localSheetId="2" hidden="1">{#N/A,#N/A,FALSE,"общепр.расх"}</definedName>
    <definedName name="цех.себ." localSheetId="21" hidden="1">{#N/A,#N/A,FALSE,"общепр.расх"}</definedName>
    <definedName name="цех.себ." localSheetId="33" hidden="1">{#N/A,#N/A,FALSE,"общепр.расх"}</definedName>
    <definedName name="цех.себ." localSheetId="29" hidden="1">{#N/A,#N/A,FALSE,"общепр.расх"}</definedName>
    <definedName name="цех.себ." localSheetId="51" hidden="1">{#N/A,#N/A,FALSE,"общепр.расх"}</definedName>
    <definedName name="ьтьтьтьт" localSheetId="54">#REF!</definedName>
    <definedName name="ьтьтьтьт" localSheetId="21">#REF!</definedName>
    <definedName name="ьтьтьтьт" localSheetId="51">#REF!</definedName>
  </definedNames>
  <calcPr calcId="145621"/>
</workbook>
</file>

<file path=xl/calcChain.xml><?xml version="1.0" encoding="utf-8"?>
<calcChain xmlns="http://schemas.openxmlformats.org/spreadsheetml/2006/main">
  <c r="A28" i="188" l="1"/>
  <c r="A29" i="188" s="1"/>
  <c r="A30" i="188" s="1"/>
  <c r="A31" i="188" s="1"/>
  <c r="A32" i="188" s="1"/>
  <c r="S1" i="149" l="1"/>
  <c r="AA30" i="148"/>
  <c r="U30" i="148"/>
  <c r="Y30" i="148" s="1"/>
  <c r="S30" i="148"/>
  <c r="W30" i="148" s="1"/>
  <c r="G30" i="148"/>
  <c r="V30" i="148" s="1"/>
  <c r="V28" i="148"/>
  <c r="G27" i="148"/>
  <c r="G28" i="148"/>
  <c r="G29" i="148"/>
  <c r="G31" i="148"/>
  <c r="G32" i="148"/>
  <c r="G33" i="148"/>
  <c r="G22" i="148"/>
  <c r="G23" i="148"/>
  <c r="G24" i="148"/>
  <c r="G25" i="148"/>
  <c r="G26" i="148"/>
  <c r="G21" i="148"/>
  <c r="G19" i="148"/>
  <c r="V11" i="148"/>
  <c r="V10" i="148"/>
  <c r="G10" i="148"/>
  <c r="G11" i="148"/>
  <c r="G12" i="148"/>
  <c r="V12" i="148" s="1"/>
  <c r="G13" i="148"/>
  <c r="G14" i="148"/>
  <c r="G15" i="148"/>
  <c r="V15" i="148" s="1"/>
  <c r="G16" i="148"/>
  <c r="G17" i="148"/>
  <c r="G18" i="148"/>
  <c r="G9" i="148"/>
  <c r="V78" i="148"/>
  <c r="G76" i="148"/>
  <c r="G77" i="148"/>
  <c r="G78" i="148"/>
  <c r="G75" i="148"/>
  <c r="G74" i="148"/>
  <c r="A73" i="148"/>
  <c r="G71" i="148"/>
  <c r="G69" i="148"/>
  <c r="V65" i="148"/>
  <c r="G65" i="148"/>
  <c r="G66" i="148"/>
  <c r="G67" i="148"/>
  <c r="G68" i="148"/>
  <c r="G70" i="148"/>
  <c r="G72" i="148"/>
  <c r="G64" i="148"/>
  <c r="G60" i="148"/>
  <c r="G61" i="148"/>
  <c r="G62" i="148"/>
  <c r="G63" i="148"/>
  <c r="G73" i="148"/>
  <c r="V73" i="148" s="1"/>
  <c r="U59" i="148"/>
  <c r="Y59" i="148" s="1"/>
  <c r="S59" i="148"/>
  <c r="G59" i="148"/>
  <c r="V59" i="148" s="1"/>
  <c r="U49" i="148"/>
  <c r="Y49" i="148" s="1"/>
  <c r="S49" i="148"/>
  <c r="G49" i="148"/>
  <c r="V49" i="148" s="1"/>
  <c r="G48" i="148"/>
  <c r="G50" i="148"/>
  <c r="G51" i="148"/>
  <c r="G52" i="148"/>
  <c r="G53" i="148"/>
  <c r="G54" i="148"/>
  <c r="G55" i="148"/>
  <c r="G56" i="148"/>
  <c r="G57" i="148"/>
  <c r="G58" i="148"/>
  <c r="G40" i="148"/>
  <c r="G41" i="148"/>
  <c r="V41" i="148" s="1"/>
  <c r="G42" i="148"/>
  <c r="G43" i="148"/>
  <c r="G44" i="148"/>
  <c r="G45" i="148"/>
  <c r="G46" i="148"/>
  <c r="G47" i="148"/>
  <c r="G38" i="148"/>
  <c r="G39" i="148"/>
  <c r="G37" i="148"/>
  <c r="G36" i="148"/>
  <c r="K36" i="148" s="1"/>
  <c r="C8" i="175"/>
  <c r="B8" i="175"/>
  <c r="T30" i="148" l="1"/>
  <c r="X30" i="148" s="1"/>
  <c r="Z30" i="148" s="1"/>
  <c r="W59" i="148"/>
  <c r="T59" i="148"/>
  <c r="X59" i="148" s="1"/>
  <c r="W49" i="148"/>
  <c r="T49" i="148"/>
  <c r="X49" i="148" s="1"/>
  <c r="AB30" i="148" l="1"/>
  <c r="Z49" i="148"/>
  <c r="Z59" i="148"/>
  <c r="AB59" i="148"/>
  <c r="AB49" i="148"/>
  <c r="V72" i="148" l="1"/>
  <c r="G20" i="148"/>
  <c r="V20" i="148" s="1"/>
  <c r="V22" i="148"/>
  <c r="V23" i="148"/>
  <c r="E86" i="148"/>
  <c r="F25" i="181" l="1"/>
  <c r="K25" i="181" s="1"/>
  <c r="I30" i="181"/>
  <c r="A24" i="181"/>
  <c r="F23" i="181"/>
  <c r="G23" i="181" s="1"/>
  <c r="E23" i="181"/>
  <c r="K21" i="181"/>
  <c r="F18" i="181"/>
  <c r="A15" i="181"/>
  <c r="A16" i="181" s="1"/>
  <c r="A17" i="181" s="1"/>
  <c r="A18" i="181" s="1"/>
  <c r="A20" i="181" s="1"/>
  <c r="G14" i="181"/>
  <c r="F14" i="181"/>
  <c r="I13" i="181"/>
  <c r="F10" i="181"/>
  <c r="F9" i="181"/>
  <c r="F8" i="181"/>
  <c r="G8" i="181" s="1"/>
  <c r="A8" i="181"/>
  <c r="A9" i="181" s="1"/>
  <c r="A10" i="181" s="1"/>
  <c r="F7" i="181"/>
  <c r="G7" i="181" s="1"/>
  <c r="A7" i="181"/>
  <c r="F6" i="181"/>
  <c r="G6" i="181" s="1"/>
  <c r="I4" i="181"/>
  <c r="J20" i="181" l="1"/>
  <c r="F26" i="181"/>
  <c r="D8" i="175"/>
  <c r="V26" i="148"/>
  <c r="V25" i="148"/>
  <c r="V61" i="148"/>
  <c r="AA22" i="148"/>
  <c r="U22" i="148"/>
  <c r="Y22" i="148" s="1"/>
  <c r="S22" i="148"/>
  <c r="W22" i="148" s="1"/>
  <c r="Q29" i="149"/>
  <c r="H26" i="176"/>
  <c r="Q20" i="149"/>
  <c r="Q18" i="149"/>
  <c r="Q17" i="149"/>
  <c r="Q12" i="149"/>
  <c r="R12" i="149"/>
  <c r="P20" i="149"/>
  <c r="R21" i="149"/>
  <c r="Q21" i="149"/>
  <c r="Q14" i="149"/>
  <c r="T13" i="149"/>
  <c r="S16" i="149"/>
  <c r="Q13" i="149"/>
  <c r="S13" i="149" s="1"/>
  <c r="Q30" i="149" l="1"/>
  <c r="Q31" i="149" s="1"/>
  <c r="T22" i="148"/>
  <c r="R16" i="149"/>
  <c r="V76" i="148"/>
  <c r="E34" i="148"/>
  <c r="A10" i="148"/>
  <c r="V24" i="148"/>
  <c r="V27" i="148"/>
  <c r="V31" i="148"/>
  <c r="V33" i="148"/>
  <c r="AA9" i="148"/>
  <c r="V9" i="148"/>
  <c r="U9" i="148"/>
  <c r="Y9" i="148" s="1"/>
  <c r="T9" i="148"/>
  <c r="X9" i="148" s="1"/>
  <c r="S9" i="148"/>
  <c r="W9" i="148" s="1"/>
  <c r="K66" i="148"/>
  <c r="K77" i="148"/>
  <c r="K67" i="148"/>
  <c r="K37" i="148"/>
  <c r="K45" i="148"/>
  <c r="V46" i="148"/>
  <c r="K51" i="148"/>
  <c r="K60" i="148"/>
  <c r="AB22" i="148" l="1"/>
  <c r="X22" i="148"/>
  <c r="Z22" i="148" s="1"/>
  <c r="Z9" i="148"/>
  <c r="AB9" i="148"/>
  <c r="G15" i="149" l="1"/>
  <c r="G11" i="149"/>
  <c r="G9" i="149"/>
  <c r="E21" i="176"/>
  <c r="E20" i="176"/>
  <c r="G18" i="176"/>
  <c r="D18" i="176"/>
  <c r="C18" i="176"/>
  <c r="N32" i="176" s="1"/>
  <c r="E17" i="176"/>
  <c r="E16" i="176"/>
  <c r="E18" i="176" s="1"/>
  <c r="L47" i="178"/>
  <c r="J47" i="178"/>
  <c r="F47" i="178"/>
  <c r="G47" i="178" s="1"/>
  <c r="L46" i="178"/>
  <c r="J46" i="178"/>
  <c r="I46" i="178"/>
  <c r="K46" i="178" s="1"/>
  <c r="G46" i="178"/>
  <c r="L45" i="178"/>
  <c r="K45" i="178"/>
  <c r="J45" i="178"/>
  <c r="G45" i="178"/>
  <c r="L44" i="178"/>
  <c r="K44" i="178"/>
  <c r="J44" i="178"/>
  <c r="G44" i="178"/>
  <c r="L43" i="178"/>
  <c r="K43" i="178"/>
  <c r="J43" i="178"/>
  <c r="L42" i="178"/>
  <c r="K42" i="178"/>
  <c r="J42" i="178"/>
  <c r="L41" i="178"/>
  <c r="K41" i="178"/>
  <c r="J41" i="178"/>
  <c r="J40" i="178"/>
  <c r="F40" i="178"/>
  <c r="G40" i="178" s="1"/>
  <c r="L39" i="178"/>
  <c r="J39" i="178"/>
  <c r="I39" i="178"/>
  <c r="K39" i="178" s="1"/>
  <c r="G39" i="178"/>
  <c r="L38" i="178"/>
  <c r="J38" i="178"/>
  <c r="I38" i="178"/>
  <c r="K38" i="178" s="1"/>
  <c r="G38" i="178"/>
  <c r="L37" i="178"/>
  <c r="J37" i="178"/>
  <c r="I37" i="178"/>
  <c r="K37" i="178" s="1"/>
  <c r="G37" i="178"/>
  <c r="L36" i="178"/>
  <c r="J36" i="178"/>
  <c r="I36" i="178"/>
  <c r="K36" i="178" s="1"/>
  <c r="L35" i="178"/>
  <c r="J35" i="178"/>
  <c r="I35" i="178"/>
  <c r="K35" i="178" s="1"/>
  <c r="L34" i="178"/>
  <c r="J34" i="178"/>
  <c r="F34" i="178"/>
  <c r="L33" i="178"/>
  <c r="K33" i="178"/>
  <c r="J33" i="178"/>
  <c r="L32" i="178"/>
  <c r="K32" i="178"/>
  <c r="J32" i="178"/>
  <c r="G32" i="178"/>
  <c r="L31" i="178"/>
  <c r="K31" i="178"/>
  <c r="J31" i="178"/>
  <c r="L30" i="178"/>
  <c r="J30" i="178"/>
  <c r="G30" i="178"/>
  <c r="F30" i="178"/>
  <c r="L29" i="178"/>
  <c r="K29" i="178"/>
  <c r="J29" i="178"/>
  <c r="L28" i="178"/>
  <c r="K28" i="178"/>
  <c r="J28" i="178"/>
  <c r="L27" i="178"/>
  <c r="K27" i="178"/>
  <c r="J27" i="178"/>
  <c r="L26" i="178"/>
  <c r="K26" i="178"/>
  <c r="J26" i="178"/>
  <c r="L25" i="178"/>
  <c r="K25" i="178"/>
  <c r="J25" i="178"/>
  <c r="L24" i="178"/>
  <c r="K24" i="178"/>
  <c r="J24" i="178"/>
  <c r="L23" i="178"/>
  <c r="K23" i="178"/>
  <c r="J23" i="178"/>
  <c r="L22" i="178"/>
  <c r="J22" i="178"/>
  <c r="I22" i="178"/>
  <c r="K22" i="178" s="1"/>
  <c r="G22" i="178"/>
  <c r="L21" i="178"/>
  <c r="K21" i="178"/>
  <c r="J21" i="178"/>
  <c r="G21" i="178"/>
  <c r="L20" i="178"/>
  <c r="K20" i="178"/>
  <c r="J20" i="178"/>
  <c r="G20" i="178"/>
  <c r="L19" i="178"/>
  <c r="J19" i="178"/>
  <c r="I19" i="178"/>
  <c r="K19" i="178" s="1"/>
  <c r="G19" i="178"/>
  <c r="L18" i="178"/>
  <c r="K18" i="178"/>
  <c r="J18" i="178"/>
  <c r="L17" i="178"/>
  <c r="K17" i="178"/>
  <c r="J17" i="178"/>
  <c r="L16" i="178"/>
  <c r="K16" i="178"/>
  <c r="J16" i="178"/>
  <c r="L15" i="178"/>
  <c r="K15" i="178"/>
  <c r="J15" i="178"/>
  <c r="L14" i="178"/>
  <c r="K14" i="178"/>
  <c r="J14" i="178"/>
  <c r="G14" i="178"/>
  <c r="L13" i="178"/>
  <c r="K13" i="178"/>
  <c r="J13" i="178"/>
  <c r="G13" i="178"/>
  <c r="L12" i="178"/>
  <c r="J12" i="178"/>
  <c r="I12" i="178"/>
  <c r="K12" i="178" s="1"/>
  <c r="G12" i="178"/>
  <c r="B7" i="178"/>
  <c r="C7" i="178" s="1"/>
  <c r="D7" i="178" s="1"/>
  <c r="E7" i="178" s="1"/>
  <c r="F7" i="178" s="1"/>
  <c r="A3" i="178"/>
  <c r="F48" i="177"/>
  <c r="G48" i="177" s="1"/>
  <c r="F47" i="177"/>
  <c r="G47" i="177" s="1"/>
  <c r="G46" i="177"/>
  <c r="K43" i="177"/>
  <c r="F43" i="177"/>
  <c r="G43" i="177" s="1"/>
  <c r="G41" i="177"/>
  <c r="G40" i="177"/>
  <c r="G37" i="177"/>
  <c r="G36" i="177"/>
  <c r="G27" i="177"/>
  <c r="G24" i="177"/>
  <c r="G33" i="177" s="1"/>
  <c r="B12" i="177"/>
  <c r="C12" i="177" s="1"/>
  <c r="D12" i="177" s="1"/>
  <c r="E12" i="177" s="1"/>
  <c r="F12" i="177" s="1"/>
  <c r="D22" i="176"/>
  <c r="N36" i="176"/>
  <c r="N30" i="176"/>
  <c r="G22" i="176"/>
  <c r="N20" i="176"/>
  <c r="L22" i="176"/>
  <c r="I20" i="176"/>
  <c r="N19" i="176"/>
  <c r="J19" i="176"/>
  <c r="P18" i="176"/>
  <c r="N18" i="176"/>
  <c r="J17" i="176"/>
  <c r="I17" i="176"/>
  <c r="J16" i="176"/>
  <c r="I16" i="176"/>
  <c r="I18" i="176" l="1"/>
  <c r="L20" i="176"/>
  <c r="G49" i="177"/>
  <c r="L5" i="177" s="1"/>
  <c r="G49" i="178"/>
  <c r="K51" i="178"/>
  <c r="J18" i="176"/>
  <c r="P22" i="176"/>
  <c r="G44" i="177"/>
  <c r="J49" i="177" s="1"/>
  <c r="G34" i="178"/>
  <c r="L4" i="177" s="1"/>
  <c r="G24" i="149"/>
  <c r="G26" i="149"/>
  <c r="L2" i="177"/>
  <c r="L3" i="177"/>
  <c r="J48" i="178"/>
  <c r="N22" i="176"/>
  <c r="I21" i="176"/>
  <c r="I22" i="176" s="1"/>
  <c r="N23" i="176" s="1"/>
  <c r="N34" i="176"/>
  <c r="N38" i="176" s="1"/>
  <c r="Q18" i="176"/>
  <c r="C22" i="176"/>
  <c r="E22" i="176" s="1"/>
  <c r="A3" i="156"/>
  <c r="K93" i="174"/>
  <c r="K91" i="174"/>
  <c r="J91" i="174"/>
  <c r="E91" i="174"/>
  <c r="E92" i="174" s="1"/>
  <c r="C91" i="174"/>
  <c r="C92" i="174" s="1"/>
  <c r="E90" i="174"/>
  <c r="C90" i="174"/>
  <c r="T87" i="174" s="1"/>
  <c r="I82" i="174"/>
  <c r="F82" i="174"/>
  <c r="K66" i="174"/>
  <c r="L61" i="174"/>
  <c r="K61" i="174"/>
  <c r="L56" i="174"/>
  <c r="K56" i="174"/>
  <c r="L54" i="174"/>
  <c r="K54" i="174"/>
  <c r="L52" i="174"/>
  <c r="K52" i="174"/>
  <c r="K51" i="174"/>
  <c r="L49" i="174"/>
  <c r="K49" i="174"/>
  <c r="L48" i="174"/>
  <c r="K48" i="174"/>
  <c r="L44" i="174"/>
  <c r="K44" i="174"/>
  <c r="I30" i="174"/>
  <c r="K84" i="174" s="1"/>
  <c r="F30" i="174"/>
  <c r="J29" i="174"/>
  <c r="J28" i="174"/>
  <c r="J27" i="174"/>
  <c r="J17" i="174"/>
  <c r="J12" i="174"/>
  <c r="K12" i="174" s="1"/>
  <c r="G50" i="178" l="1"/>
  <c r="L7" i="177"/>
  <c r="B10" i="175"/>
  <c r="T92" i="174"/>
  <c r="F87" i="174"/>
  <c r="G94" i="174" s="1"/>
  <c r="F96" i="174" s="1"/>
  <c r="T91" i="174"/>
  <c r="F36" i="174"/>
  <c r="F91" i="174"/>
  <c r="F34" i="153"/>
  <c r="I34" i="178" s="1"/>
  <c r="K34" i="178" s="1"/>
  <c r="F30" i="153"/>
  <c r="I30" i="178" s="1"/>
  <c r="K30" i="178" s="1"/>
  <c r="F47" i="173"/>
  <c r="G47" i="173" s="1"/>
  <c r="G46" i="173"/>
  <c r="G45" i="173"/>
  <c r="G44" i="173"/>
  <c r="F40" i="173"/>
  <c r="G40" i="173" s="1"/>
  <c r="G39" i="173"/>
  <c r="G38" i="173"/>
  <c r="G34" i="173"/>
  <c r="G32" i="173"/>
  <c r="F30" i="173"/>
  <c r="G30" i="173" s="1"/>
  <c r="F22" i="173"/>
  <c r="G22" i="173" s="1"/>
  <c r="G21" i="173"/>
  <c r="G20" i="173"/>
  <c r="G19" i="173"/>
  <c r="G14" i="173"/>
  <c r="G13" i="173"/>
  <c r="G12" i="173"/>
  <c r="B7" i="173"/>
  <c r="C7" i="173" s="1"/>
  <c r="D7" i="173" s="1"/>
  <c r="E7" i="173" s="1"/>
  <c r="F7" i="173" s="1"/>
  <c r="F48" i="172"/>
  <c r="G48" i="172" s="1"/>
  <c r="F47" i="172"/>
  <c r="G47" i="172" s="1"/>
  <c r="G46" i="172"/>
  <c r="K43" i="172"/>
  <c r="G43" i="172"/>
  <c r="F43" i="172"/>
  <c r="G41" i="172"/>
  <c r="G40" i="172"/>
  <c r="G37" i="172"/>
  <c r="G44" i="172" s="1"/>
  <c r="G36" i="172"/>
  <c r="G27" i="172"/>
  <c r="G24" i="172"/>
  <c r="G33" i="172" s="1"/>
  <c r="C12" i="172"/>
  <c r="D12" i="172" s="1"/>
  <c r="E12" i="172" s="1"/>
  <c r="F12" i="172" s="1"/>
  <c r="B12" i="172"/>
  <c r="L9" i="172"/>
  <c r="K51" i="173" l="1"/>
  <c r="L3" i="172"/>
  <c r="L4" i="172"/>
  <c r="G49" i="173"/>
  <c r="L2" i="172" s="1"/>
  <c r="L1" i="177"/>
  <c r="J51" i="178"/>
  <c r="F100" i="174"/>
  <c r="D38" i="174"/>
  <c r="F101" i="174" s="1"/>
  <c r="F92" i="174"/>
  <c r="J51" i="173"/>
  <c r="G49" i="172"/>
  <c r="L5" i="172" s="1"/>
  <c r="J48" i="173"/>
  <c r="G50" i="173"/>
  <c r="L1" i="172" s="1"/>
  <c r="M3" i="172" s="1"/>
  <c r="M5" i="177" l="1"/>
  <c r="M3" i="177"/>
  <c r="M2" i="177"/>
  <c r="M4" i="177"/>
  <c r="J49" i="172"/>
  <c r="L7" i="172"/>
  <c r="M2" i="172"/>
  <c r="M5" i="172"/>
  <c r="M4" i="172"/>
  <c r="F40" i="153" l="1"/>
  <c r="I40" i="178" s="1"/>
  <c r="K40" i="178" s="1"/>
  <c r="F47" i="153"/>
  <c r="I47" i="178" s="1"/>
  <c r="K47" i="178" s="1"/>
  <c r="G37" i="153"/>
  <c r="D65" i="138"/>
  <c r="A64" i="138"/>
  <c r="A63" i="138"/>
  <c r="B61" i="138"/>
  <c r="F60" i="138"/>
  <c r="C60" i="138"/>
  <c r="B60" i="138"/>
  <c r="B58" i="138"/>
  <c r="F57" i="138"/>
  <c r="E57" i="138"/>
  <c r="E27" i="138" s="1"/>
  <c r="B27" i="138" s="1"/>
  <c r="B57" i="138"/>
  <c r="B55" i="138"/>
  <c r="F54" i="138"/>
  <c r="E54" i="138"/>
  <c r="E50" i="138" s="1"/>
  <c r="B50" i="138" s="1"/>
  <c r="B54" i="138"/>
  <c r="K51" i="138"/>
  <c r="F51" i="138"/>
  <c r="E51" i="138"/>
  <c r="B51" i="138" s="1"/>
  <c r="F50" i="138"/>
  <c r="G51" i="138" s="1"/>
  <c r="B48" i="138"/>
  <c r="F47" i="138"/>
  <c r="B47" i="138" s="1"/>
  <c r="B45" i="138"/>
  <c r="F44" i="138"/>
  <c r="F24" i="138" s="1"/>
  <c r="F20" i="138" s="1"/>
  <c r="F9" i="138" s="1"/>
  <c r="B44" i="138"/>
  <c r="F41" i="138"/>
  <c r="B41" i="138" s="1"/>
  <c r="K31" i="138"/>
  <c r="G31" i="138"/>
  <c r="J29" i="138"/>
  <c r="F28" i="138"/>
  <c r="E28" i="138"/>
  <c r="B28" i="138" s="1"/>
  <c r="F27" i="138"/>
  <c r="F25" i="138"/>
  <c r="F21" i="138" s="1"/>
  <c r="E25" i="138"/>
  <c r="B25" i="138" s="1"/>
  <c r="K21" i="138"/>
  <c r="J19" i="138"/>
  <c r="K18" i="138"/>
  <c r="G18" i="138"/>
  <c r="K14" i="138"/>
  <c r="F14" i="138"/>
  <c r="B14" i="138"/>
  <c r="F13" i="138"/>
  <c r="E13" i="138"/>
  <c r="C13" i="138"/>
  <c r="C9" i="138" s="1"/>
  <c r="B13" i="138"/>
  <c r="C10" i="138"/>
  <c r="A2" i="138"/>
  <c r="B61" i="137"/>
  <c r="F60" i="137"/>
  <c r="C60" i="137"/>
  <c r="B60" i="137"/>
  <c r="B58" i="137"/>
  <c r="F57" i="137"/>
  <c r="E57" i="137"/>
  <c r="B57" i="137"/>
  <c r="B55" i="137"/>
  <c r="F54" i="137"/>
  <c r="E54" i="137"/>
  <c r="E24" i="137" s="1"/>
  <c r="B54" i="137"/>
  <c r="K51" i="137"/>
  <c r="F51" i="137"/>
  <c r="E51" i="137"/>
  <c r="B51" i="137" s="1"/>
  <c r="F50" i="137"/>
  <c r="G51" i="137" s="1"/>
  <c r="E50" i="137"/>
  <c r="B50" i="137" s="1"/>
  <c r="B48" i="137"/>
  <c r="F47" i="137"/>
  <c r="B47" i="137" s="1"/>
  <c r="B45" i="137"/>
  <c r="F44" i="137"/>
  <c r="B44" i="137"/>
  <c r="F41" i="137"/>
  <c r="B41" i="137"/>
  <c r="K31" i="137"/>
  <c r="G31" i="137"/>
  <c r="J29" i="137"/>
  <c r="G29" i="137"/>
  <c r="F28" i="137"/>
  <c r="E28" i="137"/>
  <c r="B28" i="137" s="1"/>
  <c r="F27" i="137"/>
  <c r="E27" i="137"/>
  <c r="B27" i="137" s="1"/>
  <c r="F25" i="137"/>
  <c r="E25" i="137"/>
  <c r="B25" i="137" s="1"/>
  <c r="F24" i="137"/>
  <c r="F20" i="137" s="1"/>
  <c r="G21" i="137" s="1"/>
  <c r="K21" i="137"/>
  <c r="F21" i="137"/>
  <c r="F10" i="137" s="1"/>
  <c r="J19" i="137"/>
  <c r="K18" i="137"/>
  <c r="G18" i="137"/>
  <c r="K14" i="137"/>
  <c r="G14" i="137"/>
  <c r="F14" i="137"/>
  <c r="B14" i="137"/>
  <c r="F13" i="137"/>
  <c r="E13" i="137"/>
  <c r="B13" i="137" s="1"/>
  <c r="C13" i="137"/>
  <c r="C10" i="137"/>
  <c r="C9" i="137"/>
  <c r="E20" i="137" l="1"/>
  <c r="E9" i="137" s="1"/>
  <c r="B24" i="137"/>
  <c r="F10" i="138"/>
  <c r="G14" i="138"/>
  <c r="E21" i="138"/>
  <c r="E24" i="138"/>
  <c r="E21" i="137"/>
  <c r="G29" i="138"/>
  <c r="G21" i="138"/>
  <c r="F40" i="138"/>
  <c r="F9" i="137"/>
  <c r="B9" i="137" s="1"/>
  <c r="F40" i="137"/>
  <c r="J7" i="147"/>
  <c r="I6" i="147"/>
  <c r="D71" i="167"/>
  <c r="D65" i="167"/>
  <c r="A65" i="167"/>
  <c r="E61" i="167"/>
  <c r="B61" i="167" s="1"/>
  <c r="E60" i="167"/>
  <c r="A59" i="167"/>
  <c r="K51" i="167"/>
  <c r="G51" i="167"/>
  <c r="F45" i="167"/>
  <c r="F41" i="167" s="1"/>
  <c r="F25" i="167" s="1"/>
  <c r="E45" i="167"/>
  <c r="F44" i="167"/>
  <c r="F40" i="167" s="1"/>
  <c r="F24" i="167" s="1"/>
  <c r="E44" i="167"/>
  <c r="E40" i="167" s="1"/>
  <c r="K31" i="167"/>
  <c r="G31" i="167"/>
  <c r="J29" i="167"/>
  <c r="G29" i="167"/>
  <c r="K21" i="167"/>
  <c r="J19" i="167"/>
  <c r="K18" i="167"/>
  <c r="G18" i="167"/>
  <c r="K14" i="167"/>
  <c r="G14" i="167"/>
  <c r="O13" i="167"/>
  <c r="A2" i="167"/>
  <c r="H123" i="170"/>
  <c r="G123" i="170"/>
  <c r="E123" i="170"/>
  <c r="C123" i="170"/>
  <c r="H122" i="170"/>
  <c r="G122" i="170"/>
  <c r="E122" i="170"/>
  <c r="C122" i="170"/>
  <c r="H121" i="170"/>
  <c r="G121" i="170"/>
  <c r="E121" i="170"/>
  <c r="C121" i="170"/>
  <c r="H120" i="170"/>
  <c r="G120" i="170"/>
  <c r="E120" i="170"/>
  <c r="C120" i="170"/>
  <c r="H112" i="170"/>
  <c r="G112" i="170"/>
  <c r="E112" i="170"/>
  <c r="C112" i="170"/>
  <c r="H111" i="170"/>
  <c r="G111" i="170"/>
  <c r="E111" i="170"/>
  <c r="C111" i="170"/>
  <c r="H110" i="170"/>
  <c r="G110" i="170"/>
  <c r="E110" i="170"/>
  <c r="C110" i="170"/>
  <c r="H109" i="170"/>
  <c r="G109" i="170"/>
  <c r="E109" i="170"/>
  <c r="C109" i="170"/>
  <c r="H101" i="170"/>
  <c r="G101" i="170"/>
  <c r="E101" i="170"/>
  <c r="C101" i="170"/>
  <c r="H100" i="170"/>
  <c r="G100" i="170"/>
  <c r="E100" i="170"/>
  <c r="C100" i="170"/>
  <c r="H99" i="170"/>
  <c r="G99" i="170"/>
  <c r="E99" i="170"/>
  <c r="C99" i="170"/>
  <c r="H98" i="170"/>
  <c r="G98" i="170"/>
  <c r="E98" i="170"/>
  <c r="C98" i="170"/>
  <c r="H97" i="170"/>
  <c r="G97" i="170"/>
  <c r="E97" i="170"/>
  <c r="C97" i="170"/>
  <c r="G90" i="170"/>
  <c r="H89" i="170"/>
  <c r="G89" i="170"/>
  <c r="E89" i="170"/>
  <c r="C89" i="170"/>
  <c r="H88" i="170"/>
  <c r="G88" i="170"/>
  <c r="E88" i="170"/>
  <c r="C88" i="170"/>
  <c r="H87" i="170"/>
  <c r="G87" i="170"/>
  <c r="E87" i="170"/>
  <c r="C87" i="170"/>
  <c r="H86" i="170"/>
  <c r="G86" i="170"/>
  <c r="E86" i="170"/>
  <c r="C86" i="170"/>
  <c r="G79" i="170"/>
  <c r="H78" i="170"/>
  <c r="G78" i="170"/>
  <c r="E78" i="170"/>
  <c r="C78" i="170"/>
  <c r="H77" i="170"/>
  <c r="G77" i="170"/>
  <c r="E77" i="170"/>
  <c r="C77" i="170"/>
  <c r="H76" i="170"/>
  <c r="G76" i="170"/>
  <c r="E76" i="170"/>
  <c r="C76" i="170"/>
  <c r="H75" i="170"/>
  <c r="G75" i="170"/>
  <c r="E75" i="170"/>
  <c r="C75" i="170"/>
  <c r="G68" i="170"/>
  <c r="H67" i="170"/>
  <c r="G67" i="170"/>
  <c r="E67" i="170"/>
  <c r="C67" i="170"/>
  <c r="H66" i="170"/>
  <c r="G66" i="170"/>
  <c r="E66" i="170"/>
  <c r="C66" i="170"/>
  <c r="H65" i="170"/>
  <c r="G65" i="170"/>
  <c r="E65" i="170"/>
  <c r="C65" i="170"/>
  <c r="H64" i="170"/>
  <c r="G64" i="170"/>
  <c r="E64" i="170"/>
  <c r="C64" i="170"/>
  <c r="G57" i="170"/>
  <c r="H56" i="170"/>
  <c r="I67" i="170" s="1"/>
  <c r="G56" i="170"/>
  <c r="E56" i="170"/>
  <c r="C56" i="170"/>
  <c r="H55" i="170"/>
  <c r="I66" i="170" s="1"/>
  <c r="G55" i="170"/>
  <c r="E55" i="170"/>
  <c r="C55" i="170"/>
  <c r="H54" i="170"/>
  <c r="I65" i="170" s="1"/>
  <c r="G54" i="170"/>
  <c r="E54" i="170"/>
  <c r="C54" i="170"/>
  <c r="H53" i="170"/>
  <c r="I64" i="170" s="1"/>
  <c r="G53" i="170"/>
  <c r="E53" i="170"/>
  <c r="C53" i="170"/>
  <c r="H46" i="170"/>
  <c r="G46" i="170"/>
  <c r="E46" i="170"/>
  <c r="C46" i="170"/>
  <c r="H45" i="170"/>
  <c r="G45" i="170"/>
  <c r="E45" i="170"/>
  <c r="C45" i="170"/>
  <c r="H44" i="170"/>
  <c r="G44" i="170"/>
  <c r="E44" i="170"/>
  <c r="C44" i="170"/>
  <c r="H43" i="170"/>
  <c r="G43" i="170"/>
  <c r="E43" i="170"/>
  <c r="C43" i="170"/>
  <c r="H42" i="170"/>
  <c r="G42" i="170"/>
  <c r="E42" i="170"/>
  <c r="C42" i="170"/>
  <c r="H35" i="170"/>
  <c r="G35" i="170"/>
  <c r="E35" i="170"/>
  <c r="C35" i="170"/>
  <c r="L34" i="170"/>
  <c r="K34" i="170"/>
  <c r="J34" i="170"/>
  <c r="H34" i="170"/>
  <c r="G34" i="170"/>
  <c r="E34" i="170"/>
  <c r="C34" i="170"/>
  <c r="L33" i="170"/>
  <c r="K33" i="170"/>
  <c r="J33" i="170"/>
  <c r="C33" i="170"/>
  <c r="L32" i="170"/>
  <c r="K32" i="170"/>
  <c r="J32" i="170"/>
  <c r="H32" i="170"/>
  <c r="G32" i="170"/>
  <c r="E32" i="170"/>
  <c r="C32" i="170"/>
  <c r="L31" i="170"/>
  <c r="K31" i="170"/>
  <c r="J31" i="170"/>
  <c r="H31" i="170"/>
  <c r="G31" i="170"/>
  <c r="E31" i="170"/>
  <c r="C31" i="170"/>
  <c r="H24" i="170"/>
  <c r="H23" i="170"/>
  <c r="G23" i="170"/>
  <c r="E23" i="170"/>
  <c r="C23" i="170"/>
  <c r="H22" i="170"/>
  <c r="G22" i="170"/>
  <c r="E22" i="170"/>
  <c r="C22" i="170"/>
  <c r="H21" i="170"/>
  <c r="G21" i="170"/>
  <c r="E21" i="170"/>
  <c r="C21" i="170"/>
  <c r="H20" i="170"/>
  <c r="G20" i="170"/>
  <c r="E20" i="170"/>
  <c r="C20" i="170"/>
  <c r="H13" i="170"/>
  <c r="H12" i="170"/>
  <c r="H11" i="170"/>
  <c r="H10" i="170"/>
  <c r="H9" i="170"/>
  <c r="G123" i="126"/>
  <c r="G122" i="126"/>
  <c r="G121" i="126"/>
  <c r="G120" i="126"/>
  <c r="E121" i="126"/>
  <c r="E122" i="126"/>
  <c r="E123" i="126"/>
  <c r="E120" i="126"/>
  <c r="C121" i="126"/>
  <c r="C122" i="126"/>
  <c r="C123" i="126"/>
  <c r="C120" i="126"/>
  <c r="H123" i="126"/>
  <c r="H122" i="126"/>
  <c r="H121" i="126"/>
  <c r="H120" i="126"/>
  <c r="F21" i="164"/>
  <c r="F16" i="164"/>
  <c r="I22" i="164"/>
  <c r="F29" i="164"/>
  <c r="U34" i="163"/>
  <c r="T34" i="163"/>
  <c r="S34" i="163"/>
  <c r="K15" i="163"/>
  <c r="G15" i="163"/>
  <c r="H32" i="163"/>
  <c r="I32" i="163"/>
  <c r="J32" i="163"/>
  <c r="L32" i="163"/>
  <c r="F32" i="163"/>
  <c r="G14" i="163"/>
  <c r="G13" i="163"/>
  <c r="G12" i="163"/>
  <c r="G11" i="163"/>
  <c r="G10" i="163"/>
  <c r="G9" i="163"/>
  <c r="K14" i="163"/>
  <c r="K13" i="163"/>
  <c r="K12" i="163"/>
  <c r="K10" i="163"/>
  <c r="K11" i="163"/>
  <c r="K9" i="163"/>
  <c r="G16" i="163"/>
  <c r="G17" i="163"/>
  <c r="G18" i="163"/>
  <c r="G19" i="163"/>
  <c r="G20" i="163"/>
  <c r="G21" i="163"/>
  <c r="G22" i="163"/>
  <c r="G23" i="163"/>
  <c r="G24" i="163"/>
  <c r="G25" i="163"/>
  <c r="G26" i="163"/>
  <c r="G27" i="163"/>
  <c r="G28" i="163"/>
  <c r="G29" i="163"/>
  <c r="G30" i="163"/>
  <c r="G31" i="163"/>
  <c r="B24" i="138" l="1"/>
  <c r="E20" i="138"/>
  <c r="B20" i="137"/>
  <c r="B21" i="137"/>
  <c r="E10" i="137"/>
  <c r="B10" i="137" s="1"/>
  <c r="I86" i="170"/>
  <c r="I87" i="170"/>
  <c r="I88" i="170"/>
  <c r="I89" i="170"/>
  <c r="B21" i="138"/>
  <c r="E10" i="138"/>
  <c r="B10" i="138" s="1"/>
  <c r="B45" i="167"/>
  <c r="P61" i="167"/>
  <c r="B40" i="138"/>
  <c r="G19" i="138"/>
  <c r="B40" i="137"/>
  <c r="G19" i="137"/>
  <c r="E41" i="167"/>
  <c r="E25" i="167" s="1"/>
  <c r="E21" i="167" s="1"/>
  <c r="G19" i="167"/>
  <c r="F20" i="167"/>
  <c r="B40" i="167"/>
  <c r="E24" i="167"/>
  <c r="B44" i="167"/>
  <c r="B60" i="167"/>
  <c r="O61" i="167"/>
  <c r="B25" i="167"/>
  <c r="F21" i="167"/>
  <c r="B41" i="167"/>
  <c r="F22" i="164"/>
  <c r="K32" i="163"/>
  <c r="G32" i="163"/>
  <c r="U33" i="163"/>
  <c r="S33" i="163"/>
  <c r="E32" i="163"/>
  <c r="V31" i="163"/>
  <c r="U31" i="163"/>
  <c r="Y31" i="163" s="1"/>
  <c r="T31" i="163"/>
  <c r="X31" i="163" s="1"/>
  <c r="S31" i="163"/>
  <c r="V30" i="163"/>
  <c r="U30" i="163"/>
  <c r="Y30" i="163" s="1"/>
  <c r="T30" i="163"/>
  <c r="S30" i="163"/>
  <c r="W30" i="163" s="1"/>
  <c r="V29" i="163"/>
  <c r="U29" i="163"/>
  <c r="Y29" i="163" s="1"/>
  <c r="T29" i="163"/>
  <c r="X29" i="163" s="1"/>
  <c r="S29" i="163"/>
  <c r="V28" i="163"/>
  <c r="U28" i="163"/>
  <c r="Y28" i="163" s="1"/>
  <c r="T28" i="163"/>
  <c r="S28" i="163"/>
  <c r="W28" i="163" s="1"/>
  <c r="V27" i="163"/>
  <c r="U27" i="163"/>
  <c r="Y27" i="163" s="1"/>
  <c r="T27" i="163"/>
  <c r="X27" i="163" s="1"/>
  <c r="S27" i="163"/>
  <c r="V26" i="163"/>
  <c r="U26" i="163"/>
  <c r="Y26" i="163" s="1"/>
  <c r="T26" i="163"/>
  <c r="S26" i="163"/>
  <c r="W26" i="163" s="1"/>
  <c r="V25" i="163"/>
  <c r="U25" i="163"/>
  <c r="Y25" i="163" s="1"/>
  <c r="T25" i="163"/>
  <c r="X25" i="163" s="1"/>
  <c r="S25" i="163"/>
  <c r="V24" i="163"/>
  <c r="U24" i="163"/>
  <c r="Y24" i="163" s="1"/>
  <c r="T24" i="163"/>
  <c r="S24" i="163"/>
  <c r="W24" i="163" s="1"/>
  <c r="V23" i="163"/>
  <c r="U23" i="163"/>
  <c r="Y23" i="163" s="1"/>
  <c r="T23" i="163"/>
  <c r="X23" i="163" s="1"/>
  <c r="S23" i="163"/>
  <c r="V22" i="163"/>
  <c r="U22" i="163"/>
  <c r="Y22" i="163" s="1"/>
  <c r="T22" i="163"/>
  <c r="S22" i="163"/>
  <c r="W22" i="163" s="1"/>
  <c r="V21" i="163"/>
  <c r="U21" i="163"/>
  <c r="Y21" i="163" s="1"/>
  <c r="T21" i="163"/>
  <c r="X21" i="163" s="1"/>
  <c r="S21" i="163"/>
  <c r="V20" i="163"/>
  <c r="U20" i="163"/>
  <c r="Y20" i="163" s="1"/>
  <c r="T20" i="163"/>
  <c r="S20" i="163"/>
  <c r="W20" i="163" s="1"/>
  <c r="V19" i="163"/>
  <c r="U19" i="163"/>
  <c r="Y19" i="163" s="1"/>
  <c r="T19" i="163"/>
  <c r="X19" i="163" s="1"/>
  <c r="S19" i="163"/>
  <c r="V18" i="163"/>
  <c r="U18" i="163"/>
  <c r="Y18" i="163" s="1"/>
  <c r="T18" i="163"/>
  <c r="S18" i="163"/>
  <c r="W18" i="163" s="1"/>
  <c r="V17" i="163"/>
  <c r="U17" i="163"/>
  <c r="Y17" i="163" s="1"/>
  <c r="T17" i="163"/>
  <c r="X17" i="163" s="1"/>
  <c r="S17" i="163"/>
  <c r="V16" i="163"/>
  <c r="U16" i="163"/>
  <c r="Y16" i="163" s="1"/>
  <c r="T16" i="163"/>
  <c r="S16" i="163"/>
  <c r="W16" i="163" s="1"/>
  <c r="V15" i="163"/>
  <c r="U15" i="163"/>
  <c r="Y15" i="163" s="1"/>
  <c r="T15" i="163"/>
  <c r="X15" i="163" s="1"/>
  <c r="S15" i="163"/>
  <c r="V14" i="163"/>
  <c r="U14" i="163"/>
  <c r="Y14" i="163" s="1"/>
  <c r="T14" i="163"/>
  <c r="S14" i="163"/>
  <c r="W14" i="163" s="1"/>
  <c r="V13" i="163"/>
  <c r="U13" i="163"/>
  <c r="Y13" i="163" s="1"/>
  <c r="T13" i="163"/>
  <c r="X13" i="163" s="1"/>
  <c r="S13" i="163"/>
  <c r="V12" i="163"/>
  <c r="U12" i="163"/>
  <c r="Y12" i="163" s="1"/>
  <c r="T12" i="163"/>
  <c r="S12" i="163"/>
  <c r="W12" i="163" s="1"/>
  <c r="V11" i="163"/>
  <c r="U11" i="163"/>
  <c r="Y11" i="163" s="1"/>
  <c r="T11" i="163"/>
  <c r="X11" i="163" s="1"/>
  <c r="S11" i="163"/>
  <c r="V10" i="163"/>
  <c r="U10" i="163"/>
  <c r="Y10" i="163" s="1"/>
  <c r="T10" i="163"/>
  <c r="S10" i="163"/>
  <c r="W10" i="163" s="1"/>
  <c r="A10" i="163"/>
  <c r="A11" i="163" s="1"/>
  <c r="V9" i="163"/>
  <c r="U9" i="163"/>
  <c r="T9" i="163"/>
  <c r="X9" i="163" s="1"/>
  <c r="S9" i="163"/>
  <c r="F40" i="156"/>
  <c r="F47" i="155"/>
  <c r="G47" i="156"/>
  <c r="G46" i="156"/>
  <c r="G45" i="156"/>
  <c r="G44" i="156"/>
  <c r="G39" i="156"/>
  <c r="G38" i="156"/>
  <c r="G34" i="156"/>
  <c r="G32" i="156"/>
  <c r="G30" i="156"/>
  <c r="G22" i="156"/>
  <c r="G21" i="156"/>
  <c r="G20" i="156"/>
  <c r="G19" i="156"/>
  <c r="G14" i="156"/>
  <c r="G13" i="156"/>
  <c r="G12" i="156"/>
  <c r="B7" i="156"/>
  <c r="C7" i="156" s="1"/>
  <c r="D7" i="156" s="1"/>
  <c r="E7" i="156" s="1"/>
  <c r="F7" i="156" s="1"/>
  <c r="G48" i="155"/>
  <c r="G47" i="155"/>
  <c r="G46" i="155"/>
  <c r="K43" i="155"/>
  <c r="G43" i="155"/>
  <c r="G41" i="155"/>
  <c r="G40" i="155"/>
  <c r="G37" i="155"/>
  <c r="G36" i="155"/>
  <c r="G27" i="155"/>
  <c r="G24" i="155"/>
  <c r="G33" i="155" s="1"/>
  <c r="B12" i="155"/>
  <c r="C12" i="155" s="1"/>
  <c r="D12" i="155" s="1"/>
  <c r="E12" i="155" s="1"/>
  <c r="F12" i="155" s="1"/>
  <c r="F43" i="108"/>
  <c r="F43" i="150"/>
  <c r="F48" i="109"/>
  <c r="F48" i="108"/>
  <c r="G48" i="108" s="1"/>
  <c r="F48" i="152"/>
  <c r="F43" i="152"/>
  <c r="G47" i="153"/>
  <c r="G46" i="153"/>
  <c r="G45" i="153"/>
  <c r="G44" i="153"/>
  <c r="G40" i="153"/>
  <c r="G39" i="153"/>
  <c r="G38" i="153"/>
  <c r="G34" i="153"/>
  <c r="G32" i="153"/>
  <c r="G30" i="153"/>
  <c r="G22" i="153"/>
  <c r="G21" i="153"/>
  <c r="G20" i="153"/>
  <c r="G19" i="153"/>
  <c r="G14" i="153"/>
  <c r="G13" i="153"/>
  <c r="G12" i="153"/>
  <c r="B7" i="153"/>
  <c r="C7" i="153" s="1"/>
  <c r="D7" i="153" s="1"/>
  <c r="E7" i="153" s="1"/>
  <c r="F7" i="153" s="1"/>
  <c r="G48" i="152"/>
  <c r="F47" i="152"/>
  <c r="G47" i="152" s="1"/>
  <c r="G46" i="152"/>
  <c r="K43" i="152"/>
  <c r="G43" i="152"/>
  <c r="G41" i="152"/>
  <c r="G40" i="152"/>
  <c r="G37" i="152"/>
  <c r="G36" i="152"/>
  <c r="G27" i="152"/>
  <c r="G24" i="152"/>
  <c r="G33" i="152" s="1"/>
  <c r="C12" i="152"/>
  <c r="D12" i="152" s="1"/>
  <c r="E12" i="152" s="1"/>
  <c r="F12" i="152" s="1"/>
  <c r="B12" i="152"/>
  <c r="G64" i="151"/>
  <c r="A64" i="151"/>
  <c r="L49" i="150"/>
  <c r="L43" i="150"/>
  <c r="F48" i="150"/>
  <c r="G48" i="150"/>
  <c r="A3" i="151"/>
  <c r="G47" i="151"/>
  <c r="G46" i="151"/>
  <c r="G45" i="151"/>
  <c r="G44" i="151"/>
  <c r="G40" i="151"/>
  <c r="G39" i="151"/>
  <c r="G38" i="151"/>
  <c r="G34" i="151"/>
  <c r="G32" i="151"/>
  <c r="G30" i="151"/>
  <c r="G22" i="151"/>
  <c r="G21" i="151"/>
  <c r="G20" i="151"/>
  <c r="G19" i="151"/>
  <c r="G14" i="151"/>
  <c r="L3" i="150" s="1"/>
  <c r="G13" i="151"/>
  <c r="G12" i="151"/>
  <c r="B7" i="151"/>
  <c r="C7" i="151" s="1"/>
  <c r="D7" i="151" s="1"/>
  <c r="E7" i="151" s="1"/>
  <c r="F7" i="151" s="1"/>
  <c r="G47" i="150"/>
  <c r="G46" i="150"/>
  <c r="K43" i="150"/>
  <c r="G43" i="150"/>
  <c r="G41" i="150"/>
  <c r="G40" i="150"/>
  <c r="G37" i="150"/>
  <c r="G36" i="150"/>
  <c r="G27" i="150"/>
  <c r="G24" i="150"/>
  <c r="B12" i="150"/>
  <c r="C12" i="150" s="1"/>
  <c r="D12" i="150" s="1"/>
  <c r="E12" i="150" s="1"/>
  <c r="F12" i="150" s="1"/>
  <c r="I3" i="149"/>
  <c r="L43" i="149"/>
  <c r="H33" i="149"/>
  <c r="H24" i="149"/>
  <c r="H26" i="149" s="1"/>
  <c r="I4" i="149"/>
  <c r="H3" i="149"/>
  <c r="E79" i="148"/>
  <c r="A11" i="148"/>
  <c r="A12" i="148" s="1"/>
  <c r="A13" i="148" s="1"/>
  <c r="A15" i="148" s="1"/>
  <c r="S78" i="148"/>
  <c r="W78" i="148" s="1"/>
  <c r="T78" i="148"/>
  <c r="X78" i="148" s="1"/>
  <c r="U78" i="148"/>
  <c r="Y78" i="148" s="1"/>
  <c r="S77" i="148"/>
  <c r="W77" i="148" s="1"/>
  <c r="T77" i="148"/>
  <c r="X77" i="148" s="1"/>
  <c r="U77" i="148"/>
  <c r="Y77" i="148" s="1"/>
  <c r="S76" i="148"/>
  <c r="W76" i="148" s="1"/>
  <c r="T76" i="148"/>
  <c r="X76" i="148" s="1"/>
  <c r="U76" i="148"/>
  <c r="Y76" i="148" s="1"/>
  <c r="S75" i="148"/>
  <c r="W75" i="148" s="1"/>
  <c r="T75" i="148"/>
  <c r="X75" i="148" s="1"/>
  <c r="U75" i="148"/>
  <c r="Y75" i="148" s="1"/>
  <c r="S74" i="148"/>
  <c r="W74" i="148" s="1"/>
  <c r="T74" i="148"/>
  <c r="X74" i="148" s="1"/>
  <c r="U74" i="148"/>
  <c r="Y74" i="148" s="1"/>
  <c r="S73" i="148"/>
  <c r="W73" i="148" s="1"/>
  <c r="T73" i="148"/>
  <c r="X73" i="148" s="1"/>
  <c r="U73" i="148"/>
  <c r="Y73" i="148" s="1"/>
  <c r="S71" i="148"/>
  <c r="W71" i="148" s="1"/>
  <c r="T71" i="148"/>
  <c r="X71" i="148" s="1"/>
  <c r="U71" i="148"/>
  <c r="Y71" i="148" s="1"/>
  <c r="S72" i="148"/>
  <c r="W72" i="148" s="1"/>
  <c r="T72" i="148"/>
  <c r="X72" i="148" s="1"/>
  <c r="U72" i="148"/>
  <c r="Y72" i="148" s="1"/>
  <c r="S70" i="148"/>
  <c r="W70" i="148" s="1"/>
  <c r="T70" i="148"/>
  <c r="X70" i="148" s="1"/>
  <c r="U70" i="148"/>
  <c r="Y70" i="148" s="1"/>
  <c r="S69" i="148"/>
  <c r="W69" i="148" s="1"/>
  <c r="T69" i="148"/>
  <c r="X69" i="148" s="1"/>
  <c r="U69" i="148"/>
  <c r="Y69" i="148" s="1"/>
  <c r="S68" i="148"/>
  <c r="W68" i="148" s="1"/>
  <c r="T68" i="148"/>
  <c r="X68" i="148" s="1"/>
  <c r="U68" i="148"/>
  <c r="Y68" i="148" s="1"/>
  <c r="S67" i="148"/>
  <c r="W67" i="148" s="1"/>
  <c r="T67" i="148"/>
  <c r="X67" i="148" s="1"/>
  <c r="U67" i="148"/>
  <c r="Y67" i="148" s="1"/>
  <c r="S66" i="148"/>
  <c r="W66" i="148" s="1"/>
  <c r="T66" i="148"/>
  <c r="X66" i="148" s="1"/>
  <c r="U66" i="148"/>
  <c r="Y66" i="148" s="1"/>
  <c r="S65" i="148"/>
  <c r="W65" i="148" s="1"/>
  <c r="T65" i="148"/>
  <c r="X65" i="148" s="1"/>
  <c r="U65" i="148"/>
  <c r="Y65" i="148" s="1"/>
  <c r="S64" i="148"/>
  <c r="W64" i="148" s="1"/>
  <c r="T64" i="148"/>
  <c r="X64" i="148" s="1"/>
  <c r="U64" i="148"/>
  <c r="Y64" i="148" s="1"/>
  <c r="S63" i="148"/>
  <c r="W63" i="148" s="1"/>
  <c r="T63" i="148"/>
  <c r="X63" i="148" s="1"/>
  <c r="U63" i="148"/>
  <c r="Y63" i="148" s="1"/>
  <c r="S62" i="148"/>
  <c r="W62" i="148" s="1"/>
  <c r="T62" i="148"/>
  <c r="X62" i="148" s="1"/>
  <c r="U62" i="148"/>
  <c r="Y62" i="148" s="1"/>
  <c r="S61" i="148"/>
  <c r="W61" i="148" s="1"/>
  <c r="T61" i="148"/>
  <c r="X61" i="148" s="1"/>
  <c r="U61" i="148"/>
  <c r="Y61" i="148" s="1"/>
  <c r="S60" i="148"/>
  <c r="W60" i="148" s="1"/>
  <c r="T60" i="148"/>
  <c r="X60" i="148" s="1"/>
  <c r="U60" i="148"/>
  <c r="Y60" i="148" s="1"/>
  <c r="S58" i="148"/>
  <c r="W58" i="148" s="1"/>
  <c r="T58" i="148"/>
  <c r="X58" i="148" s="1"/>
  <c r="U58" i="148"/>
  <c r="Y58" i="148" s="1"/>
  <c r="S57" i="148"/>
  <c r="W57" i="148" s="1"/>
  <c r="T57" i="148"/>
  <c r="X57" i="148" s="1"/>
  <c r="U57" i="148"/>
  <c r="Y57" i="148" s="1"/>
  <c r="S56" i="148"/>
  <c r="W56" i="148" s="1"/>
  <c r="T56" i="148"/>
  <c r="X56" i="148" s="1"/>
  <c r="U56" i="148"/>
  <c r="Y56" i="148" s="1"/>
  <c r="S55" i="148"/>
  <c r="W55" i="148" s="1"/>
  <c r="T55" i="148"/>
  <c r="X55" i="148" s="1"/>
  <c r="U55" i="148"/>
  <c r="Y55" i="148" s="1"/>
  <c r="S54" i="148"/>
  <c r="W54" i="148" s="1"/>
  <c r="T54" i="148"/>
  <c r="X54" i="148" s="1"/>
  <c r="U54" i="148"/>
  <c r="Y54" i="148" s="1"/>
  <c r="S53" i="148"/>
  <c r="W53" i="148" s="1"/>
  <c r="T53" i="148"/>
  <c r="X53" i="148" s="1"/>
  <c r="U53" i="148"/>
  <c r="Y53" i="148" s="1"/>
  <c r="S52" i="148"/>
  <c r="W52" i="148" s="1"/>
  <c r="T52" i="148"/>
  <c r="X52" i="148" s="1"/>
  <c r="U52" i="148"/>
  <c r="Y52" i="148" s="1"/>
  <c r="S51" i="148"/>
  <c r="W51" i="148" s="1"/>
  <c r="T51" i="148"/>
  <c r="X51" i="148" s="1"/>
  <c r="U51" i="148"/>
  <c r="Y51" i="148" s="1"/>
  <c r="S50" i="148"/>
  <c r="W50" i="148" s="1"/>
  <c r="T50" i="148"/>
  <c r="X50" i="148" s="1"/>
  <c r="U50" i="148"/>
  <c r="Y50" i="148" s="1"/>
  <c r="S48" i="148"/>
  <c r="W48" i="148" s="1"/>
  <c r="T48" i="148"/>
  <c r="X48" i="148" s="1"/>
  <c r="U48" i="148"/>
  <c r="Y48" i="148" s="1"/>
  <c r="S47" i="148"/>
  <c r="W47" i="148" s="1"/>
  <c r="T47" i="148"/>
  <c r="X47" i="148" s="1"/>
  <c r="U47" i="148"/>
  <c r="Y47" i="148" s="1"/>
  <c r="S46" i="148"/>
  <c r="W46" i="148" s="1"/>
  <c r="T46" i="148"/>
  <c r="X46" i="148" s="1"/>
  <c r="U46" i="148"/>
  <c r="Y46" i="148" s="1"/>
  <c r="S45" i="148"/>
  <c r="W45" i="148" s="1"/>
  <c r="T45" i="148"/>
  <c r="X45" i="148" s="1"/>
  <c r="U45" i="148"/>
  <c r="Y45" i="148" s="1"/>
  <c r="S44" i="148"/>
  <c r="W44" i="148" s="1"/>
  <c r="T44" i="148"/>
  <c r="X44" i="148" s="1"/>
  <c r="U44" i="148"/>
  <c r="Y44" i="148" s="1"/>
  <c r="S41" i="148"/>
  <c r="W41" i="148" s="1"/>
  <c r="T41" i="148"/>
  <c r="U41" i="148"/>
  <c r="Y41" i="148" s="1"/>
  <c r="S40" i="148"/>
  <c r="W40" i="148" s="1"/>
  <c r="T40" i="148"/>
  <c r="X40" i="148" s="1"/>
  <c r="U40" i="148"/>
  <c r="Y40" i="148" s="1"/>
  <c r="S43" i="148"/>
  <c r="W43" i="148" s="1"/>
  <c r="T43" i="148"/>
  <c r="X43" i="148" s="1"/>
  <c r="U43" i="148"/>
  <c r="Y43" i="148" s="1"/>
  <c r="S42" i="148"/>
  <c r="W42" i="148" s="1"/>
  <c r="T42" i="148"/>
  <c r="X42" i="148" s="1"/>
  <c r="U42" i="148"/>
  <c r="Y42" i="148" s="1"/>
  <c r="S39" i="148"/>
  <c r="W39" i="148" s="1"/>
  <c r="T39" i="148"/>
  <c r="X39" i="148" s="1"/>
  <c r="U39" i="148"/>
  <c r="Y39" i="148" s="1"/>
  <c r="S38" i="148"/>
  <c r="W38" i="148" s="1"/>
  <c r="T38" i="148"/>
  <c r="X38" i="148" s="1"/>
  <c r="U38" i="148"/>
  <c r="Y38" i="148" s="1"/>
  <c r="S37" i="148"/>
  <c r="W37" i="148" s="1"/>
  <c r="T37" i="148"/>
  <c r="X37" i="148" s="1"/>
  <c r="U37" i="148"/>
  <c r="Y37" i="148" s="1"/>
  <c r="S36" i="148"/>
  <c r="W36" i="148" s="1"/>
  <c r="T36" i="148"/>
  <c r="U36" i="148"/>
  <c r="S11" i="148"/>
  <c r="W11" i="148" s="1"/>
  <c r="T11" i="148"/>
  <c r="X11" i="148" s="1"/>
  <c r="U11" i="148"/>
  <c r="Y11" i="148" s="1"/>
  <c r="S12" i="148"/>
  <c r="W12" i="148" s="1"/>
  <c r="T12" i="148"/>
  <c r="X12" i="148" s="1"/>
  <c r="U12" i="148"/>
  <c r="Y12" i="148" s="1"/>
  <c r="S13" i="148"/>
  <c r="W13" i="148" s="1"/>
  <c r="T13" i="148"/>
  <c r="X13" i="148" s="1"/>
  <c r="U13" i="148"/>
  <c r="Y13" i="148" s="1"/>
  <c r="S14" i="148"/>
  <c r="W14" i="148" s="1"/>
  <c r="T14" i="148"/>
  <c r="X14" i="148" s="1"/>
  <c r="U14" i="148"/>
  <c r="Y14" i="148" s="1"/>
  <c r="S15" i="148"/>
  <c r="W15" i="148" s="1"/>
  <c r="T15" i="148"/>
  <c r="X15" i="148" s="1"/>
  <c r="U15" i="148"/>
  <c r="Y15" i="148" s="1"/>
  <c r="S18" i="148"/>
  <c r="W18" i="148" s="1"/>
  <c r="T18" i="148"/>
  <c r="X18" i="148" s="1"/>
  <c r="U18" i="148"/>
  <c r="Y18" i="148" s="1"/>
  <c r="S16" i="148"/>
  <c r="W16" i="148" s="1"/>
  <c r="T16" i="148"/>
  <c r="X16" i="148" s="1"/>
  <c r="U16" i="148"/>
  <c r="Y16" i="148" s="1"/>
  <c r="S17" i="148"/>
  <c r="W17" i="148" s="1"/>
  <c r="T17" i="148"/>
  <c r="X17" i="148" s="1"/>
  <c r="U17" i="148"/>
  <c r="Y17" i="148" s="1"/>
  <c r="S19" i="148"/>
  <c r="W19" i="148" s="1"/>
  <c r="T19" i="148"/>
  <c r="X19" i="148" s="1"/>
  <c r="U19" i="148"/>
  <c r="Y19" i="148" s="1"/>
  <c r="S20" i="148"/>
  <c r="W20" i="148" s="1"/>
  <c r="T20" i="148"/>
  <c r="X20" i="148" s="1"/>
  <c r="U20" i="148"/>
  <c r="Y20" i="148" s="1"/>
  <c r="S21" i="148"/>
  <c r="W21" i="148" s="1"/>
  <c r="T21" i="148"/>
  <c r="X21" i="148" s="1"/>
  <c r="U21" i="148"/>
  <c r="Y21" i="148" s="1"/>
  <c r="S23" i="148"/>
  <c r="W23" i="148" s="1"/>
  <c r="T23" i="148"/>
  <c r="X23" i="148" s="1"/>
  <c r="U23" i="148"/>
  <c r="Y23" i="148" s="1"/>
  <c r="S24" i="148"/>
  <c r="W24" i="148" s="1"/>
  <c r="T24" i="148"/>
  <c r="X24" i="148" s="1"/>
  <c r="U24" i="148"/>
  <c r="Y24" i="148" s="1"/>
  <c r="S25" i="148"/>
  <c r="W25" i="148" s="1"/>
  <c r="T25" i="148"/>
  <c r="X25" i="148" s="1"/>
  <c r="U25" i="148"/>
  <c r="Y25" i="148" s="1"/>
  <c r="S26" i="148"/>
  <c r="W26" i="148" s="1"/>
  <c r="T26" i="148"/>
  <c r="X26" i="148" s="1"/>
  <c r="U26" i="148"/>
  <c r="Y26" i="148" s="1"/>
  <c r="S27" i="148"/>
  <c r="W27" i="148" s="1"/>
  <c r="T27" i="148"/>
  <c r="X27" i="148" s="1"/>
  <c r="U27" i="148"/>
  <c r="Y27" i="148" s="1"/>
  <c r="S28" i="148"/>
  <c r="W28" i="148" s="1"/>
  <c r="T28" i="148"/>
  <c r="X28" i="148" s="1"/>
  <c r="U28" i="148"/>
  <c r="Y28" i="148" s="1"/>
  <c r="S29" i="148"/>
  <c r="W29" i="148" s="1"/>
  <c r="T29" i="148"/>
  <c r="X29" i="148" s="1"/>
  <c r="U29" i="148"/>
  <c r="Y29" i="148" s="1"/>
  <c r="S31" i="148"/>
  <c r="W31" i="148" s="1"/>
  <c r="T31" i="148"/>
  <c r="X31" i="148" s="1"/>
  <c r="U31" i="148"/>
  <c r="Y31" i="148" s="1"/>
  <c r="S32" i="148"/>
  <c r="W32" i="148" s="1"/>
  <c r="T32" i="148"/>
  <c r="X32" i="148" s="1"/>
  <c r="U32" i="148"/>
  <c r="Y32" i="148" s="1"/>
  <c r="S33" i="148"/>
  <c r="W33" i="148" s="1"/>
  <c r="T33" i="148"/>
  <c r="X33" i="148" s="1"/>
  <c r="U33" i="148"/>
  <c r="Y33" i="148" s="1"/>
  <c r="S10" i="148"/>
  <c r="T10" i="148"/>
  <c r="U10" i="148"/>
  <c r="AB12" i="148"/>
  <c r="AB35" i="148"/>
  <c r="AB77" i="148"/>
  <c r="V36" i="148"/>
  <c r="V37" i="148"/>
  <c r="V38" i="148"/>
  <c r="V39" i="148"/>
  <c r="V42" i="148"/>
  <c r="V43" i="148"/>
  <c r="V40" i="148"/>
  <c r="V44" i="148"/>
  <c r="V45" i="148"/>
  <c r="V47" i="148"/>
  <c r="V48" i="148"/>
  <c r="V50" i="148"/>
  <c r="V51" i="148"/>
  <c r="V52" i="148"/>
  <c r="V53" i="148"/>
  <c r="V54" i="148"/>
  <c r="V55" i="148"/>
  <c r="V56" i="148"/>
  <c r="V57" i="148"/>
  <c r="V58" i="148"/>
  <c r="V60" i="148"/>
  <c r="V62" i="148"/>
  <c r="V63" i="148"/>
  <c r="V64" i="148"/>
  <c r="V66" i="148"/>
  <c r="V67" i="148"/>
  <c r="V68" i="148"/>
  <c r="V69" i="148"/>
  <c r="V70" i="148"/>
  <c r="V71" i="148"/>
  <c r="V74" i="148"/>
  <c r="V75" i="148"/>
  <c r="V77" i="148"/>
  <c r="V13" i="148"/>
  <c r="V14" i="148"/>
  <c r="V18" i="148"/>
  <c r="V16" i="148"/>
  <c r="V17" i="148"/>
  <c r="V19" i="148"/>
  <c r="V21" i="148"/>
  <c r="V29" i="148"/>
  <c r="V32" i="148"/>
  <c r="AA10" i="148"/>
  <c r="AA11" i="148"/>
  <c r="AA12" i="148"/>
  <c r="AA13" i="148"/>
  <c r="AA14" i="148"/>
  <c r="AA15" i="148"/>
  <c r="AA18" i="148"/>
  <c r="AA16" i="148"/>
  <c r="AA17" i="148"/>
  <c r="AA19" i="148"/>
  <c r="AA20" i="148"/>
  <c r="AA21" i="148"/>
  <c r="AA23" i="148"/>
  <c r="AA24" i="148"/>
  <c r="AA25" i="148"/>
  <c r="AA26" i="148"/>
  <c r="AA27" i="148"/>
  <c r="AA28" i="148"/>
  <c r="AA29" i="148"/>
  <c r="AA31" i="148"/>
  <c r="AA32" i="148"/>
  <c r="AA33" i="148"/>
  <c r="F13" i="147"/>
  <c r="G13" i="147" s="1"/>
  <c r="F12" i="147"/>
  <c r="G12" i="147" s="1"/>
  <c r="F11" i="147"/>
  <c r="G11" i="147" s="1"/>
  <c r="F10" i="147"/>
  <c r="G10" i="147" s="1"/>
  <c r="F9" i="147"/>
  <c r="G9" i="147" s="1"/>
  <c r="F8" i="147"/>
  <c r="G8" i="147" s="1"/>
  <c r="F7" i="147"/>
  <c r="G7" i="147" s="1"/>
  <c r="I32" i="147"/>
  <c r="K25" i="147"/>
  <c r="E29" i="147"/>
  <c r="J24" i="147"/>
  <c r="I17" i="147"/>
  <c r="A8" i="147"/>
  <c r="A9" i="147" s="1"/>
  <c r="A18" i="147" s="1"/>
  <c r="A19" i="147" s="1"/>
  <c r="A20" i="147" s="1"/>
  <c r="A21" i="147" s="1"/>
  <c r="A22" i="147" s="1"/>
  <c r="A23" i="147" s="1"/>
  <c r="A24" i="147" s="1"/>
  <c r="A27" i="147" s="1"/>
  <c r="A28" i="147" s="1"/>
  <c r="J6" i="146"/>
  <c r="E34" i="132"/>
  <c r="E35" i="132" s="1"/>
  <c r="E12" i="64"/>
  <c r="E91" i="144"/>
  <c r="E92" i="144" s="1"/>
  <c r="E90" i="144"/>
  <c r="K93" i="144"/>
  <c r="K91" i="144"/>
  <c r="J91" i="144"/>
  <c r="C91" i="144"/>
  <c r="T91" i="144" s="1"/>
  <c r="C90" i="144"/>
  <c r="T87" i="144"/>
  <c r="I82" i="144"/>
  <c r="F82" i="144"/>
  <c r="K66" i="144"/>
  <c r="L61" i="144"/>
  <c r="K61" i="144"/>
  <c r="L56" i="144"/>
  <c r="K56" i="144"/>
  <c r="L54" i="144"/>
  <c r="K54" i="144"/>
  <c r="L52" i="144"/>
  <c r="K52" i="144"/>
  <c r="K51" i="144"/>
  <c r="L49" i="144"/>
  <c r="K49" i="144"/>
  <c r="L48" i="144"/>
  <c r="K48" i="144"/>
  <c r="L44" i="144"/>
  <c r="K44" i="144"/>
  <c r="I30" i="144"/>
  <c r="F36" i="144" s="1"/>
  <c r="K84" i="144"/>
  <c r="F30" i="144"/>
  <c r="J29" i="144"/>
  <c r="J28" i="144"/>
  <c r="J27" i="144"/>
  <c r="J17" i="144"/>
  <c r="J12" i="144"/>
  <c r="K12" i="144"/>
  <c r="I77" i="135"/>
  <c r="D52" i="135"/>
  <c r="E18" i="135"/>
  <c r="F58" i="135"/>
  <c r="F54" i="135"/>
  <c r="F52" i="135"/>
  <c r="F51" i="135"/>
  <c r="F50" i="135"/>
  <c r="F49" i="135"/>
  <c r="F48" i="135"/>
  <c r="F47" i="135"/>
  <c r="F46" i="135"/>
  <c r="F45" i="135"/>
  <c r="F44" i="135"/>
  <c r="E43" i="135"/>
  <c r="F43" i="135"/>
  <c r="F42" i="135"/>
  <c r="F41" i="135"/>
  <c r="F40" i="135"/>
  <c r="F39" i="135"/>
  <c r="F38" i="135" s="1"/>
  <c r="F36" i="135"/>
  <c r="F35" i="135"/>
  <c r="F34" i="135"/>
  <c r="E33" i="135"/>
  <c r="F32" i="135"/>
  <c r="F31" i="135"/>
  <c r="F30" i="135"/>
  <c r="F29" i="135"/>
  <c r="F28" i="135"/>
  <c r="F27" i="135"/>
  <c r="F26" i="135"/>
  <c r="F25" i="135"/>
  <c r="F24" i="135"/>
  <c r="F23" i="135"/>
  <c r="F22" i="135"/>
  <c r="F20" i="135"/>
  <c r="F17" i="135"/>
  <c r="G17" i="135" s="1"/>
  <c r="F16" i="135"/>
  <c r="F15" i="135"/>
  <c r="G15" i="135"/>
  <c r="F14" i="135"/>
  <c r="F13" i="135" s="1"/>
  <c r="F12" i="135" s="1"/>
  <c r="E13" i="135"/>
  <c r="E12" i="135" s="1"/>
  <c r="E11" i="135" s="1"/>
  <c r="D51" i="134"/>
  <c r="J24" i="134"/>
  <c r="H24" i="134"/>
  <c r="J23" i="134"/>
  <c r="J25" i="134" s="1"/>
  <c r="G17" i="134"/>
  <c r="I17" i="134" s="1"/>
  <c r="F17" i="134"/>
  <c r="I16" i="134"/>
  <c r="S16" i="134" s="1"/>
  <c r="H16" i="134"/>
  <c r="K16" i="134" s="1"/>
  <c r="H15" i="134"/>
  <c r="G14" i="134"/>
  <c r="I14" i="134"/>
  <c r="E14" i="134"/>
  <c r="T14" i="134" s="1"/>
  <c r="D14" i="134"/>
  <c r="G13" i="134"/>
  <c r="I13" i="134" s="1"/>
  <c r="G15" i="134"/>
  <c r="E13" i="134"/>
  <c r="E15" i="134" s="1"/>
  <c r="T15" i="134" s="1"/>
  <c r="D13" i="134"/>
  <c r="D15" i="134" s="1"/>
  <c r="T11" i="134"/>
  <c r="J11" i="134"/>
  <c r="I11" i="134"/>
  <c r="R11" i="134" s="1"/>
  <c r="H11" i="134"/>
  <c r="L11" i="134"/>
  <c r="T10" i="134"/>
  <c r="G10" i="134"/>
  <c r="I10" i="134" s="1"/>
  <c r="G12" i="134"/>
  <c r="G18" i="134" s="1"/>
  <c r="G50" i="134" s="1"/>
  <c r="F10" i="134"/>
  <c r="Q10" i="134" s="1"/>
  <c r="E10" i="134"/>
  <c r="E12" i="134"/>
  <c r="D10" i="134"/>
  <c r="D12" i="134"/>
  <c r="D18" i="134" s="1"/>
  <c r="D50" i="134" s="1"/>
  <c r="D52" i="134" s="1"/>
  <c r="T9" i="134"/>
  <c r="J9" i="134"/>
  <c r="I9" i="134"/>
  <c r="O9" i="134" s="1"/>
  <c r="H9" i="134"/>
  <c r="L9" i="134" s="1"/>
  <c r="N9" i="134" s="1"/>
  <c r="T8" i="134"/>
  <c r="J8" i="134"/>
  <c r="I8" i="134"/>
  <c r="O8" i="134"/>
  <c r="H8" i="134"/>
  <c r="T7" i="134"/>
  <c r="J7" i="134"/>
  <c r="I7" i="134"/>
  <c r="L7" i="134" s="1"/>
  <c r="H7" i="134"/>
  <c r="T6" i="134"/>
  <c r="J6" i="134"/>
  <c r="I6" i="134"/>
  <c r="O6" i="134" s="1"/>
  <c r="H6" i="134"/>
  <c r="B10" i="133"/>
  <c r="G26" i="132"/>
  <c r="G16" i="132"/>
  <c r="E22" i="132"/>
  <c r="E18" i="181" s="1"/>
  <c r="F22" i="132"/>
  <c r="G22" i="132"/>
  <c r="E11" i="132"/>
  <c r="E12" i="132" s="1"/>
  <c r="F12" i="132" s="1"/>
  <c r="G12" i="132" s="1"/>
  <c r="F10" i="132"/>
  <c r="G10" i="132"/>
  <c r="E9" i="132"/>
  <c r="F9" i="132" s="1"/>
  <c r="G9" i="132" s="1"/>
  <c r="F8" i="132"/>
  <c r="G8" i="132"/>
  <c r="F7" i="132"/>
  <c r="G7" i="132" s="1"/>
  <c r="G29" i="132" s="1"/>
  <c r="F16" i="132"/>
  <c r="K24" i="132"/>
  <c r="E16" i="132"/>
  <c r="C9" i="133"/>
  <c r="E52" i="130"/>
  <c r="E41" i="130"/>
  <c r="E12" i="130"/>
  <c r="E9" i="130"/>
  <c r="J14" i="130"/>
  <c r="K14" i="130"/>
  <c r="J15" i="130"/>
  <c r="K15" i="130"/>
  <c r="G56" i="130"/>
  <c r="H56" i="130"/>
  <c r="F12" i="130"/>
  <c r="F38" i="130"/>
  <c r="D56" i="130"/>
  <c r="D60" i="130"/>
  <c r="F60" i="130" s="1"/>
  <c r="D26" i="130"/>
  <c r="D40" i="130"/>
  <c r="D25" i="130"/>
  <c r="F25" i="130" s="1"/>
  <c r="D13" i="135" s="1"/>
  <c r="D24" i="130"/>
  <c r="D23" i="130" s="1"/>
  <c r="H112" i="126"/>
  <c r="G112" i="126"/>
  <c r="E112" i="126"/>
  <c r="C112" i="126"/>
  <c r="H111" i="126"/>
  <c r="G111" i="126"/>
  <c r="E111" i="126"/>
  <c r="C111" i="126"/>
  <c r="H110" i="126"/>
  <c r="G110" i="126"/>
  <c r="E110" i="126"/>
  <c r="C110" i="126"/>
  <c r="H109" i="126"/>
  <c r="G109" i="126"/>
  <c r="E109" i="126"/>
  <c r="C109" i="126"/>
  <c r="H101" i="126"/>
  <c r="G101" i="126"/>
  <c r="E101" i="126"/>
  <c r="C101" i="126"/>
  <c r="H100" i="126"/>
  <c r="G100" i="126"/>
  <c r="E100" i="126"/>
  <c r="C100" i="126"/>
  <c r="H99" i="126"/>
  <c r="G99" i="126"/>
  <c r="E99" i="126"/>
  <c r="C99" i="126"/>
  <c r="H98" i="126"/>
  <c r="G98" i="126"/>
  <c r="E98" i="126"/>
  <c r="C98" i="126"/>
  <c r="H97" i="126"/>
  <c r="G97" i="126"/>
  <c r="E97" i="126"/>
  <c r="C97" i="126"/>
  <c r="G90" i="126"/>
  <c r="H89" i="126"/>
  <c r="G89" i="126"/>
  <c r="E89" i="126"/>
  <c r="C89" i="126"/>
  <c r="H88" i="126"/>
  <c r="G88" i="126"/>
  <c r="E88" i="126"/>
  <c r="C88" i="126"/>
  <c r="H87" i="126"/>
  <c r="G87" i="126"/>
  <c r="E87" i="126"/>
  <c r="C87" i="126"/>
  <c r="H86" i="126"/>
  <c r="G86" i="126"/>
  <c r="E86" i="126"/>
  <c r="C86" i="126"/>
  <c r="G79" i="126"/>
  <c r="H78" i="126"/>
  <c r="I89" i="126"/>
  <c r="G78" i="126"/>
  <c r="E78" i="126"/>
  <c r="C78" i="126"/>
  <c r="H77" i="126"/>
  <c r="I88" i="126" s="1"/>
  <c r="G77" i="126"/>
  <c r="E77" i="126"/>
  <c r="C77" i="126"/>
  <c r="H76" i="126"/>
  <c r="I87" i="126"/>
  <c r="G76" i="126"/>
  <c r="E76" i="126"/>
  <c r="C76" i="126"/>
  <c r="H75" i="126"/>
  <c r="I86" i="126"/>
  <c r="G75" i="126"/>
  <c r="E75" i="126"/>
  <c r="C75" i="126"/>
  <c r="G68" i="126"/>
  <c r="H67" i="126"/>
  <c r="G67" i="126"/>
  <c r="E67" i="126"/>
  <c r="C67" i="126"/>
  <c r="H66" i="126"/>
  <c r="G66" i="126"/>
  <c r="E66" i="126"/>
  <c r="C66" i="126"/>
  <c r="H65" i="126"/>
  <c r="G65" i="126"/>
  <c r="E65" i="126"/>
  <c r="C65" i="126"/>
  <c r="H64" i="126"/>
  <c r="G64" i="126"/>
  <c r="E64" i="126"/>
  <c r="C64" i="126"/>
  <c r="G57" i="126"/>
  <c r="H56" i="126"/>
  <c r="I67" i="126" s="1"/>
  <c r="G56" i="126"/>
  <c r="E56" i="126"/>
  <c r="C56" i="126"/>
  <c r="H55" i="126"/>
  <c r="I66" i="126"/>
  <c r="G55" i="126"/>
  <c r="E55" i="126"/>
  <c r="C55" i="126"/>
  <c r="H54" i="126"/>
  <c r="I65" i="126" s="1"/>
  <c r="G54" i="126"/>
  <c r="E54" i="126"/>
  <c r="C54" i="126"/>
  <c r="H53" i="126"/>
  <c r="G53" i="126"/>
  <c r="E53" i="126"/>
  <c r="C53" i="126"/>
  <c r="H46" i="126"/>
  <c r="G46" i="126"/>
  <c r="E46" i="126"/>
  <c r="C46" i="126"/>
  <c r="H45" i="126"/>
  <c r="G45" i="126"/>
  <c r="E45" i="126"/>
  <c r="C45" i="126"/>
  <c r="H44" i="126"/>
  <c r="G44" i="126"/>
  <c r="E44" i="126"/>
  <c r="C44" i="126"/>
  <c r="H43" i="126"/>
  <c r="G43" i="126"/>
  <c r="E43" i="126"/>
  <c r="C43" i="126"/>
  <c r="H42" i="126"/>
  <c r="G42" i="126"/>
  <c r="E42" i="126"/>
  <c r="C42" i="126"/>
  <c r="H35" i="126"/>
  <c r="G35" i="126"/>
  <c r="E35" i="126"/>
  <c r="C35" i="126"/>
  <c r="L34" i="126"/>
  <c r="K34" i="126"/>
  <c r="J34" i="126"/>
  <c r="H34" i="126"/>
  <c r="G34" i="126"/>
  <c r="E34" i="126"/>
  <c r="C34" i="126"/>
  <c r="L33" i="126"/>
  <c r="K33" i="126"/>
  <c r="J33" i="126"/>
  <c r="C33" i="126"/>
  <c r="L32" i="126"/>
  <c r="K32" i="126"/>
  <c r="J32" i="126"/>
  <c r="H32" i="126"/>
  <c r="G32" i="126"/>
  <c r="E32" i="126"/>
  <c r="C32" i="126"/>
  <c r="L31" i="126"/>
  <c r="K31" i="126"/>
  <c r="J31" i="126"/>
  <c r="H31" i="126"/>
  <c r="G31" i="126"/>
  <c r="E31" i="126"/>
  <c r="C31" i="126"/>
  <c r="H24" i="126"/>
  <c r="H23" i="126"/>
  <c r="G23" i="126"/>
  <c r="E23" i="126"/>
  <c r="C23" i="126"/>
  <c r="H22" i="126"/>
  <c r="G22" i="126"/>
  <c r="E22" i="126"/>
  <c r="C22" i="126"/>
  <c r="H21" i="126"/>
  <c r="G21" i="126"/>
  <c r="E21" i="126"/>
  <c r="C21" i="126"/>
  <c r="H20" i="126"/>
  <c r="G20" i="126"/>
  <c r="E20" i="126"/>
  <c r="C20" i="126"/>
  <c r="H13" i="126"/>
  <c r="H12" i="126"/>
  <c r="H11" i="126"/>
  <c r="H10" i="126"/>
  <c r="H9" i="126"/>
  <c r="H52" i="130"/>
  <c r="H62" i="130" s="1"/>
  <c r="G52" i="130"/>
  <c r="H51" i="130"/>
  <c r="H41" i="130"/>
  <c r="H58" i="130"/>
  <c r="G41" i="130"/>
  <c r="G58" i="130" s="1"/>
  <c r="G62" i="130"/>
  <c r="H29" i="130"/>
  <c r="H27" i="130" s="1"/>
  <c r="H45" i="130" s="1"/>
  <c r="H71" i="130" s="1"/>
  <c r="G29" i="130"/>
  <c r="G27" i="130"/>
  <c r="D29" i="130"/>
  <c r="F29" i="130" s="1"/>
  <c r="H23" i="130"/>
  <c r="G23" i="130"/>
  <c r="B21" i="130"/>
  <c r="C21" i="130"/>
  <c r="D21" i="130" s="1"/>
  <c r="F10" i="130"/>
  <c r="B6" i="130"/>
  <c r="C6" i="130" s="1"/>
  <c r="D6" i="130" s="1"/>
  <c r="F13" i="103"/>
  <c r="F42" i="103"/>
  <c r="F11" i="103"/>
  <c r="F10" i="103" s="1"/>
  <c r="F27" i="103"/>
  <c r="F14" i="103" s="1"/>
  <c r="F38" i="103"/>
  <c r="E43" i="129"/>
  <c r="E43" i="128"/>
  <c r="E43" i="127"/>
  <c r="E43" i="125"/>
  <c r="E38" i="125"/>
  <c r="J38" i="125" s="1"/>
  <c r="D38" i="125"/>
  <c r="E38" i="127"/>
  <c r="J38" i="127" s="1"/>
  <c r="E38" i="128"/>
  <c r="J38" i="128" s="1"/>
  <c r="I19" i="128"/>
  <c r="E33" i="127"/>
  <c r="J33" i="127" s="1"/>
  <c r="E32" i="127"/>
  <c r="E26" i="128"/>
  <c r="E26" i="129" s="1"/>
  <c r="E28" i="128"/>
  <c r="E28" i="129" s="1"/>
  <c r="E27" i="128"/>
  <c r="E29" i="128"/>
  <c r="E25" i="128"/>
  <c r="E25" i="127"/>
  <c r="E25" i="129" s="1"/>
  <c r="E26" i="127"/>
  <c r="E27" i="127"/>
  <c r="E27" i="129"/>
  <c r="E28" i="127"/>
  <c r="D39" i="129"/>
  <c r="D33" i="129"/>
  <c r="D35" i="129"/>
  <c r="D32" i="129"/>
  <c r="D26" i="129"/>
  <c r="D27" i="129"/>
  <c r="D28" i="129"/>
  <c r="D29" i="129"/>
  <c r="D25" i="129"/>
  <c r="D39" i="128"/>
  <c r="I39" i="128" s="1"/>
  <c r="D33" i="128"/>
  <c r="I33" i="128" s="1"/>
  <c r="D35" i="128"/>
  <c r="I35" i="128" s="1"/>
  <c r="D32" i="128"/>
  <c r="I32" i="128" s="1"/>
  <c r="D26" i="128"/>
  <c r="D27" i="128"/>
  <c r="C27" i="128" s="1"/>
  <c r="D28" i="128"/>
  <c r="D29" i="128"/>
  <c r="D25" i="128"/>
  <c r="D39" i="127"/>
  <c r="I39" i="127" s="1"/>
  <c r="D35" i="127"/>
  <c r="I35" i="127" s="1"/>
  <c r="I35" i="129" s="1"/>
  <c r="D33" i="127"/>
  <c r="I33" i="127" s="1"/>
  <c r="D32" i="127"/>
  <c r="D27" i="127"/>
  <c r="C27" i="127" s="1"/>
  <c r="D26" i="127"/>
  <c r="D25" i="127"/>
  <c r="D28" i="127"/>
  <c r="I28" i="127" s="1"/>
  <c r="D29" i="127"/>
  <c r="C29" i="127" s="1"/>
  <c r="E29" i="127"/>
  <c r="I19" i="127"/>
  <c r="S28" i="125"/>
  <c r="R28" i="129"/>
  <c r="N69" i="129"/>
  <c r="L69" i="129"/>
  <c r="N62" i="129"/>
  <c r="L62" i="129"/>
  <c r="G54" i="129"/>
  <c r="H54" i="129" s="1"/>
  <c r="G53" i="129"/>
  <c r="F53" i="129"/>
  <c r="H53" i="129" s="1"/>
  <c r="E53" i="129"/>
  <c r="G52" i="129"/>
  <c r="F52" i="129"/>
  <c r="G51" i="129"/>
  <c r="F51" i="129"/>
  <c r="G50" i="129"/>
  <c r="F50" i="129"/>
  <c r="M36" i="129"/>
  <c r="L36" i="129"/>
  <c r="M31" i="129"/>
  <c r="L31" i="129"/>
  <c r="H13" i="129"/>
  <c r="G13" i="129"/>
  <c r="G12" i="129"/>
  <c r="G11" i="129"/>
  <c r="G10" i="129"/>
  <c r="F65" i="128"/>
  <c r="G65" i="128"/>
  <c r="F66" i="128"/>
  <c r="G26" i="128" s="1"/>
  <c r="G66" i="128"/>
  <c r="H26" i="128" s="1"/>
  <c r="E67" i="128"/>
  <c r="F27" i="128" s="1"/>
  <c r="F67" i="128"/>
  <c r="G27" i="128" s="1"/>
  <c r="J27" i="128" s="1"/>
  <c r="G67" i="128"/>
  <c r="H27" i="128" s="1"/>
  <c r="N27" i="128" s="1"/>
  <c r="G68" i="128"/>
  <c r="H28" i="128" s="1"/>
  <c r="G64" i="128"/>
  <c r="H25" i="128" s="1"/>
  <c r="F64" i="128"/>
  <c r="G25" i="128" s="1"/>
  <c r="E39" i="128"/>
  <c r="E35" i="128"/>
  <c r="E33" i="128"/>
  <c r="J33" i="128" s="1"/>
  <c r="E32" i="128"/>
  <c r="N32" i="128" s="1"/>
  <c r="N39" i="128"/>
  <c r="M36" i="128"/>
  <c r="L36" i="128"/>
  <c r="M31" i="128"/>
  <c r="L31" i="128"/>
  <c r="I28" i="128"/>
  <c r="H13" i="128"/>
  <c r="G13" i="128"/>
  <c r="G12" i="128"/>
  <c r="G11" i="128"/>
  <c r="G10" i="128"/>
  <c r="E35" i="127"/>
  <c r="N35" i="127" s="1"/>
  <c r="E39" i="127"/>
  <c r="G68" i="127"/>
  <c r="G67" i="127"/>
  <c r="H27" i="127" s="1"/>
  <c r="N27" i="127" s="1"/>
  <c r="F67" i="127"/>
  <c r="G27" i="127" s="1"/>
  <c r="J27" i="127" s="1"/>
  <c r="E67" i="127"/>
  <c r="F27" i="127" s="1"/>
  <c r="G66" i="127"/>
  <c r="H26" i="127" s="1"/>
  <c r="N26" i="127" s="1"/>
  <c r="F66" i="127"/>
  <c r="G26" i="127" s="1"/>
  <c r="J26" i="127" s="1"/>
  <c r="E66" i="127"/>
  <c r="F26" i="127" s="1"/>
  <c r="I26" i="127" s="1"/>
  <c r="G65" i="127"/>
  <c r="F65" i="127"/>
  <c r="E65" i="127"/>
  <c r="G64" i="127"/>
  <c r="H25" i="127" s="1"/>
  <c r="N25" i="127" s="1"/>
  <c r="F64" i="127"/>
  <c r="G25" i="127" s="1"/>
  <c r="E64" i="127"/>
  <c r="F25" i="127" s="1"/>
  <c r="M36" i="127"/>
  <c r="L36" i="127"/>
  <c r="M31" i="127"/>
  <c r="L31" i="127"/>
  <c r="H13" i="127"/>
  <c r="G13" i="127"/>
  <c r="G12" i="127"/>
  <c r="G11" i="127"/>
  <c r="G10" i="127"/>
  <c r="F65" i="125"/>
  <c r="G65" i="125"/>
  <c r="F66" i="125"/>
  <c r="G66" i="125"/>
  <c r="F67" i="125"/>
  <c r="G67" i="125"/>
  <c r="G68" i="125"/>
  <c r="H68" i="125" s="1"/>
  <c r="G64" i="125"/>
  <c r="F64" i="125"/>
  <c r="E66" i="125"/>
  <c r="E67" i="125"/>
  <c r="E65" i="125"/>
  <c r="E64" i="125"/>
  <c r="H29" i="125"/>
  <c r="J39" i="125"/>
  <c r="I39" i="125"/>
  <c r="K39" i="125" s="1"/>
  <c r="H39" i="125" s="1"/>
  <c r="N39" i="125" s="1"/>
  <c r="C39" i="125"/>
  <c r="M36" i="125"/>
  <c r="L36" i="125"/>
  <c r="J35" i="125"/>
  <c r="I35" i="125"/>
  <c r="C35" i="125"/>
  <c r="I33" i="125"/>
  <c r="J32" i="125"/>
  <c r="I32" i="125"/>
  <c r="K32" i="125" s="1"/>
  <c r="H32" i="125" s="1"/>
  <c r="N32" i="125" s="1"/>
  <c r="C32" i="125"/>
  <c r="M31" i="125"/>
  <c r="L31" i="125"/>
  <c r="E29" i="125"/>
  <c r="N29" i="125" s="1"/>
  <c r="N23" i="125" s="1"/>
  <c r="E28" i="125"/>
  <c r="N28" i="125"/>
  <c r="I28" i="125"/>
  <c r="I27" i="125"/>
  <c r="E27" i="125"/>
  <c r="N27" i="125"/>
  <c r="I26" i="125"/>
  <c r="E26" i="125"/>
  <c r="N26" i="125"/>
  <c r="I25" i="125"/>
  <c r="E25" i="125"/>
  <c r="N25" i="125" s="1"/>
  <c r="H13" i="125"/>
  <c r="G13" i="125"/>
  <c r="G12" i="125"/>
  <c r="G11" i="125"/>
  <c r="G10" i="125"/>
  <c r="E37" i="124"/>
  <c r="J37" i="124" s="1"/>
  <c r="D37" i="124"/>
  <c r="I37" i="124" s="1"/>
  <c r="E29" i="124"/>
  <c r="D29" i="124"/>
  <c r="C29" i="124" s="1"/>
  <c r="E28" i="124"/>
  <c r="D28" i="124"/>
  <c r="E27" i="124"/>
  <c r="E26" i="124"/>
  <c r="E24" i="124" s="1"/>
  <c r="E25" i="124"/>
  <c r="G67" i="124"/>
  <c r="H29" i="124" s="1"/>
  <c r="N29" i="124" s="1"/>
  <c r="F67" i="124"/>
  <c r="E67" i="124"/>
  <c r="G66" i="124"/>
  <c r="F66" i="124"/>
  <c r="E66" i="124"/>
  <c r="G65" i="124"/>
  <c r="F65" i="124"/>
  <c r="E65" i="124"/>
  <c r="G64" i="124"/>
  <c r="F64" i="124"/>
  <c r="E64" i="124"/>
  <c r="G63" i="124"/>
  <c r="F63" i="124"/>
  <c r="E63" i="124"/>
  <c r="F25" i="124" s="1"/>
  <c r="I25" i="124" s="1"/>
  <c r="J38" i="124"/>
  <c r="I38" i="124"/>
  <c r="K38" i="124" s="1"/>
  <c r="H38" i="124"/>
  <c r="N38" i="124"/>
  <c r="C38" i="124"/>
  <c r="M35" i="124"/>
  <c r="L35" i="124"/>
  <c r="J34" i="124"/>
  <c r="I34" i="124"/>
  <c r="C34" i="124"/>
  <c r="J32" i="124"/>
  <c r="I32" i="124"/>
  <c r="K32" i="124"/>
  <c r="H32" i="124" s="1"/>
  <c r="N32" i="124" s="1"/>
  <c r="C32" i="124"/>
  <c r="M31" i="124"/>
  <c r="L31" i="124"/>
  <c r="H28" i="124"/>
  <c r="N28" i="124" s="1"/>
  <c r="G28" i="124"/>
  <c r="G29" i="124" s="1"/>
  <c r="J29" i="124" s="1"/>
  <c r="F28" i="124"/>
  <c r="I28" i="124" s="1"/>
  <c r="H27" i="124"/>
  <c r="N27" i="124" s="1"/>
  <c r="G27" i="124"/>
  <c r="F27" i="124"/>
  <c r="I27" i="124" s="1"/>
  <c r="H26" i="124"/>
  <c r="G26" i="124"/>
  <c r="H25" i="124"/>
  <c r="G25" i="124"/>
  <c r="H13" i="124"/>
  <c r="G13" i="124"/>
  <c r="G12" i="124"/>
  <c r="G11" i="124"/>
  <c r="G10" i="124"/>
  <c r="G66" i="123"/>
  <c r="H29" i="123" s="1"/>
  <c r="N29" i="123" s="1"/>
  <c r="F66" i="123"/>
  <c r="E66" i="123"/>
  <c r="G65" i="123"/>
  <c r="F65" i="123"/>
  <c r="E65" i="123"/>
  <c r="G64" i="123"/>
  <c r="F64" i="123"/>
  <c r="E64" i="123"/>
  <c r="G63" i="123"/>
  <c r="F63" i="123"/>
  <c r="E63" i="123"/>
  <c r="G62" i="123"/>
  <c r="F62" i="123"/>
  <c r="E62" i="123"/>
  <c r="F25" i="123" s="1"/>
  <c r="I25" i="123" s="1"/>
  <c r="H40" i="123"/>
  <c r="J37" i="123"/>
  <c r="I37" i="123"/>
  <c r="K37" i="123"/>
  <c r="H37" i="123"/>
  <c r="N37" i="123" s="1"/>
  <c r="C37" i="123"/>
  <c r="J36" i="123"/>
  <c r="I36" i="123"/>
  <c r="K36" i="123" s="1"/>
  <c r="H36" i="123" s="1"/>
  <c r="N36" i="123"/>
  <c r="C36" i="123"/>
  <c r="M34" i="123"/>
  <c r="L34" i="123"/>
  <c r="J33" i="123"/>
  <c r="J31" i="123" s="1"/>
  <c r="I33" i="123"/>
  <c r="K33" i="123" s="1"/>
  <c r="H33" i="123" s="1"/>
  <c r="N33" i="123" s="1"/>
  <c r="N31" i="123" s="1"/>
  <c r="C33" i="123"/>
  <c r="J32" i="123"/>
  <c r="I32" i="123"/>
  <c r="K32" i="123"/>
  <c r="H32" i="123" s="1"/>
  <c r="C32" i="123"/>
  <c r="M31" i="123"/>
  <c r="L31" i="123"/>
  <c r="C29" i="123"/>
  <c r="H28" i="123"/>
  <c r="N28" i="123" s="1"/>
  <c r="G28" i="123"/>
  <c r="G29" i="123" s="1"/>
  <c r="J29" i="123" s="1"/>
  <c r="F28" i="123"/>
  <c r="C28" i="123"/>
  <c r="H27" i="123"/>
  <c r="N27" i="123" s="1"/>
  <c r="G27" i="123"/>
  <c r="J27" i="123" s="1"/>
  <c r="F27" i="123"/>
  <c r="I27" i="123" s="1"/>
  <c r="C27" i="123"/>
  <c r="H26" i="123"/>
  <c r="N26" i="123" s="1"/>
  <c r="G26" i="123"/>
  <c r="J26" i="123" s="1"/>
  <c r="C26" i="123"/>
  <c r="H25" i="123"/>
  <c r="N25" i="123" s="1"/>
  <c r="G25" i="123"/>
  <c r="J25" i="123" s="1"/>
  <c r="C25" i="123"/>
  <c r="E24" i="123"/>
  <c r="E35" i="123" s="1"/>
  <c r="D24" i="123"/>
  <c r="D35" i="123"/>
  <c r="I35" i="123" s="1"/>
  <c r="H13" i="123"/>
  <c r="G13" i="123"/>
  <c r="G12" i="123"/>
  <c r="G11" i="123"/>
  <c r="G10" i="123"/>
  <c r="G40" i="122"/>
  <c r="G63" i="122"/>
  <c r="G64" i="122"/>
  <c r="G65" i="122"/>
  <c r="G66" i="122"/>
  <c r="H29" i="122" s="1"/>
  <c r="N29" i="122" s="1"/>
  <c r="G62" i="122"/>
  <c r="F63" i="122"/>
  <c r="F64" i="122"/>
  <c r="F65" i="122"/>
  <c r="F66" i="122"/>
  <c r="F62" i="122"/>
  <c r="E63" i="122"/>
  <c r="E64" i="122"/>
  <c r="F26" i="122" s="1"/>
  <c r="I26" i="122" s="1"/>
  <c r="E65" i="122"/>
  <c r="E66" i="122"/>
  <c r="E62" i="122"/>
  <c r="H27" i="122"/>
  <c r="N27" i="122" s="1"/>
  <c r="H26" i="122"/>
  <c r="N26" i="122" s="1"/>
  <c r="H25" i="122"/>
  <c r="N25" i="122" s="1"/>
  <c r="H28" i="122"/>
  <c r="N28" i="122" s="1"/>
  <c r="G28" i="122"/>
  <c r="G27" i="122"/>
  <c r="J27" i="122" s="1"/>
  <c r="G26" i="122"/>
  <c r="J26" i="122" s="1"/>
  <c r="G25" i="122"/>
  <c r="J25" i="122" s="1"/>
  <c r="F28" i="122"/>
  <c r="F29" i="122" s="1"/>
  <c r="I29" i="122" s="1"/>
  <c r="F27" i="122"/>
  <c r="I27" i="122" s="1"/>
  <c r="K27" i="122" s="1"/>
  <c r="J37" i="122"/>
  <c r="K37" i="122" s="1"/>
  <c r="I37" i="122"/>
  <c r="H37" i="122"/>
  <c r="N37" i="122"/>
  <c r="C37" i="122"/>
  <c r="H40" i="122"/>
  <c r="I36" i="122"/>
  <c r="C36" i="122"/>
  <c r="M34" i="122"/>
  <c r="L34" i="122"/>
  <c r="J33" i="122"/>
  <c r="J31" i="122" s="1"/>
  <c r="I33" i="122"/>
  <c r="K33" i="122" s="1"/>
  <c r="H33" i="122" s="1"/>
  <c r="N33" i="122" s="1"/>
  <c r="C33" i="122"/>
  <c r="I32" i="122"/>
  <c r="C32" i="122"/>
  <c r="M31" i="122"/>
  <c r="L31" i="122"/>
  <c r="C29" i="122"/>
  <c r="C28" i="122"/>
  <c r="C27" i="122"/>
  <c r="C26" i="122"/>
  <c r="C25" i="122"/>
  <c r="E24" i="122"/>
  <c r="E35" i="122"/>
  <c r="D24" i="122"/>
  <c r="D35" i="122" s="1"/>
  <c r="I35" i="122" s="1"/>
  <c r="H13" i="122"/>
  <c r="G13" i="122"/>
  <c r="G12" i="122"/>
  <c r="G11" i="122"/>
  <c r="G10" i="122"/>
  <c r="H29" i="120" s="1"/>
  <c r="G28" i="120" s="1"/>
  <c r="F28" i="120" s="1"/>
  <c r="H27" i="120" s="1"/>
  <c r="G27" i="120" s="1"/>
  <c r="F27" i="120" s="1"/>
  <c r="H26" i="120" s="1"/>
  <c r="N26" i="120" s="1"/>
  <c r="G26" i="120"/>
  <c r="J26" i="120" s="1"/>
  <c r="F26" i="120" s="1"/>
  <c r="H25" i="120"/>
  <c r="N25" i="120" s="1"/>
  <c r="G25" i="120" s="1"/>
  <c r="J25" i="120" s="1"/>
  <c r="F25" i="120"/>
  <c r="H81" i="121"/>
  <c r="G81" i="121"/>
  <c r="E81" i="121"/>
  <c r="C81" i="121"/>
  <c r="H80" i="121"/>
  <c r="G80" i="121"/>
  <c r="E80" i="121"/>
  <c r="C80" i="121"/>
  <c r="H79" i="121"/>
  <c r="G79" i="121"/>
  <c r="E79" i="121"/>
  <c r="C79" i="121"/>
  <c r="H78" i="121"/>
  <c r="G78" i="121"/>
  <c r="E78" i="121"/>
  <c r="C78" i="121"/>
  <c r="H77" i="121"/>
  <c r="G77" i="121"/>
  <c r="E77" i="121"/>
  <c r="C77" i="121"/>
  <c r="H69" i="121"/>
  <c r="G69" i="121"/>
  <c r="E69" i="121"/>
  <c r="C69" i="121"/>
  <c r="H68" i="121"/>
  <c r="G68" i="121"/>
  <c r="E68" i="121"/>
  <c r="C68" i="121"/>
  <c r="H67" i="121"/>
  <c r="G67" i="121"/>
  <c r="E67" i="121"/>
  <c r="C67" i="121"/>
  <c r="H66" i="121"/>
  <c r="G66" i="121"/>
  <c r="E66" i="121"/>
  <c r="C66" i="121"/>
  <c r="H65" i="121"/>
  <c r="G65" i="121"/>
  <c r="E65" i="121"/>
  <c r="C65" i="121"/>
  <c r="H57" i="121"/>
  <c r="G57" i="121"/>
  <c r="E57" i="121"/>
  <c r="C57" i="121"/>
  <c r="H56" i="121"/>
  <c r="G56" i="121"/>
  <c r="E56" i="121"/>
  <c r="C56" i="121"/>
  <c r="H55" i="121"/>
  <c r="G55" i="121"/>
  <c r="E55" i="121"/>
  <c r="C55" i="121"/>
  <c r="H54" i="121"/>
  <c r="G54" i="121"/>
  <c r="E54" i="121"/>
  <c r="C54" i="121"/>
  <c r="H53" i="121"/>
  <c r="G53" i="121"/>
  <c r="E53" i="121"/>
  <c r="C53" i="121"/>
  <c r="H46" i="121"/>
  <c r="G46" i="121"/>
  <c r="E46" i="121"/>
  <c r="C46" i="121"/>
  <c r="H45" i="121"/>
  <c r="G45" i="121"/>
  <c r="E45" i="121"/>
  <c r="C45" i="121"/>
  <c r="H44" i="121"/>
  <c r="G44" i="121"/>
  <c r="E44" i="121"/>
  <c r="C44" i="121"/>
  <c r="H43" i="121"/>
  <c r="G43" i="121"/>
  <c r="E43" i="121"/>
  <c r="C43" i="121"/>
  <c r="H42" i="121"/>
  <c r="G42" i="121"/>
  <c r="E42" i="121"/>
  <c r="C42" i="121"/>
  <c r="H35" i="121"/>
  <c r="H34" i="121"/>
  <c r="H33" i="121"/>
  <c r="H32" i="121"/>
  <c r="H31" i="121"/>
  <c r="G35" i="121" s="1"/>
  <c r="E35" i="121" s="1"/>
  <c r="E34" i="121" s="1"/>
  <c r="E33" i="121" s="1"/>
  <c r="E32" i="121" s="1"/>
  <c r="E31" i="121" s="1"/>
  <c r="H13" i="121"/>
  <c r="L34" i="121" s="1"/>
  <c r="K34" i="121" s="1"/>
  <c r="J34" i="121" s="1"/>
  <c r="L33" i="121" s="1"/>
  <c r="K33" i="121" s="1"/>
  <c r="J33" i="121" s="1"/>
  <c r="L32" i="121" s="1"/>
  <c r="K32" i="121" s="1"/>
  <c r="J32" i="121" s="1"/>
  <c r="L31" i="121" s="1"/>
  <c r="K31" i="121" s="1"/>
  <c r="J31" i="121" s="1"/>
  <c r="D26" i="120"/>
  <c r="D25" i="120"/>
  <c r="J37" i="120"/>
  <c r="I37" i="120"/>
  <c r="K37" i="120" s="1"/>
  <c r="H37" i="120" s="1"/>
  <c r="N37" i="120" s="1"/>
  <c r="C37" i="120"/>
  <c r="E36" i="120"/>
  <c r="D36" i="120"/>
  <c r="I36" i="120" s="1"/>
  <c r="M34" i="120"/>
  <c r="L34" i="120"/>
  <c r="J33" i="120"/>
  <c r="I33" i="120"/>
  <c r="K33" i="120" s="1"/>
  <c r="H33" i="120" s="1"/>
  <c r="N33" i="120" s="1"/>
  <c r="C33" i="120"/>
  <c r="M31" i="120"/>
  <c r="L31" i="120"/>
  <c r="C25" i="120"/>
  <c r="H13" i="120"/>
  <c r="G13" i="120"/>
  <c r="G12" i="120"/>
  <c r="G11" i="120"/>
  <c r="G10" i="120"/>
  <c r="G28" i="119"/>
  <c r="F28" i="119"/>
  <c r="F29" i="119" s="1"/>
  <c r="I29" i="119" s="1"/>
  <c r="K29" i="119" s="1"/>
  <c r="H27" i="119"/>
  <c r="N27" i="119" s="1"/>
  <c r="F27" i="119"/>
  <c r="I27" i="119" s="1"/>
  <c r="G26" i="119"/>
  <c r="J26" i="119" s="1"/>
  <c r="H63" i="119"/>
  <c r="H25" i="119"/>
  <c r="N25" i="119" s="1"/>
  <c r="F25" i="119"/>
  <c r="I25" i="119" s="1"/>
  <c r="J37" i="119"/>
  <c r="I37" i="119"/>
  <c r="K37" i="119" s="1"/>
  <c r="H37" i="119" s="1"/>
  <c r="N37" i="119" s="1"/>
  <c r="C37" i="119"/>
  <c r="E36" i="119"/>
  <c r="D36" i="119"/>
  <c r="I36" i="119" s="1"/>
  <c r="I35" i="119"/>
  <c r="M34" i="119"/>
  <c r="L34" i="119"/>
  <c r="J33" i="119"/>
  <c r="I33" i="119"/>
  <c r="K33" i="119"/>
  <c r="H33" i="119" s="1"/>
  <c r="N33" i="119" s="1"/>
  <c r="C33" i="119"/>
  <c r="M31" i="119"/>
  <c r="L31" i="119"/>
  <c r="C29" i="119"/>
  <c r="C28" i="119"/>
  <c r="C27" i="119"/>
  <c r="C25" i="119"/>
  <c r="D24" i="119"/>
  <c r="J19" i="119"/>
  <c r="H13" i="119"/>
  <c r="G13" i="119"/>
  <c r="G12" i="119"/>
  <c r="G11" i="119"/>
  <c r="G10" i="119"/>
  <c r="E36" i="80"/>
  <c r="J36" i="80"/>
  <c r="D36" i="80"/>
  <c r="I36" i="80" s="1"/>
  <c r="K36" i="80" s="1"/>
  <c r="H36" i="80" s="1"/>
  <c r="N36" i="80" s="1"/>
  <c r="L39" i="118"/>
  <c r="G39" i="118"/>
  <c r="M35" i="118"/>
  <c r="K35" i="118"/>
  <c r="J35" i="118"/>
  <c r="I35" i="118"/>
  <c r="H35" i="118"/>
  <c r="H23" i="118" s="1"/>
  <c r="D35" i="118"/>
  <c r="C35" i="118"/>
  <c r="E25" i="80"/>
  <c r="M26" i="118"/>
  <c r="K26" i="118"/>
  <c r="K23" i="118" s="1"/>
  <c r="J26" i="118"/>
  <c r="N23" i="118"/>
  <c r="M23" i="118"/>
  <c r="D23" i="118"/>
  <c r="C35" i="119"/>
  <c r="L22" i="118"/>
  <c r="G22" i="118"/>
  <c r="N21" i="118"/>
  <c r="M21" i="118"/>
  <c r="K21" i="118"/>
  <c r="J21" i="118"/>
  <c r="H21" i="118"/>
  <c r="F21" i="118"/>
  <c r="E21" i="118"/>
  <c r="C21" i="118"/>
  <c r="G21" i="118" s="1"/>
  <c r="L20" i="118"/>
  <c r="G20" i="118"/>
  <c r="I19" i="118"/>
  <c r="N18" i="118" s="1"/>
  <c r="D19" i="118"/>
  <c r="N17" i="118"/>
  <c r="G18" i="118"/>
  <c r="K17" i="118"/>
  <c r="K19" i="118" s="1"/>
  <c r="P18" i="118" s="1"/>
  <c r="J17" i="118"/>
  <c r="J19" i="118" s="1"/>
  <c r="H17" i="118"/>
  <c r="H19" i="118" s="1"/>
  <c r="F17" i="118"/>
  <c r="E17" i="118"/>
  <c r="E19" i="118" s="1"/>
  <c r="C17" i="118"/>
  <c r="C19" i="118" s="1"/>
  <c r="I15" i="118"/>
  <c r="G15" i="118"/>
  <c r="H14" i="118"/>
  <c r="L14" i="118" s="1"/>
  <c r="C14" i="118"/>
  <c r="K11" i="118"/>
  <c r="J11" i="118"/>
  <c r="F11" i="118"/>
  <c r="E11" i="118"/>
  <c r="D11" i="118"/>
  <c r="M2" i="118"/>
  <c r="H26" i="80" s="1"/>
  <c r="H27" i="80" s="1"/>
  <c r="H29" i="80" s="1"/>
  <c r="H25" i="80" s="1"/>
  <c r="G26" i="80"/>
  <c r="G27" i="80"/>
  <c r="G28" i="80"/>
  <c r="F26" i="80" s="1"/>
  <c r="F27" i="80" s="1"/>
  <c r="F28" i="80" s="1"/>
  <c r="G25" i="80"/>
  <c r="E34" i="96"/>
  <c r="D30" i="103"/>
  <c r="D28" i="103" s="1"/>
  <c r="E33" i="96"/>
  <c r="G36" i="96" s="1"/>
  <c r="I84" i="95"/>
  <c r="H44" i="115"/>
  <c r="E44" i="115"/>
  <c r="J59" i="95"/>
  <c r="K54" i="95"/>
  <c r="J54" i="95"/>
  <c r="K49" i="95"/>
  <c r="J49" i="95"/>
  <c r="K47" i="95"/>
  <c r="J47" i="95"/>
  <c r="K45" i="95"/>
  <c r="J45" i="95"/>
  <c r="J44" i="95"/>
  <c r="K41" i="95"/>
  <c r="J41" i="95"/>
  <c r="K37" i="95"/>
  <c r="J37" i="95"/>
  <c r="K42" i="95"/>
  <c r="J42" i="95"/>
  <c r="F47" i="109"/>
  <c r="G47" i="109"/>
  <c r="F41" i="109"/>
  <c r="F31" i="109"/>
  <c r="G31" i="109"/>
  <c r="F47" i="108"/>
  <c r="J51" i="108" s="1"/>
  <c r="D83" i="95"/>
  <c r="J84" i="95"/>
  <c r="D11" i="87"/>
  <c r="F10" i="87"/>
  <c r="F11" i="87" s="1"/>
  <c r="E10" i="87"/>
  <c r="E11" i="87" s="1"/>
  <c r="D11" i="112"/>
  <c r="F10" i="112"/>
  <c r="B10" i="112" s="1"/>
  <c r="E10" i="112"/>
  <c r="J86" i="95"/>
  <c r="J28" i="95"/>
  <c r="H75" i="95"/>
  <c r="E75" i="95"/>
  <c r="D100" i="99"/>
  <c r="D69" i="99"/>
  <c r="C69" i="99"/>
  <c r="C22" i="99" s="1"/>
  <c r="J14" i="103" s="1"/>
  <c r="D71" i="99"/>
  <c r="D24" i="99" s="1"/>
  <c r="C71" i="99"/>
  <c r="D73" i="99"/>
  <c r="D26" i="99" s="1"/>
  <c r="C73" i="99"/>
  <c r="C26" i="99" s="1"/>
  <c r="D116" i="99"/>
  <c r="C116" i="99"/>
  <c r="C114" i="99" s="1"/>
  <c r="C100" i="99"/>
  <c r="C83" i="99"/>
  <c r="C80" i="99" s="1"/>
  <c r="C14" i="99" s="1"/>
  <c r="F24" i="87"/>
  <c r="F25" i="87"/>
  <c r="E25" i="87"/>
  <c r="E24" i="87"/>
  <c r="D21" i="87"/>
  <c r="E21" i="87"/>
  <c r="F21" i="87"/>
  <c r="D22" i="87"/>
  <c r="E22" i="87"/>
  <c r="E18" i="87" s="1"/>
  <c r="D113" i="99" s="1"/>
  <c r="F22" i="87"/>
  <c r="C22" i="87"/>
  <c r="C18" i="87" s="1"/>
  <c r="C21" i="87"/>
  <c r="C17" i="87" s="1"/>
  <c r="H12" i="87" s="1"/>
  <c r="C46" i="114"/>
  <c r="C20" i="114" s="1"/>
  <c r="H20" i="114" s="1"/>
  <c r="H45" i="114"/>
  <c r="H44" i="114"/>
  <c r="H43" i="114"/>
  <c r="H42" i="114"/>
  <c r="H41" i="114"/>
  <c r="H40" i="114"/>
  <c r="H39" i="114"/>
  <c r="D38" i="114"/>
  <c r="H38" i="114" s="1"/>
  <c r="K37" i="114"/>
  <c r="J37" i="114"/>
  <c r="D47" i="114"/>
  <c r="C47" i="114"/>
  <c r="H36" i="114"/>
  <c r="G36" i="114"/>
  <c r="F36" i="114"/>
  <c r="H35" i="114"/>
  <c r="D34" i="114"/>
  <c r="J32" i="114" s="1"/>
  <c r="C34" i="114"/>
  <c r="C19" i="114" s="1"/>
  <c r="H33" i="114"/>
  <c r="I32" i="114"/>
  <c r="H32" i="114"/>
  <c r="G32" i="114"/>
  <c r="A32" i="114"/>
  <c r="A35" i="114"/>
  <c r="A37" i="114"/>
  <c r="A38" i="114"/>
  <c r="A39" i="114" s="1"/>
  <c r="A40" i="114" s="1"/>
  <c r="A41" i="114" s="1"/>
  <c r="A42" i="114" s="1"/>
  <c r="A43" i="114" s="1"/>
  <c r="A44" i="114" s="1"/>
  <c r="C29" i="114"/>
  <c r="H28" i="114"/>
  <c r="D29" i="114"/>
  <c r="H26" i="114"/>
  <c r="H23" i="114"/>
  <c r="H22" i="114"/>
  <c r="D20" i="114"/>
  <c r="H8" i="113"/>
  <c r="G8" i="113"/>
  <c r="J29" i="113"/>
  <c r="J27" i="113"/>
  <c r="H27" i="113"/>
  <c r="B24" i="113"/>
  <c r="B23" i="113"/>
  <c r="B21" i="113"/>
  <c r="B20" i="113"/>
  <c r="J15" i="113"/>
  <c r="I15" i="113"/>
  <c r="I17" i="113" s="1"/>
  <c r="I21" i="113" s="1"/>
  <c r="H15" i="113"/>
  <c r="H17" i="113" s="1"/>
  <c r="I19" i="113" s="1"/>
  <c r="G15" i="113"/>
  <c r="H16" i="113"/>
  <c r="G16" i="113"/>
  <c r="D11" i="113"/>
  <c r="C11" i="113"/>
  <c r="F10" i="113"/>
  <c r="D10" i="113"/>
  <c r="F22" i="112"/>
  <c r="F18" i="112"/>
  <c r="F21" i="112"/>
  <c r="E22" i="112"/>
  <c r="B22" i="112" s="1"/>
  <c r="E21" i="112"/>
  <c r="B21" i="112" s="1"/>
  <c r="D27" i="112"/>
  <c r="D28" i="112" s="1"/>
  <c r="B28" i="112" s="1"/>
  <c r="E102" i="112"/>
  <c r="D102" i="112"/>
  <c r="F31" i="112"/>
  <c r="C31" i="112"/>
  <c r="B31" i="112" s="1"/>
  <c r="F30" i="112"/>
  <c r="C30" i="112"/>
  <c r="B30" i="112"/>
  <c r="I25" i="112"/>
  <c r="H25" i="112"/>
  <c r="B25" i="112"/>
  <c r="B24" i="112"/>
  <c r="C18" i="112"/>
  <c r="C17" i="112"/>
  <c r="B14" i="112"/>
  <c r="B13" i="112"/>
  <c r="J10" i="112"/>
  <c r="J9" i="112"/>
  <c r="J10" i="87"/>
  <c r="J9" i="87"/>
  <c r="F31" i="87"/>
  <c r="D137" i="99" s="1"/>
  <c r="F30" i="87"/>
  <c r="C137" i="99"/>
  <c r="C28" i="99" s="1"/>
  <c r="C31" i="87"/>
  <c r="B31" i="87" s="1"/>
  <c r="C30" i="87"/>
  <c r="F12" i="64"/>
  <c r="E26" i="95"/>
  <c r="I23" i="95"/>
  <c r="I22" i="95"/>
  <c r="I24" i="95"/>
  <c r="G48" i="109"/>
  <c r="G46" i="109"/>
  <c r="G45" i="109"/>
  <c r="G41" i="109"/>
  <c r="G40" i="109"/>
  <c r="G39" i="109"/>
  <c r="G35" i="109"/>
  <c r="G33" i="109"/>
  <c r="G23" i="109"/>
  <c r="G22" i="109"/>
  <c r="K52" i="109" s="1"/>
  <c r="G21" i="109"/>
  <c r="G20" i="109"/>
  <c r="G15" i="109"/>
  <c r="G51" i="109" s="1"/>
  <c r="G14" i="109"/>
  <c r="I51" i="109" s="1"/>
  <c r="G13" i="109"/>
  <c r="B8" i="109"/>
  <c r="C8" i="109"/>
  <c r="D8" i="109"/>
  <c r="E8" i="109" s="1"/>
  <c r="F8" i="109" s="1"/>
  <c r="G46" i="108"/>
  <c r="G43" i="108"/>
  <c r="G41" i="108"/>
  <c r="G40" i="108"/>
  <c r="L4" i="108" s="1"/>
  <c r="G37" i="108"/>
  <c r="G36" i="108"/>
  <c r="G27" i="108"/>
  <c r="G24" i="108"/>
  <c r="G33" i="108" s="1"/>
  <c r="L2" i="108" s="1"/>
  <c r="B12" i="108"/>
  <c r="C12" i="108"/>
  <c r="D12" i="108"/>
  <c r="E12" i="108"/>
  <c r="F12" i="108" s="1"/>
  <c r="E29" i="96"/>
  <c r="B10" i="64"/>
  <c r="E10" i="64"/>
  <c r="E24" i="96"/>
  <c r="E15" i="64"/>
  <c r="E28" i="96" s="1"/>
  <c r="E14" i="64"/>
  <c r="E13" i="64"/>
  <c r="I19" i="95"/>
  <c r="G8" i="103"/>
  <c r="I19" i="119" s="1"/>
  <c r="E16" i="103"/>
  <c r="D16" i="103"/>
  <c r="D14" i="103"/>
  <c r="H42" i="103"/>
  <c r="D10" i="103"/>
  <c r="D114" i="99"/>
  <c r="H73" i="99"/>
  <c r="J62" i="99"/>
  <c r="D22" i="79"/>
  <c r="D25" i="79" s="1"/>
  <c r="F33" i="79"/>
  <c r="F36" i="79" s="1"/>
  <c r="J11" i="79"/>
  <c r="I11" i="79" s="1"/>
  <c r="F13" i="79"/>
  <c r="F12" i="79"/>
  <c r="F11" i="79"/>
  <c r="F10" i="79"/>
  <c r="F9" i="79"/>
  <c r="E7" i="97"/>
  <c r="F7" i="97"/>
  <c r="G7" i="97"/>
  <c r="D7" i="97"/>
  <c r="I13" i="97"/>
  <c r="I6" i="97"/>
  <c r="J6" i="97" s="1"/>
  <c r="J7" i="97"/>
  <c r="H6" i="97"/>
  <c r="H7" i="97"/>
  <c r="E10" i="96"/>
  <c r="E18" i="96"/>
  <c r="E9" i="96" s="1"/>
  <c r="E31" i="96" s="1"/>
  <c r="I26" i="96"/>
  <c r="I7" i="64"/>
  <c r="F9" i="64"/>
  <c r="H26" i="95"/>
  <c r="J77" i="95" s="1"/>
  <c r="I25" i="95"/>
  <c r="I15" i="95"/>
  <c r="J15" i="95" s="1"/>
  <c r="I12" i="95"/>
  <c r="I10" i="95"/>
  <c r="I8" i="95"/>
  <c r="D24" i="79"/>
  <c r="D23" i="79"/>
  <c r="J33" i="79" s="1"/>
  <c r="G22" i="79"/>
  <c r="G33" i="79" s="1"/>
  <c r="L9" i="79"/>
  <c r="N9" i="79" s="1"/>
  <c r="E102" i="87"/>
  <c r="D102" i="87"/>
  <c r="B27" i="87"/>
  <c r="I21" i="79"/>
  <c r="I20" i="79"/>
  <c r="F21" i="79"/>
  <c r="F20" i="79"/>
  <c r="H13" i="80"/>
  <c r="G13" i="80"/>
  <c r="G12" i="80"/>
  <c r="G11" i="80"/>
  <c r="G10" i="80"/>
  <c r="F14" i="79"/>
  <c r="L21" i="79"/>
  <c r="L20" i="79"/>
  <c r="J9" i="79"/>
  <c r="J10" i="79"/>
  <c r="J21" i="79"/>
  <c r="K6" i="97"/>
  <c r="M6" i="97" s="1"/>
  <c r="M7" i="97" s="1"/>
  <c r="D34" i="79"/>
  <c r="G26" i="79"/>
  <c r="M34" i="80"/>
  <c r="D33" i="79"/>
  <c r="L34" i="80"/>
  <c r="M31" i="80"/>
  <c r="L31" i="80"/>
  <c r="G24" i="79"/>
  <c r="E17" i="64"/>
  <c r="M9" i="79"/>
  <c r="G23" i="79"/>
  <c r="K33" i="79" s="1"/>
  <c r="B10" i="87"/>
  <c r="D24" i="134"/>
  <c r="D26" i="79"/>
  <c r="H24" i="79"/>
  <c r="E24" i="79"/>
  <c r="E26" i="79"/>
  <c r="H26" i="79"/>
  <c r="I7" i="79"/>
  <c r="I13" i="79"/>
  <c r="I26" i="79"/>
  <c r="F26" i="79"/>
  <c r="C24" i="99"/>
  <c r="F18" i="87"/>
  <c r="D134" i="99" s="1"/>
  <c r="C37" i="80"/>
  <c r="I42" i="96"/>
  <c r="B30" i="87"/>
  <c r="D18" i="87"/>
  <c r="E18" i="112"/>
  <c r="D28" i="120"/>
  <c r="B28" i="87"/>
  <c r="H100" i="99"/>
  <c r="H85" i="99"/>
  <c r="D83" i="99"/>
  <c r="D80" i="99" s="1"/>
  <c r="H47" i="114"/>
  <c r="H29" i="114"/>
  <c r="H27" i="114"/>
  <c r="H37" i="114"/>
  <c r="B18" i="113"/>
  <c r="E11" i="113"/>
  <c r="C10" i="113"/>
  <c r="B10" i="113" s="1"/>
  <c r="E10" i="113"/>
  <c r="B14" i="113"/>
  <c r="B17" i="113"/>
  <c r="G18" i="113" s="1"/>
  <c r="L3" i="108"/>
  <c r="B15" i="113"/>
  <c r="F11" i="113"/>
  <c r="I16" i="113"/>
  <c r="B27" i="112"/>
  <c r="H29" i="113"/>
  <c r="H30" i="113" s="1"/>
  <c r="I30" i="113" s="1"/>
  <c r="J33" i="80"/>
  <c r="C33" i="80"/>
  <c r="I33" i="80"/>
  <c r="K33" i="80" s="1"/>
  <c r="H33" i="80" s="1"/>
  <c r="N33" i="80" s="1"/>
  <c r="S80" i="95"/>
  <c r="J37" i="80"/>
  <c r="K37" i="80" s="1"/>
  <c r="H37" i="80" s="1"/>
  <c r="N37" i="80" s="1"/>
  <c r="J36" i="120"/>
  <c r="J35" i="119"/>
  <c r="K35" i="119" s="1"/>
  <c r="H35" i="119" s="1"/>
  <c r="N35" i="119" s="1"/>
  <c r="C26" i="119"/>
  <c r="E24" i="119"/>
  <c r="I37" i="80"/>
  <c r="H9" i="121"/>
  <c r="H10" i="121"/>
  <c r="H11" i="121"/>
  <c r="H12" i="121"/>
  <c r="E20" i="121"/>
  <c r="H20" i="121"/>
  <c r="E21" i="121"/>
  <c r="H21" i="121"/>
  <c r="E22" i="121"/>
  <c r="H22" i="121"/>
  <c r="E23" i="121"/>
  <c r="H23" i="121"/>
  <c r="J35" i="123"/>
  <c r="J34" i="123" s="1"/>
  <c r="N32" i="123"/>
  <c r="J28" i="123"/>
  <c r="I34" i="122"/>
  <c r="J32" i="122"/>
  <c r="J35" i="122"/>
  <c r="J34" i="122" s="1"/>
  <c r="J36" i="122"/>
  <c r="K32" i="122"/>
  <c r="H32" i="122"/>
  <c r="N32" i="122" s="1"/>
  <c r="H28" i="80"/>
  <c r="C25" i="128"/>
  <c r="J39" i="128"/>
  <c r="J32" i="128"/>
  <c r="N32" i="127"/>
  <c r="C33" i="127"/>
  <c r="D24" i="125"/>
  <c r="D34" i="125" s="1"/>
  <c r="D34" i="129" s="1"/>
  <c r="C27" i="125"/>
  <c r="K27" i="125"/>
  <c r="J27" i="125"/>
  <c r="J28" i="125"/>
  <c r="K35" i="125"/>
  <c r="H35" i="125" s="1"/>
  <c r="N35" i="125" s="1"/>
  <c r="C25" i="125"/>
  <c r="C26" i="125"/>
  <c r="J26" i="125"/>
  <c r="K26" i="125"/>
  <c r="C28" i="125"/>
  <c r="C33" i="125"/>
  <c r="J33" i="125"/>
  <c r="K33" i="125" s="1"/>
  <c r="H33" i="125" s="1"/>
  <c r="N33" i="125" s="1"/>
  <c r="D26" i="80"/>
  <c r="D25" i="80"/>
  <c r="C25" i="80" s="1"/>
  <c r="D14" i="99"/>
  <c r="D29" i="80"/>
  <c r="D27" i="80" s="1"/>
  <c r="H46" i="114"/>
  <c r="E41" i="120"/>
  <c r="E41" i="119"/>
  <c r="O19" i="119" s="1"/>
  <c r="E41" i="80"/>
  <c r="I19" i="120"/>
  <c r="I19" i="80"/>
  <c r="D32" i="80"/>
  <c r="I32" i="80" s="1"/>
  <c r="C23" i="118"/>
  <c r="H65" i="120"/>
  <c r="C25" i="124"/>
  <c r="C27" i="124"/>
  <c r="J27" i="124"/>
  <c r="C28" i="124"/>
  <c r="E50" i="129"/>
  <c r="E64" i="128"/>
  <c r="F25" i="128" s="1"/>
  <c r="I25" i="128" s="1"/>
  <c r="E51" i="129"/>
  <c r="E65" i="128"/>
  <c r="E52" i="129"/>
  <c r="E66" i="128"/>
  <c r="F26" i="128" s="1"/>
  <c r="I26" i="128" s="1"/>
  <c r="H67" i="127"/>
  <c r="C35" i="122"/>
  <c r="F17" i="112"/>
  <c r="B11" i="87"/>
  <c r="H66" i="119"/>
  <c r="C26" i="120"/>
  <c r="H62" i="120"/>
  <c r="I28" i="122"/>
  <c r="F55" i="130"/>
  <c r="J55" i="130" s="1"/>
  <c r="K55" i="130" s="1"/>
  <c r="F53" i="130"/>
  <c r="F44" i="130"/>
  <c r="J44" i="130" s="1"/>
  <c r="F42" i="130"/>
  <c r="G45" i="130"/>
  <c r="F40" i="130"/>
  <c r="F27" i="130" s="1"/>
  <c r="F31" i="130"/>
  <c r="F35" i="130"/>
  <c r="F39" i="130"/>
  <c r="F33" i="130"/>
  <c r="F37" i="130"/>
  <c r="F28" i="130"/>
  <c r="F30" i="130"/>
  <c r="F32" i="130"/>
  <c r="F34" i="130"/>
  <c r="F36" i="130"/>
  <c r="F51" i="130"/>
  <c r="G71" i="130"/>
  <c r="F26" i="130"/>
  <c r="D16" i="135" s="1"/>
  <c r="J23" i="118"/>
  <c r="E29" i="132"/>
  <c r="E23" i="130"/>
  <c r="E56" i="130"/>
  <c r="E62" i="130" s="1"/>
  <c r="E27" i="130"/>
  <c r="T12" i="134"/>
  <c r="E18" i="134"/>
  <c r="L14" i="134"/>
  <c r="S14" i="134"/>
  <c r="N17" i="134"/>
  <c r="L17" i="134"/>
  <c r="S17" i="134"/>
  <c r="L6" i="134"/>
  <c r="L8" i="134"/>
  <c r="N8" i="134" s="1"/>
  <c r="K9" i="134"/>
  <c r="M9" i="134" s="1"/>
  <c r="J10" i="134"/>
  <c r="J12" i="134" s="1"/>
  <c r="L10" i="134"/>
  <c r="R10" i="134"/>
  <c r="Q11" i="134"/>
  <c r="I12" i="134"/>
  <c r="S12" i="134" s="1"/>
  <c r="L16" i="134"/>
  <c r="H17" i="134"/>
  <c r="K17" i="134"/>
  <c r="M17" i="134" s="1"/>
  <c r="K6" i="134"/>
  <c r="K8" i="134"/>
  <c r="M8" i="134" s="1"/>
  <c r="K10" i="134"/>
  <c r="M10" i="134" s="1"/>
  <c r="K11" i="134"/>
  <c r="M11" i="134" s="1"/>
  <c r="T13" i="134"/>
  <c r="H65" i="80"/>
  <c r="H28" i="120"/>
  <c r="N6" i="134"/>
  <c r="H66" i="80"/>
  <c r="G14" i="118"/>
  <c r="C11" i="118"/>
  <c r="G11" i="118" s="1"/>
  <c r="F19" i="118"/>
  <c r="P17" i="118" s="1"/>
  <c r="C32" i="121"/>
  <c r="C21" i="121"/>
  <c r="G32" i="121"/>
  <c r="G21" i="121"/>
  <c r="C34" i="121"/>
  <c r="C23" i="121"/>
  <c r="G34" i="121"/>
  <c r="G23" i="121"/>
  <c r="N35" i="128"/>
  <c r="J35" i="128"/>
  <c r="E32" i="129"/>
  <c r="C32" i="129" s="1"/>
  <c r="J32" i="127"/>
  <c r="J32" i="129" s="1"/>
  <c r="N38" i="128"/>
  <c r="D38" i="127"/>
  <c r="I38" i="127" s="1"/>
  <c r="D38" i="129"/>
  <c r="I38" i="125"/>
  <c r="F25" i="80"/>
  <c r="H62" i="80"/>
  <c r="H11" i="118"/>
  <c r="L17" i="118"/>
  <c r="F26" i="119"/>
  <c r="I26" i="119" s="1"/>
  <c r="G27" i="119"/>
  <c r="J27" i="119"/>
  <c r="H29" i="119"/>
  <c r="N29" i="119" s="1"/>
  <c r="H28" i="119"/>
  <c r="N28" i="119"/>
  <c r="C31" i="121"/>
  <c r="C20" i="121"/>
  <c r="G31" i="121"/>
  <c r="G20" i="121"/>
  <c r="C33" i="121"/>
  <c r="C22" i="121"/>
  <c r="G33" i="121"/>
  <c r="G22" i="121"/>
  <c r="C35" i="121"/>
  <c r="H24" i="121"/>
  <c r="H66" i="120"/>
  <c r="E33" i="129"/>
  <c r="C33" i="129" s="1"/>
  <c r="L21" i="118"/>
  <c r="D38" i="128"/>
  <c r="I38" i="128" s="1"/>
  <c r="F33" i="135"/>
  <c r="E38" i="135"/>
  <c r="F21" i="135"/>
  <c r="F19" i="135"/>
  <c r="H63" i="120"/>
  <c r="D29" i="120"/>
  <c r="D27" i="120" s="1"/>
  <c r="E11" i="112"/>
  <c r="D28" i="80"/>
  <c r="E25" i="96"/>
  <c r="I10" i="87"/>
  <c r="I11" i="87"/>
  <c r="G50" i="109"/>
  <c r="E25" i="103"/>
  <c r="P9" i="134"/>
  <c r="E24" i="127"/>
  <c r="C26" i="127"/>
  <c r="H65" i="119"/>
  <c r="H64" i="119"/>
  <c r="H64" i="80"/>
  <c r="H64" i="120"/>
  <c r="H62" i="119"/>
  <c r="B35" i="79"/>
  <c r="F24" i="79"/>
  <c r="E32" i="120"/>
  <c r="E32" i="80"/>
  <c r="D32" i="120"/>
  <c r="I32" i="120" s="1"/>
  <c r="D32" i="119"/>
  <c r="I32" i="119" s="1"/>
  <c r="I31" i="119" s="1"/>
  <c r="D135" i="99"/>
  <c r="G29" i="122"/>
  <c r="J29" i="122" s="1"/>
  <c r="J28" i="122"/>
  <c r="F29" i="124"/>
  <c r="D24" i="129"/>
  <c r="H25" i="87"/>
  <c r="E17" i="87"/>
  <c r="C113" i="99" s="1"/>
  <c r="H62" i="123"/>
  <c r="H28" i="127"/>
  <c r="N28" i="127" s="1"/>
  <c r="H68" i="127"/>
  <c r="C39" i="127"/>
  <c r="K28" i="122"/>
  <c r="D28" i="99"/>
  <c r="H64" i="125"/>
  <c r="J32" i="120"/>
  <c r="J31" i="120" s="1"/>
  <c r="B36" i="79"/>
  <c r="M11" i="79"/>
  <c r="E23" i="79" s="1"/>
  <c r="F23" i="79" s="1"/>
  <c r="H23" i="79"/>
  <c r="I23" i="79" s="1"/>
  <c r="H63" i="80"/>
  <c r="G29" i="80"/>
  <c r="J36" i="79"/>
  <c r="F29" i="132"/>
  <c r="C92" i="144"/>
  <c r="F87" i="144" s="1"/>
  <c r="G29" i="119"/>
  <c r="J29" i="119"/>
  <c r="J28" i="119"/>
  <c r="I28" i="119"/>
  <c r="K28" i="119" s="1"/>
  <c r="D27" i="130"/>
  <c r="H29" i="127"/>
  <c r="I34" i="125"/>
  <c r="H25" i="96"/>
  <c r="D33" i="124"/>
  <c r="K36" i="122"/>
  <c r="H36" i="122" s="1"/>
  <c r="N36" i="122" s="1"/>
  <c r="I25" i="120"/>
  <c r="C66" i="99"/>
  <c r="K28" i="125"/>
  <c r="N39" i="127"/>
  <c r="N39" i="129" s="1"/>
  <c r="E29" i="129"/>
  <c r="C29" i="129" s="1"/>
  <c r="I32" i="127"/>
  <c r="C29" i="128"/>
  <c r="F25" i="122"/>
  <c r="I25" i="122" s="1"/>
  <c r="T92" i="144"/>
  <c r="G20" i="114" l="1"/>
  <c r="I12" i="99"/>
  <c r="E33" i="124"/>
  <c r="F11" i="135"/>
  <c r="N29" i="127"/>
  <c r="K29" i="127"/>
  <c r="J29" i="127" s="1"/>
  <c r="J32" i="80"/>
  <c r="J31" i="80" s="1"/>
  <c r="C32" i="80"/>
  <c r="I34" i="123"/>
  <c r="K35" i="123"/>
  <c r="E36" i="124"/>
  <c r="J36" i="124" s="1"/>
  <c r="J35" i="124" s="1"/>
  <c r="D35" i="79"/>
  <c r="J52" i="109"/>
  <c r="N31" i="122"/>
  <c r="C21" i="114"/>
  <c r="B11" i="112"/>
  <c r="K13" i="134"/>
  <c r="I50" i="134"/>
  <c r="I15" i="134"/>
  <c r="S15" i="134" s="1"/>
  <c r="L13" i="134"/>
  <c r="L15" i="134" s="1"/>
  <c r="S13" i="134"/>
  <c r="H34" i="114"/>
  <c r="L40" i="178"/>
  <c r="G40" i="156"/>
  <c r="G50" i="156" s="1"/>
  <c r="L1" i="155" s="1"/>
  <c r="M5" i="155" s="1"/>
  <c r="I31" i="125"/>
  <c r="I18" i="134"/>
  <c r="C38" i="125"/>
  <c r="M6" i="134"/>
  <c r="E24" i="125"/>
  <c r="L6" i="97"/>
  <c r="L7" i="97" s="1"/>
  <c r="D17" i="112"/>
  <c r="C36" i="80"/>
  <c r="C26" i="124"/>
  <c r="C38" i="127"/>
  <c r="L11" i="79"/>
  <c r="D24" i="127"/>
  <c r="D37" i="127" s="1"/>
  <c r="C135" i="99"/>
  <c r="O7" i="134"/>
  <c r="E35" i="129"/>
  <c r="E45" i="130"/>
  <c r="E71" i="130" s="1"/>
  <c r="D18" i="112"/>
  <c r="C29" i="125"/>
  <c r="C35" i="123"/>
  <c r="K35" i="122"/>
  <c r="F29" i="123"/>
  <c r="I29" i="123" s="1"/>
  <c r="I28" i="123"/>
  <c r="K28" i="123" s="1"/>
  <c r="N26" i="128"/>
  <c r="G29" i="147"/>
  <c r="H40" i="119"/>
  <c r="C36" i="119"/>
  <c r="M16" i="134"/>
  <c r="H66" i="127"/>
  <c r="F11" i="112"/>
  <c r="K31" i="122"/>
  <c r="I31" i="122"/>
  <c r="G47" i="108"/>
  <c r="G49" i="108" s="1"/>
  <c r="L5" i="108" s="1"/>
  <c r="K36" i="120"/>
  <c r="H36" i="120" s="1"/>
  <c r="N36" i="120" s="1"/>
  <c r="E24" i="128"/>
  <c r="E42" i="128" s="1"/>
  <c r="X41" i="148"/>
  <c r="Z41" i="148" s="1"/>
  <c r="AB41" i="148"/>
  <c r="L3" i="152"/>
  <c r="I29" i="124"/>
  <c r="I23" i="124" s="1"/>
  <c r="H137" i="99"/>
  <c r="E30" i="96"/>
  <c r="E17" i="112"/>
  <c r="F18" i="135"/>
  <c r="K14" i="134"/>
  <c r="M14" i="134" s="1"/>
  <c r="D9" i="103"/>
  <c r="E23" i="132"/>
  <c r="E16" i="64"/>
  <c r="F30" i="103"/>
  <c r="F28" i="103" s="1"/>
  <c r="F9" i="103" s="1"/>
  <c r="F8" i="103" s="1"/>
  <c r="J25" i="80"/>
  <c r="C36" i="120"/>
  <c r="I31" i="123"/>
  <c r="D24" i="124"/>
  <c r="D36" i="124" s="1"/>
  <c r="J26" i="124"/>
  <c r="I23" i="125"/>
  <c r="C26" i="128"/>
  <c r="D38" i="144"/>
  <c r="C44" i="164"/>
  <c r="J10" i="164"/>
  <c r="AB62" i="148"/>
  <c r="G49" i="153"/>
  <c r="C28" i="127"/>
  <c r="K29" i="125"/>
  <c r="E32" i="119"/>
  <c r="J32" i="119" s="1"/>
  <c r="K32" i="119" s="1"/>
  <c r="N10" i="134"/>
  <c r="K7" i="134"/>
  <c r="D84" i="95"/>
  <c r="S84" i="95" s="1"/>
  <c r="D37" i="125"/>
  <c r="I37" i="125" s="1"/>
  <c r="J25" i="125"/>
  <c r="K31" i="123"/>
  <c r="J36" i="119"/>
  <c r="J34" i="119" s="1"/>
  <c r="I7" i="97"/>
  <c r="C35" i="79"/>
  <c r="C36" i="79" s="1"/>
  <c r="I24" i="79"/>
  <c r="K7" i="97"/>
  <c r="D29" i="95"/>
  <c r="C31" i="95" s="1"/>
  <c r="K19" i="119"/>
  <c r="G44" i="108"/>
  <c r="B18" i="112"/>
  <c r="I7" i="112" s="1"/>
  <c r="J7" i="112" s="1"/>
  <c r="D19" i="114"/>
  <c r="F17" i="87"/>
  <c r="D43" i="130"/>
  <c r="D41" i="130" s="1"/>
  <c r="L15" i="118"/>
  <c r="I11" i="118"/>
  <c r="L11" i="118" s="1"/>
  <c r="K34" i="124"/>
  <c r="H34" i="124" s="1"/>
  <c r="N34" i="124" s="1"/>
  <c r="C39" i="128"/>
  <c r="J26" i="128"/>
  <c r="K26" i="128" s="1"/>
  <c r="I64" i="126"/>
  <c r="J25" i="124"/>
  <c r="N26" i="124"/>
  <c r="J25" i="128"/>
  <c r="J25" i="129" s="1"/>
  <c r="I19" i="129"/>
  <c r="C25" i="127"/>
  <c r="I33" i="129"/>
  <c r="C25" i="129"/>
  <c r="F33" i="103"/>
  <c r="G49" i="156"/>
  <c r="B20" i="138"/>
  <c r="E9" i="138"/>
  <c r="B9" i="138" s="1"/>
  <c r="B11" i="113"/>
  <c r="H11" i="113" s="1"/>
  <c r="N25" i="124"/>
  <c r="J25" i="127"/>
  <c r="N25" i="128"/>
  <c r="C28" i="128"/>
  <c r="H12" i="134"/>
  <c r="H18" i="134" s="1"/>
  <c r="H50" i="134" s="1"/>
  <c r="G44" i="155"/>
  <c r="C38" i="128"/>
  <c r="I25" i="80"/>
  <c r="F91" i="144"/>
  <c r="N33" i="128"/>
  <c r="C35" i="127"/>
  <c r="D37" i="129"/>
  <c r="I37" i="129" s="1"/>
  <c r="H71" i="99"/>
  <c r="I27" i="127"/>
  <c r="K27" i="127" s="1"/>
  <c r="I33" i="124"/>
  <c r="I31" i="124" s="1"/>
  <c r="B25" i="87"/>
  <c r="B24" i="87"/>
  <c r="G25" i="87" s="1"/>
  <c r="H69" i="99"/>
  <c r="H65" i="122"/>
  <c r="H64" i="122"/>
  <c r="H64" i="123"/>
  <c r="H64" i="124"/>
  <c r="H65" i="124"/>
  <c r="H66" i="124"/>
  <c r="H65" i="125"/>
  <c r="E39" i="129"/>
  <c r="A16" i="148"/>
  <c r="A17" i="148" s="1"/>
  <c r="A18" i="148" s="1"/>
  <c r="A20" i="148" s="1"/>
  <c r="A21" i="148" s="1"/>
  <c r="A23" i="148" s="1"/>
  <c r="AB53" i="148"/>
  <c r="C27" i="129"/>
  <c r="H66" i="122"/>
  <c r="H66" i="125"/>
  <c r="H67" i="125"/>
  <c r="F26" i="118"/>
  <c r="L35" i="118"/>
  <c r="D24" i="120"/>
  <c r="J39" i="127"/>
  <c r="K39" i="127" s="1"/>
  <c r="G21" i="167"/>
  <c r="L23" i="118"/>
  <c r="L26" i="118"/>
  <c r="C32" i="127"/>
  <c r="L33" i="79"/>
  <c r="L36" i="79" s="1"/>
  <c r="K36" i="79"/>
  <c r="F23" i="132"/>
  <c r="E20" i="181"/>
  <c r="C32" i="120"/>
  <c r="B21" i="87"/>
  <c r="H66" i="128"/>
  <c r="I40" i="130"/>
  <c r="D22" i="99"/>
  <c r="D20" i="99" s="1"/>
  <c r="C32" i="128"/>
  <c r="F43" i="130"/>
  <c r="I55" i="130"/>
  <c r="F24" i="130"/>
  <c r="B9" i="133" s="1"/>
  <c r="H68" i="128"/>
  <c r="F26" i="124"/>
  <c r="I26" i="124" s="1"/>
  <c r="H65" i="128"/>
  <c r="H64" i="128"/>
  <c r="C33" i="128"/>
  <c r="H17" i="87"/>
  <c r="H63" i="123"/>
  <c r="H65" i="123"/>
  <c r="H66" i="123"/>
  <c r="H63" i="124"/>
  <c r="I25" i="127"/>
  <c r="I27" i="128"/>
  <c r="K27" i="128" s="1"/>
  <c r="C26" i="129"/>
  <c r="D24" i="128"/>
  <c r="AB18" i="148"/>
  <c r="AB70" i="148"/>
  <c r="AB57" i="148"/>
  <c r="AB48" i="148"/>
  <c r="AB14" i="148"/>
  <c r="AB16" i="148"/>
  <c r="AB74" i="148"/>
  <c r="AB64" i="148"/>
  <c r="AB60" i="148"/>
  <c r="AB55" i="148"/>
  <c r="AB51" i="148"/>
  <c r="AB46" i="148"/>
  <c r="AB42" i="148"/>
  <c r="AB28" i="148"/>
  <c r="AB78" i="148"/>
  <c r="AB76" i="148"/>
  <c r="AB71" i="148"/>
  <c r="AB68" i="148"/>
  <c r="AB63" i="148"/>
  <c r="AB61" i="148"/>
  <c r="AB58" i="148"/>
  <c r="AB56" i="148"/>
  <c r="AB54" i="148"/>
  <c r="AB52" i="148"/>
  <c r="AB50" i="148"/>
  <c r="AB47" i="148"/>
  <c r="AB45" i="148"/>
  <c r="AB40" i="148"/>
  <c r="AB38" i="148"/>
  <c r="AB33" i="148"/>
  <c r="AB21" i="148"/>
  <c r="AB13" i="148"/>
  <c r="S34" i="148"/>
  <c r="AB26" i="148"/>
  <c r="AB24" i="148"/>
  <c r="V34" i="148"/>
  <c r="X10" i="148"/>
  <c r="X34" i="148" s="1"/>
  <c r="T34" i="148"/>
  <c r="Y10" i="148"/>
  <c r="Y34" i="148" s="1"/>
  <c r="U34" i="148"/>
  <c r="W10" i="148"/>
  <c r="W34" i="148" s="1"/>
  <c r="N32" i="129"/>
  <c r="D37" i="128"/>
  <c r="I37" i="128" s="1"/>
  <c r="Z33" i="148"/>
  <c r="AB32" i="148"/>
  <c r="Z32" i="148"/>
  <c r="Z29" i="148"/>
  <c r="AB29" i="148"/>
  <c r="AB31" i="148"/>
  <c r="Z31" i="148"/>
  <c r="Z28" i="148"/>
  <c r="AB27" i="148"/>
  <c r="Z27" i="148"/>
  <c r="Z26" i="148"/>
  <c r="Z25" i="148"/>
  <c r="AB25" i="148"/>
  <c r="Z24" i="148"/>
  <c r="AB23" i="148"/>
  <c r="Z23" i="148"/>
  <c r="Z21" i="148"/>
  <c r="AB20" i="148"/>
  <c r="Z20" i="148"/>
  <c r="AB19" i="148"/>
  <c r="Z19" i="148"/>
  <c r="AB17" i="148"/>
  <c r="Z17" i="148"/>
  <c r="Z16" i="148"/>
  <c r="Z18" i="148"/>
  <c r="AB15" i="148"/>
  <c r="Z15" i="148"/>
  <c r="Z14" i="148"/>
  <c r="Z13" i="148"/>
  <c r="Z12" i="148"/>
  <c r="AB11" i="148"/>
  <c r="Z11" i="148"/>
  <c r="AA34" i="148"/>
  <c r="AB10" i="148"/>
  <c r="AB39" i="148"/>
  <c r="AB37" i="148"/>
  <c r="AB66" i="148"/>
  <c r="AB75" i="148"/>
  <c r="AB73" i="148"/>
  <c r="AB72" i="148"/>
  <c r="AB69" i="148"/>
  <c r="AB67" i="148"/>
  <c r="AB65" i="148"/>
  <c r="E80" i="148"/>
  <c r="AB44" i="148"/>
  <c r="AB43" i="148"/>
  <c r="U79" i="148"/>
  <c r="Z38" i="148"/>
  <c r="Z43" i="148"/>
  <c r="Z40" i="148"/>
  <c r="Z45" i="148"/>
  <c r="Z46" i="148"/>
  <c r="Z50" i="148"/>
  <c r="Z51" i="148"/>
  <c r="Z54" i="148"/>
  <c r="Z55" i="148"/>
  <c r="Z58" i="148"/>
  <c r="Z60" i="148"/>
  <c r="Z63" i="148"/>
  <c r="Z64" i="148"/>
  <c r="Z67" i="148"/>
  <c r="Z68" i="148"/>
  <c r="Z72" i="148"/>
  <c r="Z71" i="148"/>
  <c r="Z75" i="148"/>
  <c r="Z76" i="148"/>
  <c r="Z39" i="148"/>
  <c r="Z42" i="148"/>
  <c r="Z44" i="148"/>
  <c r="Z47" i="148"/>
  <c r="Z48" i="148"/>
  <c r="Z52" i="148"/>
  <c r="Z53" i="148"/>
  <c r="Z56" i="148"/>
  <c r="Z57" i="148"/>
  <c r="Z61" i="148"/>
  <c r="Z62" i="148"/>
  <c r="Z65" i="148"/>
  <c r="Z66" i="148"/>
  <c r="Z69" i="148"/>
  <c r="Z70" i="148"/>
  <c r="Z73" i="148"/>
  <c r="Z74" i="148"/>
  <c r="Z77" i="148"/>
  <c r="Z78" i="148"/>
  <c r="Z37" i="148"/>
  <c r="T79" i="148"/>
  <c r="V79" i="148"/>
  <c r="AB36" i="148"/>
  <c r="Y36" i="148"/>
  <c r="Y79" i="148" s="1"/>
  <c r="W79" i="148"/>
  <c r="S79" i="148"/>
  <c r="X36" i="148"/>
  <c r="K25" i="80"/>
  <c r="I5" i="149"/>
  <c r="I31" i="120"/>
  <c r="K32" i="120"/>
  <c r="E89" i="144"/>
  <c r="C89" i="174"/>
  <c r="E89" i="174"/>
  <c r="D24" i="80"/>
  <c r="K28" i="127"/>
  <c r="J28" i="127" s="1"/>
  <c r="D82" i="95"/>
  <c r="D80" i="95" s="1"/>
  <c r="D17" i="87"/>
  <c r="J23" i="132"/>
  <c r="D32" i="135"/>
  <c r="D19" i="135" s="1"/>
  <c r="G19" i="135" s="1"/>
  <c r="D67" i="99"/>
  <c r="F56" i="130"/>
  <c r="F26" i="123"/>
  <c r="I26" i="123" s="1"/>
  <c r="I23" i="123" s="1"/>
  <c r="C28" i="129"/>
  <c r="G25" i="79"/>
  <c r="K35" i="128"/>
  <c r="C35" i="129"/>
  <c r="E28" i="132"/>
  <c r="H67" i="128"/>
  <c r="H64" i="127"/>
  <c r="H52" i="129"/>
  <c r="H51" i="129"/>
  <c r="H50" i="129"/>
  <c r="J28" i="124"/>
  <c r="K28" i="124" s="1"/>
  <c r="K39" i="128"/>
  <c r="C35" i="128"/>
  <c r="C67" i="99"/>
  <c r="C64" i="99" s="1"/>
  <c r="B22" i="87"/>
  <c r="N25" i="80"/>
  <c r="K29" i="123"/>
  <c r="H65" i="127"/>
  <c r="N26" i="129"/>
  <c r="C39" i="129"/>
  <c r="E10" i="167"/>
  <c r="F9" i="167"/>
  <c r="V21" i="167"/>
  <c r="N24" i="118"/>
  <c r="E41" i="122"/>
  <c r="E41" i="123"/>
  <c r="E42" i="124"/>
  <c r="E26" i="118"/>
  <c r="B24" i="167"/>
  <c r="E20" i="167"/>
  <c r="N35" i="129"/>
  <c r="K33" i="128"/>
  <c r="K33" i="127"/>
  <c r="J33" i="129"/>
  <c r="K33" i="129" s="1"/>
  <c r="F92" i="144"/>
  <c r="G94" i="144"/>
  <c r="J38" i="129"/>
  <c r="K38" i="127"/>
  <c r="K37" i="124"/>
  <c r="H37" i="124" s="1"/>
  <c r="N37" i="124" s="1"/>
  <c r="K32" i="127"/>
  <c r="D34" i="127"/>
  <c r="I34" i="127" s="1"/>
  <c r="I31" i="127" s="1"/>
  <c r="E42" i="127"/>
  <c r="H41" i="124"/>
  <c r="K38" i="125"/>
  <c r="H38" i="125" s="1"/>
  <c r="N38" i="125" s="1"/>
  <c r="E38" i="129"/>
  <c r="C38" i="129" s="1"/>
  <c r="J35" i="127"/>
  <c r="C37" i="124"/>
  <c r="G17" i="118"/>
  <c r="D34" i="128"/>
  <c r="I34" i="128" s="1"/>
  <c r="N33" i="127"/>
  <c r="N38" i="127"/>
  <c r="N38" i="129" s="1"/>
  <c r="B21" i="167"/>
  <c r="F10" i="167"/>
  <c r="L33" i="164"/>
  <c r="J22" i="164"/>
  <c r="I36" i="125"/>
  <c r="I20" i="125" s="1"/>
  <c r="G19" i="118"/>
  <c r="O17" i="118"/>
  <c r="O18" i="118"/>
  <c r="L19" i="118"/>
  <c r="L18" i="118" s="1"/>
  <c r="K23" i="134"/>
  <c r="K24" i="134"/>
  <c r="I37" i="127"/>
  <c r="K38" i="128"/>
  <c r="I38" i="129"/>
  <c r="G36" i="79"/>
  <c r="H33" i="79"/>
  <c r="E24" i="129"/>
  <c r="I39" i="129"/>
  <c r="N7" i="134"/>
  <c r="L12" i="134"/>
  <c r="F12" i="134"/>
  <c r="N16" i="134"/>
  <c r="I36" i="128"/>
  <c r="H62" i="122"/>
  <c r="H63" i="122"/>
  <c r="I25" i="87"/>
  <c r="B26" i="113"/>
  <c r="H26" i="113" s="1"/>
  <c r="J28" i="113"/>
  <c r="B27" i="113"/>
  <c r="J14" i="113"/>
  <c r="I26" i="129"/>
  <c r="C134" i="99"/>
  <c r="B17" i="87"/>
  <c r="B13" i="87" s="1"/>
  <c r="H16" i="99" s="1"/>
  <c r="C111" i="99"/>
  <c r="D66" i="99"/>
  <c r="D64" i="99" s="1"/>
  <c r="B18" i="87"/>
  <c r="B14" i="87" s="1"/>
  <c r="H18" i="87"/>
  <c r="D132" i="99"/>
  <c r="D131" i="99" s="1"/>
  <c r="D123" i="99" s="1"/>
  <c r="D122" i="99" s="1"/>
  <c r="D121" i="99" s="1"/>
  <c r="N23" i="122"/>
  <c r="O25" i="125" s="1"/>
  <c r="K29" i="122"/>
  <c r="J23" i="123"/>
  <c r="J20" i="123" s="1"/>
  <c r="K27" i="123"/>
  <c r="K26" i="124"/>
  <c r="C20" i="99"/>
  <c r="K27" i="124"/>
  <c r="H67" i="124"/>
  <c r="I34" i="119"/>
  <c r="K36" i="119"/>
  <c r="K26" i="119"/>
  <c r="F29" i="147"/>
  <c r="K27" i="119"/>
  <c r="H26" i="119" s="1"/>
  <c r="N26" i="119" s="1"/>
  <c r="N23" i="119" s="1"/>
  <c r="G25" i="119" s="1"/>
  <c r="J25" i="119" s="1"/>
  <c r="I26" i="120"/>
  <c r="K26" i="120" s="1"/>
  <c r="U32" i="163"/>
  <c r="AA32" i="163"/>
  <c r="I23" i="122"/>
  <c r="K25" i="122"/>
  <c r="K25" i="123"/>
  <c r="D85" i="95"/>
  <c r="E80" i="95" s="1"/>
  <c r="H1" i="87"/>
  <c r="K25" i="124"/>
  <c r="G16" i="135"/>
  <c r="D18" i="135"/>
  <c r="I31" i="80"/>
  <c r="G23" i="132"/>
  <c r="G28" i="132" s="1"/>
  <c r="F28" i="132"/>
  <c r="C10" i="133" s="1"/>
  <c r="D58" i="130"/>
  <c r="D45" i="130"/>
  <c r="K25" i="127"/>
  <c r="I25" i="129"/>
  <c r="N23" i="127"/>
  <c r="N25" i="129"/>
  <c r="I27" i="129"/>
  <c r="K28" i="128"/>
  <c r="H29" i="128"/>
  <c r="N28" i="128"/>
  <c r="N28" i="129" s="1"/>
  <c r="D48" i="135"/>
  <c r="G48" i="135" s="1"/>
  <c r="J60" i="130"/>
  <c r="K60" i="130" s="1"/>
  <c r="I60" i="130"/>
  <c r="F23" i="130"/>
  <c r="J23" i="122"/>
  <c r="J20" i="122" s="1"/>
  <c r="N23" i="123"/>
  <c r="N23" i="124"/>
  <c r="J27" i="129"/>
  <c r="N27" i="129"/>
  <c r="D19" i="99"/>
  <c r="D17" i="99" s="1"/>
  <c r="D111" i="99"/>
  <c r="J23" i="127"/>
  <c r="J26" i="129"/>
  <c r="K26" i="129" s="1"/>
  <c r="K26" i="127"/>
  <c r="K32" i="128"/>
  <c r="I31" i="128"/>
  <c r="I32" i="129"/>
  <c r="D12" i="135"/>
  <c r="G13" i="135"/>
  <c r="K26" i="122"/>
  <c r="I26" i="80"/>
  <c r="I27" i="80"/>
  <c r="C89" i="144"/>
  <c r="A12" i="163"/>
  <c r="A13" i="163" s="1"/>
  <c r="A14" i="163" s="1"/>
  <c r="S32" i="163"/>
  <c r="V32" i="163"/>
  <c r="AB32" i="163" s="1"/>
  <c r="W9" i="163"/>
  <c r="Y9" i="163"/>
  <c r="Y32" i="163" s="1"/>
  <c r="X10" i="163"/>
  <c r="W11" i="163"/>
  <c r="Z11" i="163" s="1"/>
  <c r="X12" i="163"/>
  <c r="Z12" i="163" s="1"/>
  <c r="W13" i="163"/>
  <c r="Z13" i="163" s="1"/>
  <c r="X14" i="163"/>
  <c r="Z14" i="163" s="1"/>
  <c r="W15" i="163"/>
  <c r="Z15" i="163" s="1"/>
  <c r="X16" i="163"/>
  <c r="Z16" i="163" s="1"/>
  <c r="W17" i="163"/>
  <c r="Z17" i="163" s="1"/>
  <c r="X18" i="163"/>
  <c r="Z18" i="163" s="1"/>
  <c r="W19" i="163"/>
  <c r="Z19" i="163" s="1"/>
  <c r="X20" i="163"/>
  <c r="Z20" i="163" s="1"/>
  <c r="W21" i="163"/>
  <c r="Z21" i="163" s="1"/>
  <c r="X22" i="163"/>
  <c r="Z22" i="163" s="1"/>
  <c r="W23" i="163"/>
  <c r="Z23" i="163" s="1"/>
  <c r="X24" i="163"/>
  <c r="Z24" i="163" s="1"/>
  <c r="W25" i="163"/>
  <c r="Z25" i="163" s="1"/>
  <c r="X26" i="163"/>
  <c r="Z26" i="163" s="1"/>
  <c r="W27" i="163"/>
  <c r="Z27" i="163" s="1"/>
  <c r="X28" i="163"/>
  <c r="Z28" i="163" s="1"/>
  <c r="W29" i="163"/>
  <c r="Z29" i="163" s="1"/>
  <c r="X30" i="163"/>
  <c r="Z30" i="163" s="1"/>
  <c r="W31" i="163"/>
  <c r="Z31" i="163" s="1"/>
  <c r="T32" i="163"/>
  <c r="T33" i="163"/>
  <c r="G49" i="155"/>
  <c r="L5" i="155" s="1"/>
  <c r="J49" i="155"/>
  <c r="L2" i="155"/>
  <c r="L3" i="155"/>
  <c r="J48" i="156"/>
  <c r="F29" i="120"/>
  <c r="I29" i="120" s="1"/>
  <c r="I28" i="120"/>
  <c r="F29" i="80"/>
  <c r="I29" i="80" s="1"/>
  <c r="I28" i="80"/>
  <c r="I23" i="119"/>
  <c r="K25" i="120"/>
  <c r="G29" i="120"/>
  <c r="I22" i="113"/>
  <c r="I27" i="120"/>
  <c r="L7" i="108"/>
  <c r="M7" i="154" s="1"/>
  <c r="L1" i="108"/>
  <c r="J49" i="108"/>
  <c r="K51" i="153"/>
  <c r="J48" i="153"/>
  <c r="G50" i="153"/>
  <c r="G44" i="152"/>
  <c r="L4" i="152"/>
  <c r="L2" i="152"/>
  <c r="G49" i="152"/>
  <c r="L5" i="152" s="1"/>
  <c r="G49" i="151"/>
  <c r="G33" i="150"/>
  <c r="L2" i="150" s="1"/>
  <c r="G44" i="150"/>
  <c r="J49" i="150" s="1"/>
  <c r="G49" i="150"/>
  <c r="L5" i="150" s="1"/>
  <c r="J48" i="151"/>
  <c r="K51" i="151"/>
  <c r="L4" i="150"/>
  <c r="G50" i="151"/>
  <c r="C36" i="124" l="1"/>
  <c r="I36" i="124"/>
  <c r="M3" i="118"/>
  <c r="M15" i="118"/>
  <c r="J19" i="128"/>
  <c r="K19" i="128" s="1"/>
  <c r="E37" i="128"/>
  <c r="O19" i="128"/>
  <c r="H35" i="122"/>
  <c r="N35" i="122" s="1"/>
  <c r="N34" i="122" s="1"/>
  <c r="N19" i="122" s="1"/>
  <c r="K34" i="122"/>
  <c r="E42" i="125"/>
  <c r="K15" i="134"/>
  <c r="K18" i="134" s="1"/>
  <c r="M13" i="134"/>
  <c r="M15" i="134" s="1"/>
  <c r="J31" i="119"/>
  <c r="J39" i="129"/>
  <c r="K39" i="129" s="1"/>
  <c r="X79" i="148"/>
  <c r="X80" i="148" s="1"/>
  <c r="C15" i="76"/>
  <c r="D15" i="76" s="1"/>
  <c r="L14" i="97"/>
  <c r="C33" i="124"/>
  <c r="N33" i="124"/>
  <c r="N31" i="124" s="1"/>
  <c r="J33" i="124"/>
  <c r="L4" i="155"/>
  <c r="K51" i="156"/>
  <c r="C32" i="119"/>
  <c r="K25" i="128"/>
  <c r="K29" i="124"/>
  <c r="I23" i="128"/>
  <c r="J23" i="124"/>
  <c r="K23" i="124" s="1"/>
  <c r="O23" i="124" s="1"/>
  <c r="C132" i="99"/>
  <c r="H3" i="113"/>
  <c r="H2" i="99" s="1"/>
  <c r="D63" i="99" s="1"/>
  <c r="H2" i="113"/>
  <c r="H1" i="99" s="1"/>
  <c r="C63" i="99" s="1"/>
  <c r="G63" i="99" s="1"/>
  <c r="K26" i="123"/>
  <c r="E34" i="128"/>
  <c r="M7" i="134"/>
  <c r="M12" i="134" s="1"/>
  <c r="M18" i="134" s="1"/>
  <c r="K12" i="134"/>
  <c r="K23" i="125"/>
  <c r="O23" i="125" s="1"/>
  <c r="N11" i="79"/>
  <c r="E22" i="79"/>
  <c r="H22" i="79"/>
  <c r="B17" i="112"/>
  <c r="C24" i="114"/>
  <c r="D21" i="114"/>
  <c r="D24" i="114" s="1"/>
  <c r="D30" i="114" s="1"/>
  <c r="D48" i="114" s="1"/>
  <c r="I2" i="87" s="1"/>
  <c r="G21" i="114"/>
  <c r="H19" i="114"/>
  <c r="D44" i="164"/>
  <c r="J11" i="164"/>
  <c r="I23" i="127"/>
  <c r="H2" i="112"/>
  <c r="M35" i="79"/>
  <c r="D36" i="79"/>
  <c r="K34" i="123"/>
  <c r="Q19" i="123" s="1"/>
  <c r="H35" i="123"/>
  <c r="N35" i="123" s="1"/>
  <c r="N34" i="123" s="1"/>
  <c r="J51" i="153"/>
  <c r="K32" i="80"/>
  <c r="K31" i="80" s="1"/>
  <c r="J30" i="113"/>
  <c r="V80" i="148"/>
  <c r="J23" i="125"/>
  <c r="K25" i="125"/>
  <c r="K38" i="129"/>
  <c r="C19" i="99"/>
  <c r="Q19" i="122"/>
  <c r="E29" i="80"/>
  <c r="E29" i="120"/>
  <c r="F35" i="118"/>
  <c r="J29" i="120"/>
  <c r="K29" i="120" s="1"/>
  <c r="D9" i="133"/>
  <c r="B11" i="133"/>
  <c r="D35" i="135"/>
  <c r="F41" i="130"/>
  <c r="F58" i="130" s="1"/>
  <c r="D51" i="135" s="1"/>
  <c r="E25" i="181"/>
  <c r="E26" i="181" s="1"/>
  <c r="O25" i="127"/>
  <c r="O25" i="123"/>
  <c r="Z10" i="148"/>
  <c r="Z34" i="148" s="1"/>
  <c r="A22" i="148"/>
  <c r="A24" i="148" s="1"/>
  <c r="A25" i="148" s="1"/>
  <c r="T80" i="148"/>
  <c r="AB34" i="148"/>
  <c r="U80" i="148"/>
  <c r="Y80" i="148"/>
  <c r="AB79" i="148"/>
  <c r="S80" i="148"/>
  <c r="Z36" i="148"/>
  <c r="Z79" i="148" s="1"/>
  <c r="W80" i="148"/>
  <c r="I56" i="130"/>
  <c r="J56" i="130" s="1"/>
  <c r="D47" i="135"/>
  <c r="G47" i="135" s="1"/>
  <c r="K31" i="120"/>
  <c r="H32" i="120"/>
  <c r="N32" i="120" s="1"/>
  <c r="N31" i="120" s="1"/>
  <c r="H64" i="99"/>
  <c r="H67" i="99"/>
  <c r="U21" i="167"/>
  <c r="J19" i="123"/>
  <c r="O19" i="123"/>
  <c r="O19" i="122"/>
  <c r="J19" i="122"/>
  <c r="O19" i="124"/>
  <c r="J19" i="124"/>
  <c r="K26" i="79"/>
  <c r="E16" i="79"/>
  <c r="E28" i="120"/>
  <c r="E35" i="118"/>
  <c r="E23" i="118" s="1"/>
  <c r="G26" i="118"/>
  <c r="E28" i="80"/>
  <c r="B20" i="167"/>
  <c r="E9" i="167"/>
  <c r="E42" i="129"/>
  <c r="E37" i="129" s="1"/>
  <c r="C37" i="129" s="1"/>
  <c r="I34" i="129"/>
  <c r="I31" i="129" s="1"/>
  <c r="M4" i="118"/>
  <c r="M14" i="118"/>
  <c r="K35" i="127"/>
  <c r="J35" i="129"/>
  <c r="K35" i="129" s="1"/>
  <c r="N34" i="128"/>
  <c r="N31" i="128" s="1"/>
  <c r="J34" i="128"/>
  <c r="C34" i="128"/>
  <c r="K36" i="124"/>
  <c r="I35" i="124"/>
  <c r="I20" i="124" s="1"/>
  <c r="I36" i="129"/>
  <c r="N33" i="129"/>
  <c r="J37" i="128"/>
  <c r="C37" i="128"/>
  <c r="N37" i="128"/>
  <c r="N36" i="128" s="1"/>
  <c r="E37" i="127"/>
  <c r="O19" i="127"/>
  <c r="E34" i="127"/>
  <c r="H42" i="127" s="1"/>
  <c r="J19" i="127"/>
  <c r="K19" i="127" s="1"/>
  <c r="F96" i="144"/>
  <c r="F101" i="144" s="1"/>
  <c r="F100" i="144"/>
  <c r="H42" i="128"/>
  <c r="B10" i="167"/>
  <c r="Q10" i="167"/>
  <c r="L34" i="164"/>
  <c r="J36" i="164"/>
  <c r="J37" i="164" s="1"/>
  <c r="J23" i="164"/>
  <c r="N19" i="118"/>
  <c r="Q18" i="118"/>
  <c r="K25" i="134"/>
  <c r="Q17" i="118"/>
  <c r="M19" i="118"/>
  <c r="I36" i="127"/>
  <c r="O25" i="124"/>
  <c r="I6" i="87"/>
  <c r="O19" i="129"/>
  <c r="H36" i="79"/>
  <c r="M33" i="79"/>
  <c r="M36" i="79" s="1"/>
  <c r="F13" i="134"/>
  <c r="L18" i="134"/>
  <c r="N12" i="134"/>
  <c r="J7" i="113"/>
  <c r="J3" i="113"/>
  <c r="J2" i="113"/>
  <c r="J31" i="113"/>
  <c r="C17" i="99"/>
  <c r="H2" i="87"/>
  <c r="I16" i="99"/>
  <c r="D110" i="99" s="1"/>
  <c r="D16" i="99" s="1"/>
  <c r="J2" i="99" s="1"/>
  <c r="I7" i="87"/>
  <c r="I23" i="120"/>
  <c r="J23" i="119"/>
  <c r="J20" i="119" s="1"/>
  <c r="K25" i="119"/>
  <c r="K34" i="119"/>
  <c r="H36" i="119"/>
  <c r="N36" i="119" s="1"/>
  <c r="N34" i="119" s="1"/>
  <c r="G12" i="135"/>
  <c r="H32" i="119"/>
  <c r="N32" i="119" s="1"/>
  <c r="K31" i="119"/>
  <c r="N19" i="123"/>
  <c r="I20" i="128"/>
  <c r="J28" i="128"/>
  <c r="K28" i="129"/>
  <c r="H23" i="134"/>
  <c r="D10" i="133"/>
  <c r="D11" i="133" s="1"/>
  <c r="C11" i="133"/>
  <c r="J131" i="99"/>
  <c r="H12" i="99"/>
  <c r="S85" i="95"/>
  <c r="E84" i="95"/>
  <c r="E85" i="95" s="1"/>
  <c r="D7" i="110"/>
  <c r="E7" i="110" s="1"/>
  <c r="K27" i="129"/>
  <c r="K23" i="127"/>
  <c r="O23" i="127" s="1"/>
  <c r="K32" i="129"/>
  <c r="H111" i="99"/>
  <c r="K29" i="128"/>
  <c r="N29" i="128"/>
  <c r="I23" i="129"/>
  <c r="K25" i="129"/>
  <c r="C131" i="99"/>
  <c r="C123" i="99" s="1"/>
  <c r="C122" i="99" s="1"/>
  <c r="C121" i="99" s="1"/>
  <c r="H132" i="99"/>
  <c r="H32" i="80"/>
  <c r="N32" i="80" s="1"/>
  <c r="N31" i="80" s="1"/>
  <c r="F87" i="95"/>
  <c r="I20" i="123"/>
  <c r="K20" i="123" s="1"/>
  <c r="K23" i="123"/>
  <c r="O23" i="123" s="1"/>
  <c r="K23" i="122"/>
  <c r="O23" i="122" s="1"/>
  <c r="I20" i="122"/>
  <c r="K20" i="122" s="1"/>
  <c r="X32" i="163"/>
  <c r="Z10" i="163"/>
  <c r="W32" i="163"/>
  <c r="Z9" i="163"/>
  <c r="J51" i="156"/>
  <c r="M2" i="155"/>
  <c r="L7" i="155"/>
  <c r="M4" i="155"/>
  <c r="M3" i="155"/>
  <c r="I23" i="80"/>
  <c r="I20" i="119"/>
  <c r="K23" i="119"/>
  <c r="O23" i="119" s="1"/>
  <c r="M7" i="110"/>
  <c r="F7" i="110"/>
  <c r="G7" i="110"/>
  <c r="M3" i="108"/>
  <c r="M5" i="108"/>
  <c r="M2" i="108"/>
  <c r="M4" i="108"/>
  <c r="L1" i="152"/>
  <c r="M3" i="152" s="1"/>
  <c r="L7" i="152"/>
  <c r="J49" i="152"/>
  <c r="F9" i="130"/>
  <c r="L1" i="150"/>
  <c r="M3" i="150" s="1"/>
  <c r="L7" i="150"/>
  <c r="J51" i="151"/>
  <c r="P23" i="122" l="1"/>
  <c r="H25" i="79"/>
  <c r="I22" i="79"/>
  <c r="I25" i="79" s="1"/>
  <c r="E37" i="125"/>
  <c r="O19" i="125"/>
  <c r="H42" i="125"/>
  <c r="J19" i="125"/>
  <c r="K19" i="125" s="1"/>
  <c r="J6" i="113"/>
  <c r="H24" i="114"/>
  <c r="C30" i="114"/>
  <c r="E25" i="79"/>
  <c r="F22" i="79"/>
  <c r="F25" i="79" s="1"/>
  <c r="E34" i="125"/>
  <c r="I6" i="112"/>
  <c r="J6" i="112" s="1"/>
  <c r="H1" i="112"/>
  <c r="J20" i="124"/>
  <c r="K20" i="124" s="1"/>
  <c r="I20" i="127"/>
  <c r="H21" i="114"/>
  <c r="J31" i="124"/>
  <c r="K33" i="124"/>
  <c r="K31" i="124" s="1"/>
  <c r="M2" i="150"/>
  <c r="M4" i="150"/>
  <c r="D102" i="99"/>
  <c r="J110" i="99" s="1"/>
  <c r="D23" i="134"/>
  <c r="J19" i="129"/>
  <c r="K19" i="129" s="1"/>
  <c r="E34" i="129"/>
  <c r="C34" i="129" s="1"/>
  <c r="F23" i="118"/>
  <c r="G23" i="118" s="1"/>
  <c r="E27" i="120"/>
  <c r="E27" i="80"/>
  <c r="C29" i="80"/>
  <c r="J29" i="80"/>
  <c r="K29" i="80" s="1"/>
  <c r="N29" i="80"/>
  <c r="C29" i="120"/>
  <c r="N29" i="120"/>
  <c r="K20" i="119"/>
  <c r="I21" i="119" s="1"/>
  <c r="F45" i="130"/>
  <c r="I12" i="135" s="1"/>
  <c r="A26" i="148"/>
  <c r="A27" i="148" s="1"/>
  <c r="AB80" i="148"/>
  <c r="Z80" i="148"/>
  <c r="M5" i="150"/>
  <c r="L9" i="152"/>
  <c r="M7" i="177"/>
  <c r="K24" i="79"/>
  <c r="M24" i="79" s="1"/>
  <c r="K23" i="79"/>
  <c r="M23" i="79" s="1"/>
  <c r="K21" i="79"/>
  <c r="M21" i="79" s="1"/>
  <c r="K22" i="79"/>
  <c r="M22" i="79" s="1"/>
  <c r="K20" i="79"/>
  <c r="J28" i="80"/>
  <c r="K28" i="80" s="1"/>
  <c r="N28" i="80"/>
  <c r="C28" i="80"/>
  <c r="E26" i="80"/>
  <c r="G35" i="118"/>
  <c r="J37" i="129"/>
  <c r="C28" i="120"/>
  <c r="N28" i="120"/>
  <c r="E24" i="120"/>
  <c r="J28" i="120"/>
  <c r="B9" i="167"/>
  <c r="P10" i="167"/>
  <c r="J34" i="127"/>
  <c r="N34" i="127"/>
  <c r="C34" i="127"/>
  <c r="N37" i="127"/>
  <c r="N36" i="127" s="1"/>
  <c r="C37" i="127"/>
  <c r="J37" i="127"/>
  <c r="J36" i="128"/>
  <c r="K37" i="128"/>
  <c r="K36" i="128" s="1"/>
  <c r="K35" i="124"/>
  <c r="Q19" i="124" s="1"/>
  <c r="H36" i="124"/>
  <c r="N36" i="124" s="1"/>
  <c r="N35" i="124" s="1"/>
  <c r="N19" i="124" s="1"/>
  <c r="J31" i="128"/>
  <c r="K34" i="128"/>
  <c r="K31" i="128" s="1"/>
  <c r="L36" i="164"/>
  <c r="D45" i="164" s="1"/>
  <c r="D46" i="164" s="1"/>
  <c r="H7" i="110"/>
  <c r="J13" i="134"/>
  <c r="F14" i="134"/>
  <c r="J14" i="134" s="1"/>
  <c r="N14" i="134" s="1"/>
  <c r="W33" i="163"/>
  <c r="X34" i="163"/>
  <c r="Y34" i="163"/>
  <c r="I20" i="129"/>
  <c r="J29" i="128"/>
  <c r="J29" i="129" s="1"/>
  <c r="K29" i="129"/>
  <c r="H25" i="134"/>
  <c r="E24" i="134" s="1"/>
  <c r="J28" i="129"/>
  <c r="M5" i="152"/>
  <c r="D43" i="96"/>
  <c r="E93" i="95"/>
  <c r="E19" i="64" s="1"/>
  <c r="E20" i="64" s="1"/>
  <c r="E21" i="64" s="1"/>
  <c r="C89" i="95"/>
  <c r="H131" i="99"/>
  <c r="N29" i="129"/>
  <c r="N23" i="129" s="1"/>
  <c r="N23" i="128"/>
  <c r="D13" i="99"/>
  <c r="D11" i="99" s="1"/>
  <c r="D8" i="99" s="1"/>
  <c r="H7" i="87" s="1"/>
  <c r="J7" i="87" s="1"/>
  <c r="D25" i="134"/>
  <c r="S23" i="134" s="1"/>
  <c r="N31" i="119"/>
  <c r="N19" i="119" s="1"/>
  <c r="P23" i="119" s="1"/>
  <c r="Q19" i="119"/>
  <c r="C110" i="99"/>
  <c r="P23" i="123"/>
  <c r="Z32" i="163"/>
  <c r="D7" i="154"/>
  <c r="M9" i="108"/>
  <c r="M4" i="152"/>
  <c r="M2" i="152"/>
  <c r="I9" i="130"/>
  <c r="I10" i="130" s="1"/>
  <c r="I12" i="130" s="1"/>
  <c r="G9" i="130"/>
  <c r="H9" i="130"/>
  <c r="G10" i="130"/>
  <c r="E6" i="146"/>
  <c r="D6" i="146"/>
  <c r="D35" i="120"/>
  <c r="D35" i="80"/>
  <c r="J37" i="125" l="1"/>
  <c r="C37" i="125"/>
  <c r="H123" i="99"/>
  <c r="J23" i="128"/>
  <c r="J20" i="128" s="1"/>
  <c r="K20" i="128" s="1"/>
  <c r="I21" i="128" s="1"/>
  <c r="D78" i="99"/>
  <c r="D60" i="99" s="1"/>
  <c r="P23" i="124"/>
  <c r="H30" i="114"/>
  <c r="C48" i="114"/>
  <c r="P19" i="79"/>
  <c r="H42" i="129"/>
  <c r="C34" i="125"/>
  <c r="J34" i="125"/>
  <c r="A28" i="148"/>
  <c r="A29" i="148" s="1"/>
  <c r="E35" i="80"/>
  <c r="J35" i="80" s="1"/>
  <c r="J34" i="80" s="1"/>
  <c r="M24" i="118"/>
  <c r="E35" i="120"/>
  <c r="J35" i="120" s="1"/>
  <c r="J34" i="120" s="1"/>
  <c r="C27" i="120"/>
  <c r="J27" i="120"/>
  <c r="K27" i="120" s="1"/>
  <c r="N27" i="120"/>
  <c r="N23" i="120" s="1"/>
  <c r="J27" i="80"/>
  <c r="K27" i="80" s="1"/>
  <c r="C27" i="80"/>
  <c r="N27" i="80"/>
  <c r="N38" i="164"/>
  <c r="I36" i="164" s="1"/>
  <c r="M20" i="79"/>
  <c r="M25" i="79" s="1"/>
  <c r="O25" i="79" s="1"/>
  <c r="C39" i="79" s="1"/>
  <c r="D39" i="79" s="1"/>
  <c r="D42" i="79" s="1"/>
  <c r="K25" i="79"/>
  <c r="K37" i="129"/>
  <c r="J36" i="129"/>
  <c r="J23" i="120"/>
  <c r="K28" i="120"/>
  <c r="E24" i="80"/>
  <c r="J26" i="80"/>
  <c r="C26" i="80"/>
  <c r="N26" i="80"/>
  <c r="O10" i="167"/>
  <c r="J34" i="129"/>
  <c r="J31" i="127"/>
  <c r="K34" i="127"/>
  <c r="K31" i="127" s="1"/>
  <c r="N20" i="127" s="1"/>
  <c r="J36" i="127"/>
  <c r="K37" i="127"/>
  <c r="K36" i="127" s="1"/>
  <c r="N34" i="129"/>
  <c r="N31" i="129" s="1"/>
  <c r="N31" i="127"/>
  <c r="N19" i="127" s="1"/>
  <c r="J15" i="134"/>
  <c r="N13" i="134"/>
  <c r="F15" i="134"/>
  <c r="F18" i="134" s="1"/>
  <c r="S18" i="134" s="1"/>
  <c r="J23" i="129"/>
  <c r="C102" i="99"/>
  <c r="C78" i="99" s="1"/>
  <c r="S24" i="134"/>
  <c r="S25" i="134"/>
  <c r="N20" i="128"/>
  <c r="N19" i="128"/>
  <c r="O25" i="128"/>
  <c r="I40" i="96"/>
  <c r="E94" i="95"/>
  <c r="E38" i="96" s="1"/>
  <c r="H38" i="96"/>
  <c r="D76" i="99"/>
  <c r="H14" i="99"/>
  <c r="C16" i="99"/>
  <c r="E23" i="134"/>
  <c r="E25" i="134" s="1"/>
  <c r="O25" i="129"/>
  <c r="K23" i="128"/>
  <c r="O23" i="128" s="1"/>
  <c r="E7" i="154"/>
  <c r="H7" i="154"/>
  <c r="G7" i="154"/>
  <c r="F7" i="154"/>
  <c r="H10" i="130"/>
  <c r="I35" i="130"/>
  <c r="I43" i="130"/>
  <c r="I44" i="130"/>
  <c r="I36" i="130"/>
  <c r="I29" i="130"/>
  <c r="I51" i="130"/>
  <c r="I30" i="130"/>
  <c r="I24" i="130"/>
  <c r="I33" i="130"/>
  <c r="I26" i="130"/>
  <c r="I37" i="130"/>
  <c r="I32" i="130"/>
  <c r="I31" i="130"/>
  <c r="I25" i="130"/>
  <c r="I28" i="130"/>
  <c r="I38" i="130"/>
  <c r="I39" i="130"/>
  <c r="I34" i="130"/>
  <c r="J9" i="130"/>
  <c r="J10" i="130" s="1"/>
  <c r="J12" i="130" s="1"/>
  <c r="J40" i="130" s="1"/>
  <c r="I35" i="120"/>
  <c r="I35" i="80"/>
  <c r="C35" i="80"/>
  <c r="I102" i="99" l="1"/>
  <c r="J31" i="125"/>
  <c r="K34" i="125"/>
  <c r="J20" i="127"/>
  <c r="K20" i="127" s="1"/>
  <c r="I21" i="127" s="1"/>
  <c r="J36" i="125"/>
  <c r="J20" i="125" s="1"/>
  <c r="K20" i="125" s="1"/>
  <c r="I21" i="125" s="1"/>
  <c r="K37" i="125"/>
  <c r="H48" i="114"/>
  <c r="I1" i="87"/>
  <c r="C35" i="120"/>
  <c r="N23" i="80"/>
  <c r="C37" i="79" s="1"/>
  <c r="D37" i="79" s="1"/>
  <c r="A36" i="148"/>
  <c r="A37" i="148" s="1"/>
  <c r="A38" i="148" s="1"/>
  <c r="A39" i="148" s="1"/>
  <c r="A40" i="148" s="1"/>
  <c r="A41" i="148" s="1"/>
  <c r="A42" i="148" s="1"/>
  <c r="A43" i="148" s="1"/>
  <c r="A44" i="148" s="1"/>
  <c r="A45" i="148" s="1"/>
  <c r="A46" i="148" s="1"/>
  <c r="A47" i="148" s="1"/>
  <c r="A48" i="148" s="1"/>
  <c r="E40" i="80"/>
  <c r="E40" i="120"/>
  <c r="J20" i="120"/>
  <c r="K23" i="120"/>
  <c r="O23" i="120" s="1"/>
  <c r="K36" i="129"/>
  <c r="H37" i="129"/>
  <c r="N37" i="129" s="1"/>
  <c r="N36" i="129" s="1"/>
  <c r="J23" i="80"/>
  <c r="K26" i="80"/>
  <c r="P23" i="127"/>
  <c r="J31" i="129"/>
  <c r="J20" i="129" s="1"/>
  <c r="K20" i="129" s="1"/>
  <c r="I21" i="129" s="1"/>
  <c r="K34" i="129"/>
  <c r="K31" i="129" s="1"/>
  <c r="N15" i="134"/>
  <c r="J18" i="134"/>
  <c r="N18" i="134" s="1"/>
  <c r="K23" i="129"/>
  <c r="O23" i="129" s="1"/>
  <c r="H110" i="99"/>
  <c r="C76" i="99"/>
  <c r="K87" i="174" s="1"/>
  <c r="K92" i="174" s="1"/>
  <c r="H102" i="99"/>
  <c r="C60" i="99"/>
  <c r="C58" i="99" s="1"/>
  <c r="C55" i="99" s="1"/>
  <c r="H63" i="99" s="1"/>
  <c r="P23" i="128"/>
  <c r="P20" i="128"/>
  <c r="C13" i="99"/>
  <c r="J16" i="99"/>
  <c r="G16" i="99"/>
  <c r="J1" i="99"/>
  <c r="J63" i="99"/>
  <c r="D58" i="99"/>
  <c r="D55" i="99" s="1"/>
  <c r="E39" i="96"/>
  <c r="E40" i="96" s="1"/>
  <c r="G40" i="96"/>
  <c r="J34" i="130"/>
  <c r="J32" i="130"/>
  <c r="I23" i="130"/>
  <c r="J24" i="130"/>
  <c r="J36" i="130"/>
  <c r="I41" i="130"/>
  <c r="I58" i="130" s="1"/>
  <c r="J43" i="130"/>
  <c r="J41" i="130" s="1"/>
  <c r="J58" i="130" s="1"/>
  <c r="K9" i="130"/>
  <c r="K10" i="130" s="1"/>
  <c r="K12" i="130" s="1"/>
  <c r="J39" i="130"/>
  <c r="I27" i="130"/>
  <c r="J28" i="130"/>
  <c r="J31" i="130"/>
  <c r="J37" i="130"/>
  <c r="J33" i="130"/>
  <c r="J30" i="130"/>
  <c r="J29" i="130"/>
  <c r="J35" i="130"/>
  <c r="J38" i="130"/>
  <c r="J25" i="130"/>
  <c r="J26" i="130"/>
  <c r="I34" i="80"/>
  <c r="I20" i="80" s="1"/>
  <c r="K35" i="80"/>
  <c r="I34" i="120"/>
  <c r="I20" i="120" s="1"/>
  <c r="K20" i="120" s="1"/>
  <c r="K35" i="120"/>
  <c r="P20" i="127" l="1"/>
  <c r="H34" i="125"/>
  <c r="N34" i="125" s="1"/>
  <c r="N31" i="125" s="1"/>
  <c r="K31" i="125"/>
  <c r="H37" i="125"/>
  <c r="N37" i="125" s="1"/>
  <c r="N36" i="125" s="1"/>
  <c r="K36" i="125"/>
  <c r="Q19" i="125" s="1"/>
  <c r="A52" i="148"/>
  <c r="A53" i="148" s="1"/>
  <c r="A54" i="148" s="1"/>
  <c r="A55" i="148" s="1"/>
  <c r="A56" i="148" s="1"/>
  <c r="A58" i="148" s="1"/>
  <c r="A49" i="148"/>
  <c r="A57" i="148"/>
  <c r="A59" i="148" s="1"/>
  <c r="A60" i="148" s="1"/>
  <c r="H40" i="80"/>
  <c r="O19" i="80"/>
  <c r="J19" i="80"/>
  <c r="K19" i="80" s="1"/>
  <c r="O19" i="120"/>
  <c r="J19" i="120"/>
  <c r="K19" i="120" s="1"/>
  <c r="I21" i="120" s="1"/>
  <c r="H40" i="120"/>
  <c r="Q19" i="129"/>
  <c r="S19" i="129" s="1"/>
  <c r="J20" i="80"/>
  <c r="K20" i="80" s="1"/>
  <c r="K23" i="80"/>
  <c r="O23" i="80" s="1"/>
  <c r="O36" i="129"/>
  <c r="N19" i="129"/>
  <c r="P23" i="129" s="1"/>
  <c r="Q20" i="128"/>
  <c r="O31" i="129"/>
  <c r="N20" i="129"/>
  <c r="L35" i="164"/>
  <c r="C45" i="164" s="1"/>
  <c r="C46" i="164" s="1"/>
  <c r="C11" i="99"/>
  <c r="C8" i="99" s="1"/>
  <c r="G12" i="99"/>
  <c r="I41" i="96"/>
  <c r="K87" i="144"/>
  <c r="K92" i="144" s="1"/>
  <c r="J80" i="95"/>
  <c r="J85" i="95" s="1"/>
  <c r="K40" i="130"/>
  <c r="K36" i="130"/>
  <c r="K33" i="130"/>
  <c r="K30" i="130"/>
  <c r="K29" i="130"/>
  <c r="K35" i="130"/>
  <c r="K34" i="130"/>
  <c r="K32" i="130"/>
  <c r="K43" i="130"/>
  <c r="K39" i="130"/>
  <c r="K28" i="130"/>
  <c r="K31" i="130"/>
  <c r="K37" i="130"/>
  <c r="K44" i="130"/>
  <c r="J27" i="130"/>
  <c r="J23" i="130"/>
  <c r="I45" i="130"/>
  <c r="K34" i="120"/>
  <c r="Q19" i="120" s="1"/>
  <c r="H35" i="120"/>
  <c r="N35" i="120" s="1"/>
  <c r="N34" i="120" s="1"/>
  <c r="N19" i="120" s="1"/>
  <c r="P23" i="120" s="1"/>
  <c r="K34" i="80"/>
  <c r="Q19" i="80" s="1"/>
  <c r="H35" i="80"/>
  <c r="N35" i="80" s="1"/>
  <c r="N34" i="80" s="1"/>
  <c r="N19" i="80" s="1"/>
  <c r="N20" i="125" l="1"/>
  <c r="N19" i="125"/>
  <c r="P23" i="125" s="1"/>
  <c r="I8" i="175"/>
  <c r="I21" i="80"/>
  <c r="A61" i="148"/>
  <c r="A62" i="148" s="1"/>
  <c r="A63" i="148" s="1"/>
  <c r="A64" i="148" s="1"/>
  <c r="A65" i="148" s="1"/>
  <c r="P23" i="80"/>
  <c r="P20" i="129"/>
  <c r="P19" i="129"/>
  <c r="H6" i="87"/>
  <c r="J6" i="87" s="1"/>
  <c r="J8" i="99"/>
  <c r="G14" i="99"/>
  <c r="J45" i="130"/>
  <c r="K27" i="130"/>
  <c r="K41" i="130"/>
  <c r="K58" i="130" s="1"/>
  <c r="K24" i="130" l="1"/>
  <c r="E11" i="103"/>
  <c r="A69" i="148"/>
  <c r="A72" i="148" s="1"/>
  <c r="A66" i="148"/>
  <c r="A67" i="148" s="1"/>
  <c r="A68" i="148" s="1"/>
  <c r="A75" i="148" l="1"/>
  <c r="A76" i="148" s="1"/>
  <c r="A77" i="148" s="1"/>
  <c r="E30" i="103" l="1"/>
  <c r="E28" i="103" s="1"/>
  <c r="E46" i="103" l="1"/>
  <c r="K25" i="130" l="1"/>
  <c r="K23" i="130" s="1"/>
  <c r="E12" i="103"/>
  <c r="E10" i="103" s="1"/>
  <c r="D15" i="65" l="1"/>
  <c r="E27" i="103" l="1"/>
  <c r="E14" i="103" s="1"/>
  <c r="C15" i="65" l="1"/>
  <c r="J12" i="79" l="1"/>
  <c r="I12" i="79" l="1"/>
  <c r="J8" i="79"/>
  <c r="D29" i="176"/>
  <c r="I8" i="79" l="1"/>
  <c r="D30" i="176"/>
  <c r="D31" i="176" l="1"/>
  <c r="E8" i="175"/>
  <c r="F8" i="175" s="1"/>
  <c r="C29" i="176"/>
  <c r="I5" i="181" l="1"/>
  <c r="I7" i="147"/>
  <c r="G10" i="181" l="1"/>
  <c r="G18" i="181"/>
  <c r="G25" i="181" s="1"/>
  <c r="I38" i="181" s="1"/>
  <c r="G20" i="181"/>
  <c r="G9" i="181"/>
  <c r="C31" i="176"/>
  <c r="C30" i="176"/>
  <c r="G26" i="181" l="1"/>
  <c r="L13" i="79" l="1"/>
  <c r="J20" i="79" l="1"/>
  <c r="E43" i="103"/>
  <c r="J7" i="79" l="1"/>
  <c r="J13" i="79" s="1"/>
  <c r="J14" i="79"/>
  <c r="K7" i="79" l="1"/>
  <c r="K13" i="79" s="1"/>
  <c r="K9" i="79"/>
  <c r="K11" i="79"/>
  <c r="K10" i="79"/>
  <c r="K12" i="79"/>
  <c r="K8" i="79"/>
  <c r="J23" i="79"/>
  <c r="J22" i="79"/>
  <c r="J24" i="79"/>
  <c r="E40" i="103" l="1"/>
  <c r="J46" i="103" l="1"/>
  <c r="E38" i="103"/>
  <c r="F54" i="130"/>
  <c r="D40" i="103"/>
  <c r="D38" i="103" l="1"/>
  <c r="D46" i="103"/>
  <c r="I46" i="103" s="1"/>
  <c r="D54" i="130"/>
  <c r="D52" i="130" s="1"/>
  <c r="D62" i="130" s="1"/>
  <c r="D71" i="130" s="1"/>
  <c r="I54" i="130"/>
  <c r="K54" i="130"/>
  <c r="K52" i="130" s="1"/>
  <c r="D45" i="135"/>
  <c r="D43" i="135" s="1"/>
  <c r="D38" i="135" s="1"/>
  <c r="F52" i="130"/>
  <c r="F62" i="130" s="1"/>
  <c r="D33" i="103" l="1"/>
  <c r="D8" i="103" s="1"/>
  <c r="H5" i="103" s="1"/>
  <c r="D11" i="135"/>
  <c r="G11" i="135" s="1"/>
  <c r="G38" i="135"/>
  <c r="J54" i="130"/>
  <c r="J52" i="130" s="1"/>
  <c r="J62" i="130" s="1"/>
  <c r="J71" i="130" s="1"/>
  <c r="I52" i="130"/>
  <c r="I62" i="130" s="1"/>
  <c r="I71" i="130" s="1"/>
  <c r="I38" i="135"/>
  <c r="F71" i="130"/>
  <c r="K68" i="130" l="1"/>
  <c r="J11" i="135"/>
  <c r="B22" i="79" l="1"/>
  <c r="C22" i="79" s="1"/>
  <c r="E13" i="103"/>
  <c r="K26" i="130"/>
  <c r="N12" i="79" l="1"/>
  <c r="C23" i="79"/>
  <c r="L23" i="79" s="1"/>
  <c r="B24" i="79"/>
  <c r="C24" i="79" s="1"/>
  <c r="L24" i="79" s="1"/>
  <c r="E42" i="103"/>
  <c r="E9" i="103"/>
  <c r="K45" i="130"/>
  <c r="N56" i="130"/>
  <c r="K56" i="130"/>
  <c r="K62" i="130" s="1"/>
  <c r="B20" i="79"/>
  <c r="B21" i="79"/>
  <c r="M12" i="79"/>
  <c r="C25" i="79"/>
  <c r="L22" i="79"/>
  <c r="L25" i="79" s="1"/>
  <c r="N25" i="79" s="1"/>
  <c r="I42" i="103" l="1"/>
  <c r="E33" i="103"/>
  <c r="E8" i="103" s="1"/>
  <c r="K71" i="130"/>
  <c r="B25" i="79"/>
  <c r="H8" i="103"/>
  <c r="B26" i="79" l="1"/>
  <c r="C26" i="79" s="1"/>
  <c r="E43" i="79" s="1"/>
  <c r="I19" i="122"/>
  <c r="K19" i="122" s="1"/>
  <c r="I21" i="122" s="1"/>
  <c r="I19" i="123"/>
  <c r="K19" i="123" s="1"/>
  <c r="I21" i="123" s="1"/>
  <c r="J5" i="103"/>
  <c r="I19" i="124"/>
  <c r="K19" i="124" s="1"/>
  <c r="I21" i="124" s="1"/>
  <c r="K8" i="103"/>
  <c r="D43" i="79" l="1"/>
</calcChain>
</file>

<file path=xl/comments1.xml><?xml version="1.0" encoding="utf-8"?>
<comments xmlns="http://schemas.openxmlformats.org/spreadsheetml/2006/main">
  <authors>
    <author>Пользователь</author>
  </authors>
  <commentList>
    <comment ref="A1" authorId="0">
      <text>
        <r>
          <rPr>
            <b/>
            <sz val="9"/>
            <color indexed="81"/>
            <rFont val="Tahoma"/>
            <family val="2"/>
            <charset val="204"/>
          </rPr>
          <t>Пользователь: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Пользователь</author>
  </authors>
  <commentList>
    <comment ref="E38" authorId="0">
      <text>
        <r>
          <rPr>
            <b/>
            <sz val="9"/>
            <color indexed="81"/>
            <rFont val="Tahoma"/>
            <family val="2"/>
            <charset val="204"/>
          </rPr>
          <t>Пользователь:</t>
        </r>
        <r>
          <rPr>
            <sz val="9"/>
            <color indexed="81"/>
            <rFont val="Tahoma"/>
            <family val="2"/>
            <charset val="204"/>
          </rPr>
          <t xml:space="preserve">
по приказу 84 от 29.12.2010 г. м.б. п.35
</t>
        </r>
      </text>
    </comment>
    <comment ref="I38" authorId="0">
      <text>
        <r>
          <rPr>
            <b/>
            <sz val="9"/>
            <color indexed="81"/>
            <rFont val="Tahoma"/>
            <family val="2"/>
            <charset val="204"/>
          </rPr>
          <t>Пользователь:</t>
        </r>
        <r>
          <rPr>
            <sz val="9"/>
            <color indexed="81"/>
            <rFont val="Tahoma"/>
            <family val="2"/>
            <charset val="204"/>
          </rPr>
          <t xml:space="preserve">
по приказу 84 от 29.12.2010 г. м.б. п.174.
</t>
        </r>
      </text>
    </comment>
  </commentList>
</comments>
</file>

<file path=xl/sharedStrings.xml><?xml version="1.0" encoding="utf-8"?>
<sst xmlns="http://schemas.openxmlformats.org/spreadsheetml/2006/main" count="10364" uniqueCount="3027">
  <si>
    <t xml:space="preserve">2.7.1. </t>
  </si>
  <si>
    <t xml:space="preserve">процент выплаты                       </t>
  </si>
  <si>
    <t xml:space="preserve">2.7.2. </t>
  </si>
  <si>
    <t xml:space="preserve">сумма выплат                          </t>
  </si>
  <si>
    <t xml:space="preserve">2.8.   </t>
  </si>
  <si>
    <t xml:space="preserve">2.8.1. </t>
  </si>
  <si>
    <t xml:space="preserve">2.8.2. </t>
  </si>
  <si>
    <t xml:space="preserve">2.9.   </t>
  </si>
  <si>
    <t xml:space="preserve">Вознаграждение за выслугу лет         </t>
  </si>
  <si>
    <t xml:space="preserve">2.9.1. </t>
  </si>
  <si>
    <t xml:space="preserve">2.9.2. </t>
  </si>
  <si>
    <t xml:space="preserve">2.10.  </t>
  </si>
  <si>
    <t xml:space="preserve">Выплаты по итогам года                </t>
  </si>
  <si>
    <t>2.10.1.</t>
  </si>
  <si>
    <t>2.10.2.</t>
  </si>
  <si>
    <t xml:space="preserve">2.11.  </t>
  </si>
  <si>
    <t>2.11.1.</t>
  </si>
  <si>
    <t>2.11.2.</t>
  </si>
  <si>
    <t xml:space="preserve">2.12.  </t>
  </si>
  <si>
    <t>Итого среднемесячная оплата труда на 1 работника</t>
  </si>
  <si>
    <t xml:space="preserve">3.     </t>
  </si>
  <si>
    <t>Расчет средств  на  оплату  труда  ППП (включенного в себестоимость)</t>
  </si>
  <si>
    <t xml:space="preserve">3.1.   </t>
  </si>
  <si>
    <t>Льготный проезд к месту отдыха</t>
  </si>
  <si>
    <t>тыс. руб.</t>
  </si>
  <si>
    <t xml:space="preserve">3.2.   </t>
  </si>
  <si>
    <t>По Постановлению от 03.11.94 N 1206</t>
  </si>
  <si>
    <t xml:space="preserve">3.3.   </t>
  </si>
  <si>
    <t>Итого средства на оплату труда ППП</t>
  </si>
  <si>
    <t xml:space="preserve">4.     </t>
  </si>
  <si>
    <t>Расчет   средств   на   оплату   труда непромышленного персонала (включенного в балансовую прибыль)</t>
  </si>
  <si>
    <t xml:space="preserve">4.1.   </t>
  </si>
  <si>
    <t>Численность, принятая для расчета (базовый период - фактическая)</t>
  </si>
  <si>
    <t xml:space="preserve">4.2.   </t>
  </si>
  <si>
    <t>Среднемесячная оплата труда на 1работника</t>
  </si>
  <si>
    <t xml:space="preserve">4.3.   </t>
  </si>
  <si>
    <t xml:space="preserve">Льготный проезд к месту отдыха        </t>
  </si>
  <si>
    <t xml:space="preserve">4.4.   </t>
  </si>
  <si>
    <t xml:space="preserve">По Постановлению от 03.11.94 N 1206   </t>
  </si>
  <si>
    <t xml:space="preserve">4.5.   </t>
  </si>
  <si>
    <t>Итого   средства   на  оплату    труда непромышленного персонала</t>
  </si>
  <si>
    <t xml:space="preserve">5.     </t>
  </si>
  <si>
    <t xml:space="preserve">Расчет по денежным выплатам           </t>
  </si>
  <si>
    <t xml:space="preserve">5.1.   </t>
  </si>
  <si>
    <t>Численность всего, принятая для расчета (базовый период - фактическая)</t>
  </si>
  <si>
    <t xml:space="preserve">5.2.   </t>
  </si>
  <si>
    <t xml:space="preserve">Денежные выплаты на 1 работника       </t>
  </si>
  <si>
    <t xml:space="preserve">5.3.   </t>
  </si>
  <si>
    <t xml:space="preserve">Итого по денежным выплатам            </t>
  </si>
  <si>
    <t xml:space="preserve">6.     </t>
  </si>
  <si>
    <t xml:space="preserve">Итого средства на потребление         </t>
  </si>
  <si>
    <t xml:space="preserve">7.     </t>
  </si>
  <si>
    <t xml:space="preserve">Среднемесячный доход на 1 работника   </t>
  </si>
  <si>
    <t>Таблица N П1.17</t>
  </si>
  <si>
    <t>п/п</t>
  </si>
  <si>
    <t xml:space="preserve">1. </t>
  </si>
  <si>
    <t xml:space="preserve">2. </t>
  </si>
  <si>
    <t>Ввод основных производственных фондов</t>
  </si>
  <si>
    <t>Выбытие основных производственных фондов</t>
  </si>
  <si>
    <t>Средняя за отчетный период стоимость основных производственных фондов</t>
  </si>
  <si>
    <t>Средняя норма амортизации</t>
  </si>
  <si>
    <t>Сумма амортизационных отчислений</t>
  </si>
  <si>
    <t>Таблица N П1.17.1</t>
  </si>
  <si>
    <t>Расчет среднегодовой стоимости</t>
  </si>
  <si>
    <t>основных производственных фондов по линиям</t>
  </si>
  <si>
    <t>электропередач и подстанциям</t>
  </si>
  <si>
    <t>Стоимость на</t>
  </si>
  <si>
    <t>начало</t>
  </si>
  <si>
    <t>регулируемого</t>
  </si>
  <si>
    <t xml:space="preserve">периода   </t>
  </si>
  <si>
    <t>Ввод основ-</t>
  </si>
  <si>
    <t>ных произ-</t>
  </si>
  <si>
    <t>водственных</t>
  </si>
  <si>
    <t xml:space="preserve">фондов     </t>
  </si>
  <si>
    <t xml:space="preserve">Выбытие  </t>
  </si>
  <si>
    <t>основных</t>
  </si>
  <si>
    <t>производ-</t>
  </si>
  <si>
    <t>ственных</t>
  </si>
  <si>
    <t xml:space="preserve">фондов   </t>
  </si>
  <si>
    <t>Стоимость</t>
  </si>
  <si>
    <t>на конец</t>
  </si>
  <si>
    <t xml:space="preserve">регули-  </t>
  </si>
  <si>
    <t xml:space="preserve">руемого  </t>
  </si>
  <si>
    <t xml:space="preserve">периода  </t>
  </si>
  <si>
    <t xml:space="preserve">Средне-  </t>
  </si>
  <si>
    <t xml:space="preserve">годовая  </t>
  </si>
  <si>
    <t>стоимость</t>
  </si>
  <si>
    <t>Аморти-зация</t>
  </si>
  <si>
    <t>1. Линии электропередач</t>
  </si>
  <si>
    <t xml:space="preserve">ВЛЭП                   </t>
  </si>
  <si>
    <t xml:space="preserve">КЛЭП                   </t>
  </si>
  <si>
    <t xml:space="preserve">2. Подстанции          </t>
  </si>
  <si>
    <t>Всего
 (стр. 1 + стр. 2)</t>
  </si>
  <si>
    <t>Калькуляция расходов, связанных с передачей</t>
  </si>
  <si>
    <t>электрической энергии</t>
  </si>
  <si>
    <t xml:space="preserve">Калькуляционные статьи затрат          </t>
  </si>
  <si>
    <t xml:space="preserve">всего </t>
  </si>
  <si>
    <t xml:space="preserve">Основная оплата труда производственных рабочих </t>
  </si>
  <si>
    <t>Дополнительная  оплата  труда  производственных рабочих</t>
  </si>
  <si>
    <t xml:space="preserve">Расходы по содержанию и эксплуатации оборудования, в том числе: </t>
  </si>
  <si>
    <t xml:space="preserve">4.1.  </t>
  </si>
  <si>
    <t xml:space="preserve">амортизация производственного оборудования     </t>
  </si>
  <si>
    <t xml:space="preserve">ВН                                             </t>
  </si>
  <si>
    <t xml:space="preserve">СН1                                            </t>
  </si>
  <si>
    <t xml:space="preserve">СН11                                           </t>
  </si>
  <si>
    <t xml:space="preserve">НН                                             </t>
  </si>
  <si>
    <t xml:space="preserve">4.2.  </t>
  </si>
  <si>
    <t xml:space="preserve">4.3.  </t>
  </si>
  <si>
    <t xml:space="preserve">Расходы по подготовке и  освоению  производства (пусковые работы) </t>
  </si>
  <si>
    <t xml:space="preserve">Общехозяйственные расходы, всего в том числе:  </t>
  </si>
  <si>
    <t xml:space="preserve">7.1.  </t>
  </si>
  <si>
    <t xml:space="preserve">Целевые средства на НИОКР                      </t>
  </si>
  <si>
    <t xml:space="preserve">7.2.  </t>
  </si>
  <si>
    <t xml:space="preserve">Средства на страхование                        </t>
  </si>
  <si>
    <t xml:space="preserve">7.3.  </t>
  </si>
  <si>
    <t xml:space="preserve">7.4.  </t>
  </si>
  <si>
    <t xml:space="preserve">Отчисления в ремонтный фонд в случае его формирования </t>
  </si>
  <si>
    <t xml:space="preserve">7.5.  </t>
  </si>
  <si>
    <t xml:space="preserve">- налог на землю                               </t>
  </si>
  <si>
    <t xml:space="preserve">7.6.  </t>
  </si>
  <si>
    <t xml:space="preserve">Другие затраты, относимые на себестоимость продукции всего, в том числе: </t>
  </si>
  <si>
    <t xml:space="preserve">Недополученный по независящим причинам доход   </t>
  </si>
  <si>
    <t xml:space="preserve">Избыток средств, полученный в предыдущем периоде регулирования </t>
  </si>
  <si>
    <t xml:space="preserve">Итого производственные расходы                 </t>
  </si>
  <si>
    <t xml:space="preserve">в том числе:                                   </t>
  </si>
  <si>
    <t xml:space="preserve">Полезный отпуск электроэнергии, млн. кВт.ч     </t>
  </si>
  <si>
    <t xml:space="preserve">Удельные расходы, руб./тыс. кВт.ч              </t>
  </si>
  <si>
    <t xml:space="preserve">Условно-постоянные затраты, в том числе:       </t>
  </si>
  <si>
    <t xml:space="preserve">Сумма общехозяйственных расходов               </t>
  </si>
  <si>
    <t>Оплата  за услуги по организации функционирования и развитию ЕЭС России, оперативно-диспетчерскому управлению в электроэнергетике, организации функционирования торговой системы оптового рынка электрической энергии (мощности), передаче электрической энергии по единой национальной (общероссийской) электрической сети</t>
  </si>
  <si>
    <t>из них расходы на сбыт</t>
  </si>
  <si>
    <t>Таблица N П1.20</t>
  </si>
  <si>
    <t>Расчет источников финансирования капитальных вложений</t>
  </si>
  <si>
    <t xml:space="preserve">Наименование               </t>
  </si>
  <si>
    <t xml:space="preserve">Объем капитальных вложений - всего       </t>
  </si>
  <si>
    <t xml:space="preserve">- на непроизводственное развитие         </t>
  </si>
  <si>
    <t xml:space="preserve">Финансирование капитальных вложений      </t>
  </si>
  <si>
    <t xml:space="preserve">из средств - всего                     </t>
  </si>
  <si>
    <t>2.1.</t>
  </si>
  <si>
    <t>Амортизационных   отчислений   на   полное</t>
  </si>
  <si>
    <t xml:space="preserve">восстановление основных фондов (100%)    </t>
  </si>
  <si>
    <t>2.2.</t>
  </si>
  <si>
    <t xml:space="preserve">Неиспользованных средств на начало года  </t>
  </si>
  <si>
    <t>2.3.</t>
  </si>
  <si>
    <t xml:space="preserve">Федерального бюджета                     </t>
  </si>
  <si>
    <t>2.4.</t>
  </si>
  <si>
    <t xml:space="preserve">Местного бюджета                         </t>
  </si>
  <si>
    <t>2.5.</t>
  </si>
  <si>
    <t>2.6.</t>
  </si>
  <si>
    <t xml:space="preserve">Прочих                                   </t>
  </si>
  <si>
    <t>2.7.</t>
  </si>
  <si>
    <t>2.8.</t>
  </si>
  <si>
    <t xml:space="preserve">Кредитные средства                        </t>
  </si>
  <si>
    <t>2.9.</t>
  </si>
  <si>
    <t xml:space="preserve">Итого по пп. 2.1 - 2.8                   </t>
  </si>
  <si>
    <t>2.10.</t>
  </si>
  <si>
    <t xml:space="preserve">Прибыль (п. 1 - п. 2.9):                 </t>
  </si>
  <si>
    <t xml:space="preserve">энергии                                </t>
  </si>
  <si>
    <t>- отнесенная   на  передачу  электрической</t>
  </si>
  <si>
    <t xml:space="preserve">энергии                                 </t>
  </si>
  <si>
    <t>- отнесенная   на   производство  тепловой</t>
  </si>
  <si>
    <t>- отнесенная на передачу тепловой энергии</t>
  </si>
  <si>
    <t>на производственное и научно -техническое развитие</t>
  </si>
  <si>
    <t>Регионального (республиканского, краевого,областного) бюджета</t>
  </si>
  <si>
    <t>Средства, полученные от реализации  ценных бумаг</t>
  </si>
  <si>
    <t xml:space="preserve"> отнесенная на производство электрической энергии</t>
  </si>
  <si>
    <t>Таблица N П1.20.3</t>
  </si>
  <si>
    <t>Справка</t>
  </si>
  <si>
    <t>о финансировании и освоении капитальных</t>
  </si>
  <si>
    <t>вложений в электросетевое строительство</t>
  </si>
  <si>
    <t>(передача электроэнергии)</t>
  </si>
  <si>
    <t>Наименование</t>
  </si>
  <si>
    <t xml:space="preserve">Непроизводственные расходы (налоги и другие обязательные платежи и сборы) </t>
  </si>
  <si>
    <t xml:space="preserve"> - налог на землю и транспортн.</t>
  </si>
  <si>
    <t xml:space="preserve"> Средства на страхование      </t>
  </si>
  <si>
    <t>(свод)</t>
  </si>
  <si>
    <t>АУП, относящегося к передаче эл.энергии</t>
  </si>
  <si>
    <t xml:space="preserve">строек  </t>
  </si>
  <si>
    <t>Утверждено</t>
  </si>
  <si>
    <t>на базовый</t>
  </si>
  <si>
    <t>В течение базового</t>
  </si>
  <si>
    <t xml:space="preserve">периода      </t>
  </si>
  <si>
    <t>Остаток</t>
  </si>
  <si>
    <t>финанси-</t>
  </si>
  <si>
    <t>План на</t>
  </si>
  <si>
    <t xml:space="preserve">Источник </t>
  </si>
  <si>
    <t>финансиро-</t>
  </si>
  <si>
    <t xml:space="preserve">вания    </t>
  </si>
  <si>
    <t xml:space="preserve">Освоено </t>
  </si>
  <si>
    <t>фактичес-</t>
  </si>
  <si>
    <t xml:space="preserve">ки      </t>
  </si>
  <si>
    <t>Профинан-</t>
  </si>
  <si>
    <t>сировано</t>
  </si>
  <si>
    <t xml:space="preserve">Всего  </t>
  </si>
  <si>
    <t>Таблица N П1.21.3</t>
  </si>
  <si>
    <t>Расчет балансовой прибыли, принимаемой при установлении</t>
  </si>
  <si>
    <t>тарифов на передачу электрической энергии</t>
  </si>
  <si>
    <t xml:space="preserve">Наименование     </t>
  </si>
  <si>
    <t>всего</t>
  </si>
  <si>
    <t>из них на сбыт</t>
  </si>
  <si>
    <t>1.</t>
  </si>
  <si>
    <t xml:space="preserve">в том числе:          </t>
  </si>
  <si>
    <t>- капитальные вложения</t>
  </si>
  <si>
    <t xml:space="preserve">ВН                    </t>
  </si>
  <si>
    <t xml:space="preserve">СН1                   </t>
  </si>
  <si>
    <t xml:space="preserve">СН11                  </t>
  </si>
  <si>
    <t xml:space="preserve">НН                    </t>
  </si>
  <si>
    <t>2.</t>
  </si>
  <si>
    <t>3.</t>
  </si>
  <si>
    <t xml:space="preserve">Прибыль на поощрение  </t>
  </si>
  <si>
    <t>4.</t>
  </si>
  <si>
    <t xml:space="preserve">Дивиденды по акциям   </t>
  </si>
  <si>
    <t>5.</t>
  </si>
  <si>
    <t>Прибыль на прочие цели</t>
  </si>
  <si>
    <t xml:space="preserve">- услуги банка        </t>
  </si>
  <si>
    <t>6.</t>
  </si>
  <si>
    <t>Прибыль,     облагаемая</t>
  </si>
  <si>
    <t xml:space="preserve">налогом               </t>
  </si>
  <si>
    <t>7.</t>
  </si>
  <si>
    <t>Налоги, сборы,  платежи</t>
  </si>
  <si>
    <t xml:space="preserve">- всего               </t>
  </si>
  <si>
    <t xml:space="preserve">- на прибыль          </t>
  </si>
  <si>
    <t xml:space="preserve">НН                     </t>
  </si>
  <si>
    <t xml:space="preserve">- на имущество        </t>
  </si>
  <si>
    <t>- плата   за    выбросы</t>
  </si>
  <si>
    <t xml:space="preserve">загрязняющих веществ  </t>
  </si>
  <si>
    <t>8.</t>
  </si>
  <si>
    <t>%  за   пользование кредитом</t>
  </si>
  <si>
    <t xml:space="preserve"> другие (с расшифровкой)</t>
  </si>
  <si>
    <t>другие налоги и обязательные</t>
  </si>
  <si>
    <t>сборы и платежи (с расшифровкой)</t>
  </si>
  <si>
    <t>Таблица N П1.24</t>
  </si>
  <si>
    <t>Расчет платы за услуги</t>
  </si>
  <si>
    <t>по содержанию электрических сетей</t>
  </si>
  <si>
    <t>П.п.</t>
  </si>
  <si>
    <t>Единицы измерения</t>
  </si>
  <si>
    <t>Из них на сбыт</t>
  </si>
  <si>
    <t>Расходы, отнесенные на передачу электрической энергии (п.11 таб.П1.18.2)</t>
  </si>
  <si>
    <t>тыс.руб.</t>
  </si>
  <si>
    <t>СН</t>
  </si>
  <si>
    <t>в т.ч.  СН1</t>
  </si>
  <si>
    <t>1.3.</t>
  </si>
  <si>
    <t>Прибыль, отнесенная на передачу электрической энергии (п.8 табл. П1.21.3)</t>
  </si>
  <si>
    <t>Рентабельность (п.2/п.1*100%)</t>
  </si>
  <si>
    <t>%</t>
  </si>
  <si>
    <t>Необходимая валовая выручка, отнесенная на передачу электрической энергии (п.1+п.2)</t>
  </si>
  <si>
    <t>Плата за услуги на содержание электрических сетей по диапазонам напряжения в расчете на 1 МВт.ч согласно формулам (31)-(33)</t>
  </si>
  <si>
    <t>5.1.</t>
  </si>
  <si>
    <t>5.2.</t>
  </si>
  <si>
    <t>5.3.</t>
  </si>
  <si>
    <t>Плата за услуги на содержение электрических сетей по диапазонам напряжения в расчете на 1 МВт.ч согласно формулам (34)-(36)</t>
  </si>
  <si>
    <t>руб./МВт.ч</t>
  </si>
  <si>
    <t>6.1.</t>
  </si>
  <si>
    <t>6.2.</t>
  </si>
  <si>
    <t>6.3.</t>
  </si>
  <si>
    <t>Таблица № П1.25</t>
  </si>
  <si>
    <t>Расчет ставки по оплате технологического расхода (потерь) электрической энергии на ее передачу по сетям ЭСО (региональных электрических сетей)</t>
  </si>
  <si>
    <t xml:space="preserve">Базовый период </t>
  </si>
  <si>
    <t>руб/МВтч</t>
  </si>
  <si>
    <t>Группа 1. Базовые потребители</t>
  </si>
  <si>
    <t>1.1.1.</t>
  </si>
  <si>
    <t>Потребитель 1</t>
  </si>
  <si>
    <t>1.1.2.</t>
  </si>
  <si>
    <t>…</t>
  </si>
  <si>
    <t xml:space="preserve">Группа 2-4. </t>
  </si>
  <si>
    <t>Отпуск электрической энергии в сеть с учетом величины сальдо-перетока электроэнергии</t>
  </si>
  <si>
    <t>млн.кВтч.</t>
  </si>
  <si>
    <t xml:space="preserve">Потери электрической энергии </t>
  </si>
  <si>
    <t>3.2.</t>
  </si>
  <si>
    <t>3.3.</t>
  </si>
  <si>
    <t>Полезный отпуск электрической энергии</t>
  </si>
  <si>
    <t>Расходы на компенсацию потерь</t>
  </si>
  <si>
    <t>Ставка на оплату технологического расхода (потерь ) электрической энергии на ее передачу по сетям</t>
  </si>
  <si>
    <t>руб./МВтч</t>
  </si>
  <si>
    <t xml:space="preserve">в т.ч. СН1                             </t>
  </si>
  <si>
    <t>Средневзвешенный тариф на электрическую энергию</t>
  </si>
  <si>
    <t>Таблица N П1.27</t>
  </si>
  <si>
    <t>Экономически обоснованные тарифы</t>
  </si>
  <si>
    <t>на электрическую энергию (мощность)</t>
  </si>
  <si>
    <t>по группам потребителей</t>
  </si>
  <si>
    <t xml:space="preserve">Ед. изм.  </t>
  </si>
  <si>
    <t xml:space="preserve">Базовые потребители   </t>
  </si>
  <si>
    <t xml:space="preserve">В том числе       </t>
  </si>
  <si>
    <t xml:space="preserve">Население        </t>
  </si>
  <si>
    <t xml:space="preserve">Потребитель 1      </t>
  </si>
  <si>
    <t xml:space="preserve">Заявленная мощность </t>
  </si>
  <si>
    <t xml:space="preserve">МВт    </t>
  </si>
  <si>
    <t>Тариф на покупку электрической энергии</t>
  </si>
  <si>
    <t xml:space="preserve">руб./МВт.ч </t>
  </si>
  <si>
    <t xml:space="preserve">3.1.  </t>
  </si>
  <si>
    <t>Ставка за мощность</t>
  </si>
  <si>
    <t>руб./МВт.мес.</t>
  </si>
  <si>
    <t xml:space="preserve">3.2.  </t>
  </si>
  <si>
    <t xml:space="preserve">Ставка за энергию   </t>
  </si>
  <si>
    <t>Плата за услуги по передаче электрической энергии</t>
  </si>
  <si>
    <t>4.1.1.</t>
  </si>
  <si>
    <t>Ставка на содержание электросетей</t>
  </si>
  <si>
    <t xml:space="preserve">руб./МВт.мес. </t>
  </si>
  <si>
    <t>4.1.2.</t>
  </si>
  <si>
    <t>Ставка по оплате потерь</t>
  </si>
  <si>
    <t>Плата за иные услуги</t>
  </si>
  <si>
    <t>Средний одноставочный  тариф п. 3 + п. 4</t>
  </si>
  <si>
    <t>Плата за мощность п. 3.1 + п. 4.1.1 + п. 4.2</t>
  </si>
  <si>
    <t>Плата за энергию п. 3.2 + п. 4.1.2</t>
  </si>
  <si>
    <t>Товарная продукция всего п. 5 x п. 1</t>
  </si>
  <si>
    <t xml:space="preserve">тыс. руб. </t>
  </si>
  <si>
    <t>в том числе</t>
  </si>
  <si>
    <t xml:space="preserve">6.1.  </t>
  </si>
  <si>
    <t>- за  электроэнергию (мощность) п. 3 x п. 1</t>
  </si>
  <si>
    <t xml:space="preserve">6.2.  </t>
  </si>
  <si>
    <t>- за услуги п. 4 x п. 1</t>
  </si>
  <si>
    <t xml:space="preserve">То же п. 6                 </t>
  </si>
  <si>
    <t>-за мощность п. 5.1 x п. 2 х М</t>
  </si>
  <si>
    <t>- за электрическую энергию п. 5.2 x п. 1</t>
  </si>
  <si>
    <t>N</t>
  </si>
  <si>
    <t>Группа потребителей</t>
  </si>
  <si>
    <t>Прочие</t>
  </si>
  <si>
    <t>В том числе</t>
  </si>
  <si>
    <t>Всего собственным потребителям</t>
  </si>
  <si>
    <t>Бюджетные потребители</t>
  </si>
  <si>
    <t xml:space="preserve">ВН  </t>
  </si>
  <si>
    <t xml:space="preserve">СН1 </t>
  </si>
  <si>
    <t>Объем полезного отпуска</t>
  </si>
  <si>
    <t xml:space="preserve">МВт     </t>
  </si>
  <si>
    <t>Стоимость единицы услуг</t>
  </si>
  <si>
    <t xml:space="preserve">Ставка по оплате потерь </t>
  </si>
  <si>
    <t>руб./МВт. мес.</t>
  </si>
  <si>
    <t>Плата за  мощностьП. 3.1 + п. 4.1.1 +п. 4.2</t>
  </si>
  <si>
    <t xml:space="preserve">Плата за энергию п. 3.2 + п. 4.1.2 </t>
  </si>
  <si>
    <t xml:space="preserve">Товарная продукциявсего п. 5 x п. 1 </t>
  </si>
  <si>
    <t>-за электроэнергию (мощность) п.  3 xп. 1</t>
  </si>
  <si>
    <t>-за услуги п.  4 x п. 1</t>
  </si>
  <si>
    <t>- за мощность п. 5.1 x п. 2 x М</t>
  </si>
  <si>
    <t>- за   электрическую энергию п. 5.2 x  п. 1</t>
  </si>
  <si>
    <t>Потребителям по прямым договорам (субъектам оптового рынка)</t>
  </si>
  <si>
    <t xml:space="preserve">1.   </t>
  </si>
  <si>
    <t>Заявленная мощность</t>
  </si>
  <si>
    <t xml:space="preserve">МВт   </t>
  </si>
  <si>
    <t>-</t>
  </si>
  <si>
    <t xml:space="preserve">3.1. </t>
  </si>
  <si>
    <t xml:space="preserve">Ставка за мощность </t>
  </si>
  <si>
    <t xml:space="preserve">3.2. </t>
  </si>
  <si>
    <t xml:space="preserve">Ставка за энергию  </t>
  </si>
  <si>
    <t>Стоимость единицыуслуг</t>
  </si>
  <si>
    <t xml:space="preserve">5.   </t>
  </si>
  <si>
    <t>Средний одноставочный тариф п. 3 + п. 4</t>
  </si>
  <si>
    <t xml:space="preserve">5.1. </t>
  </si>
  <si>
    <t xml:space="preserve">5 2  </t>
  </si>
  <si>
    <t xml:space="preserve">6.   </t>
  </si>
  <si>
    <t xml:space="preserve">в том числе        </t>
  </si>
  <si>
    <t xml:space="preserve">6.1. </t>
  </si>
  <si>
    <t xml:space="preserve">6.2. </t>
  </si>
  <si>
    <t xml:space="preserve">То же п. 6                </t>
  </si>
  <si>
    <t>- за мощностьп. 5.1 x п. 2 x М</t>
  </si>
  <si>
    <t>- за   электрическую</t>
  </si>
  <si>
    <t xml:space="preserve">Стоимость единицы услуг </t>
  </si>
  <si>
    <t>Средний одноставоч-
ный  тариф           п. 3 + п. 4</t>
  </si>
  <si>
    <t>Товарная продукция всего п. 5 x п.1</t>
  </si>
  <si>
    <t xml:space="preserve"> за услуги п.4 x п.1</t>
  </si>
  <si>
    <t>энергию п. 5.2     x п.1</t>
  </si>
  <si>
    <t>Таблица № П2.1</t>
  </si>
  <si>
    <t xml:space="preserve">Напряжение, кВ </t>
  </si>
  <si>
    <t>Количество цепей на опоре</t>
  </si>
  <si>
    <t>Материал опор</t>
  </si>
  <si>
    <t>Количество условных единиц (у) на 100 км трассы ЛЭП</t>
  </si>
  <si>
    <t>Протяженность</t>
  </si>
  <si>
    <t>Объем условных единиц</t>
  </si>
  <si>
    <t>у/100км</t>
  </si>
  <si>
    <t>км</t>
  </si>
  <si>
    <t>у</t>
  </si>
  <si>
    <t>ВЛЭП</t>
  </si>
  <si>
    <t>металл</t>
  </si>
  <si>
    <t>400-500</t>
  </si>
  <si>
    <t>ж/бетон</t>
  </si>
  <si>
    <t>дерево</t>
  </si>
  <si>
    <t>110-150</t>
  </si>
  <si>
    <t>КЛЭП</t>
  </si>
  <si>
    <t xml:space="preserve"> 1 - 20 </t>
  </si>
  <si>
    <t>дерево на ж/б пасынках</t>
  </si>
  <si>
    <t>ж/бетон, металл</t>
  </si>
  <si>
    <t xml:space="preserve"> 20 -35</t>
  </si>
  <si>
    <t xml:space="preserve"> 3 - 10</t>
  </si>
  <si>
    <t>СН, всего</t>
  </si>
  <si>
    <t xml:space="preserve">0,4 кВ </t>
  </si>
  <si>
    <t xml:space="preserve">до 1 кВ </t>
  </si>
  <si>
    <t>Комплектующие к компьютеру, вычислительная техника</t>
  </si>
  <si>
    <t>Налог на землю</t>
  </si>
  <si>
    <t>НН, всего</t>
  </si>
  <si>
    <t>Таблица № П2.2</t>
  </si>
  <si>
    <t>Единица измерения</t>
  </si>
  <si>
    <t>Количество условных единиц (у) на единицу измерения</t>
  </si>
  <si>
    <t>Количество единиц измерения</t>
  </si>
  <si>
    <t>у/ед.изм.</t>
  </si>
  <si>
    <t>ед.изм.</t>
  </si>
  <si>
    <t>7=5*6</t>
  </si>
  <si>
    <t>Подстанция</t>
  </si>
  <si>
    <t>П/ст</t>
  </si>
  <si>
    <t xml:space="preserve"> 400 - 500</t>
  </si>
  <si>
    <t xml:space="preserve"> 110 - 150</t>
  </si>
  <si>
    <t>Силовой трансформатор или реактор (одно- или трехфазный), или вольтодобавочный трансформатор</t>
  </si>
  <si>
    <t>Единица оборудования</t>
  </si>
  <si>
    <t xml:space="preserve"> 1 - 20</t>
  </si>
  <si>
    <t>Воздушный выключатель</t>
  </si>
  <si>
    <t>3 фазы</t>
  </si>
  <si>
    <t xml:space="preserve"> - " -</t>
  </si>
  <si>
    <t>Отделитель с короткозамыкателем</t>
  </si>
  <si>
    <t>Выключатель нагрузки</t>
  </si>
  <si>
    <t>Синхронный компенсатор мощн. 50 Мвар</t>
  </si>
  <si>
    <t>То же, 50 Мвар и более</t>
  </si>
  <si>
    <t>Статические конденсаторы</t>
  </si>
  <si>
    <t>100 конд.</t>
  </si>
  <si>
    <t>Мачтовая (столбовая) ТП</t>
  </si>
  <si>
    <t>ТП</t>
  </si>
  <si>
    <t>Однотрансфор-маторная ТП, КТП</t>
  </si>
  <si>
    <t>ТП, КТП</t>
  </si>
  <si>
    <t>Двухтрансформаторная ТП, КТП</t>
  </si>
  <si>
    <t xml:space="preserve">Однотрансфор-маторная подстанция 34/0,4 кВ </t>
  </si>
  <si>
    <t>п/ст</t>
  </si>
  <si>
    <t>14.</t>
  </si>
  <si>
    <t>Итого</t>
  </si>
  <si>
    <t>Цеховые расходы</t>
  </si>
  <si>
    <t>Общее количество у.е.</t>
  </si>
  <si>
    <t>Количество у.е. по СН II</t>
  </si>
  <si>
    <t xml:space="preserve">Количество у.е. по НН </t>
  </si>
  <si>
    <t>Структура полезного отпуска электрической энергии (мощности) по группам потребителей ЭСО</t>
  </si>
  <si>
    <t xml:space="preserve">                                </t>
  </si>
  <si>
    <t>Количество у.е. по ВН</t>
  </si>
  <si>
    <t>Количество у.е. по СН I</t>
  </si>
  <si>
    <t>ремонтные работы</t>
  </si>
  <si>
    <t>Таблица N П 1.18.2</t>
  </si>
  <si>
    <t xml:space="preserve">Прибыль от товарной продукции, </t>
  </si>
  <si>
    <t>Прибыль на социальное развитие</t>
  </si>
  <si>
    <t xml:space="preserve">Прибыль на  развитие производства </t>
  </si>
  <si>
    <t>Таблица N П1.3</t>
  </si>
  <si>
    <t>Расчет технологического расхода электрической энергии (потерь) в электрических сетях ЭСО (региональных электрических сетях)</t>
  </si>
  <si>
    <t xml:space="preserve">Показатели        </t>
  </si>
  <si>
    <t xml:space="preserve">Ед. изм. </t>
  </si>
  <si>
    <t xml:space="preserve">Базовый период   </t>
  </si>
  <si>
    <t xml:space="preserve">Технические потери       </t>
  </si>
  <si>
    <t xml:space="preserve">млн.  </t>
  </si>
  <si>
    <t xml:space="preserve">кВт.ч  </t>
  </si>
  <si>
    <t xml:space="preserve">1.1.  </t>
  </si>
  <si>
    <t>Потери холостого хода   в</t>
  </si>
  <si>
    <t>трансформаторах (а х б х в)</t>
  </si>
  <si>
    <t xml:space="preserve">а     </t>
  </si>
  <si>
    <t xml:space="preserve">Норматив потерь          </t>
  </si>
  <si>
    <t xml:space="preserve">кВт/МВА </t>
  </si>
  <si>
    <t xml:space="preserve">б     </t>
  </si>
  <si>
    <t>Суммарная        мощность</t>
  </si>
  <si>
    <t xml:space="preserve">МВА   </t>
  </si>
  <si>
    <t xml:space="preserve">трансформаторов          </t>
  </si>
  <si>
    <t xml:space="preserve">в     </t>
  </si>
  <si>
    <t xml:space="preserve">Продолжительность        </t>
  </si>
  <si>
    <t xml:space="preserve">час   </t>
  </si>
  <si>
    <t xml:space="preserve">периода                  </t>
  </si>
  <si>
    <t xml:space="preserve">1.2.  </t>
  </si>
  <si>
    <t xml:space="preserve">Потери в БСК и СТК (а х б) </t>
  </si>
  <si>
    <t>в год/шт.</t>
  </si>
  <si>
    <t xml:space="preserve">Количество               </t>
  </si>
  <si>
    <t xml:space="preserve">шт.   </t>
  </si>
  <si>
    <t xml:space="preserve">1.3.  </t>
  </si>
  <si>
    <t>Потери   в    шунтирующих</t>
  </si>
  <si>
    <t xml:space="preserve">реакторах (а х б)        </t>
  </si>
  <si>
    <t xml:space="preserve">шт.  </t>
  </si>
  <si>
    <t xml:space="preserve">1.4.  </t>
  </si>
  <si>
    <t>Потери    в    синхронных</t>
  </si>
  <si>
    <t xml:space="preserve">компенсаторах (СК)       </t>
  </si>
  <si>
    <t>1.4.1.</t>
  </si>
  <si>
    <t>Потери в  СК  номинальной</t>
  </si>
  <si>
    <t>мощностью ____ Мвар (а х б)</t>
  </si>
  <si>
    <t>1.4.2.</t>
  </si>
  <si>
    <t xml:space="preserve">1.5.  </t>
  </si>
  <si>
    <t>Потери      электрической</t>
  </si>
  <si>
    <t xml:space="preserve">энергии на корону, всего </t>
  </si>
  <si>
    <t>1.5.1.</t>
  </si>
  <si>
    <t>Потери   на   корону    в линиях</t>
  </si>
  <si>
    <t>напряжением ___ кВ (а * б)</t>
  </si>
  <si>
    <t xml:space="preserve">в год/км </t>
  </si>
  <si>
    <t xml:space="preserve">км    </t>
  </si>
  <si>
    <t>Нагрузочные потери, всего</t>
  </si>
  <si>
    <t>Нагрузочные потери в сети</t>
  </si>
  <si>
    <t>ВН, СН1, СН11 (а х б х в)</t>
  </si>
  <si>
    <t xml:space="preserve">Поправочный коэффициент  </t>
  </si>
  <si>
    <t xml:space="preserve">НН (а х б)               </t>
  </si>
  <si>
    <t>Протяженность линий   0,4 кВ</t>
  </si>
  <si>
    <t>Расход электроэнергии  на</t>
  </si>
  <si>
    <t>собственные нужды подстанций</t>
  </si>
  <si>
    <t>Потери,     обусловленные</t>
  </si>
  <si>
    <t>погрешностями    приборов учета</t>
  </si>
  <si>
    <t xml:space="preserve">Итого                    </t>
  </si>
  <si>
    <t xml:space="preserve">  </t>
  </si>
  <si>
    <t xml:space="preserve">млн.кВт.ч  </t>
  </si>
  <si>
    <t xml:space="preserve">млн. кВт.ч </t>
  </si>
  <si>
    <t xml:space="preserve">тыс. кВт.ч </t>
  </si>
  <si>
    <t xml:space="preserve">млн.кВт.ч </t>
  </si>
  <si>
    <t xml:space="preserve">тыс.кВт.ч  </t>
  </si>
  <si>
    <t xml:space="preserve"> </t>
  </si>
  <si>
    <t xml:space="preserve">млн.кВт.ч   </t>
  </si>
  <si>
    <t>Отпуск в сеть ВН, СН1и СН11</t>
  </si>
  <si>
    <t xml:space="preserve">млн. кВт.ч  </t>
  </si>
  <si>
    <t>Масляный выключатель</t>
  </si>
  <si>
    <t>ВН, всего</t>
  </si>
  <si>
    <t>7 = 5 * 6 /100</t>
  </si>
  <si>
    <t xml:space="preserve">тыс.руб.  </t>
  </si>
  <si>
    <t>Баланс электрической энергии по сетям ВН, СН1, СН11 и НН</t>
  </si>
  <si>
    <t xml:space="preserve">Базовый период    </t>
  </si>
  <si>
    <t>Поступление эл. энергии в сеть, ВСЕГО</t>
  </si>
  <si>
    <t xml:space="preserve">1.1. </t>
  </si>
  <si>
    <t xml:space="preserve">из смежной сети, всего   </t>
  </si>
  <si>
    <t xml:space="preserve">в том числе из сети      </t>
  </si>
  <si>
    <t xml:space="preserve">ВН                       </t>
  </si>
  <si>
    <t xml:space="preserve">СН1                      </t>
  </si>
  <si>
    <t xml:space="preserve">СН11                     </t>
  </si>
  <si>
    <t xml:space="preserve">1.2. </t>
  </si>
  <si>
    <t xml:space="preserve">1.3. </t>
  </si>
  <si>
    <t>поступление эл.энергии от других организаций</t>
  </si>
  <si>
    <t>Потери электроэнергии   в сети</t>
  </si>
  <si>
    <t xml:space="preserve">Расход электроэнергии  на производственные  </t>
  </si>
  <si>
    <t>и хозяйственные нужды</t>
  </si>
  <si>
    <t xml:space="preserve">Полезный отпуск из сети  </t>
  </si>
  <si>
    <t>потребителям оптового</t>
  </si>
  <si>
    <t xml:space="preserve">рынка                    </t>
  </si>
  <si>
    <t xml:space="preserve">4.3. </t>
  </si>
  <si>
    <t>сальдо переток в   другие</t>
  </si>
  <si>
    <t xml:space="preserve">организации              </t>
  </si>
  <si>
    <t>в т.ч.собственным потребителям ЭСО, из них:</t>
  </si>
  <si>
    <t xml:space="preserve">потребителям, присоединенным к  центру питания на генераторном напряжении          </t>
  </si>
  <si>
    <t>Таблица N П 1.4</t>
  </si>
  <si>
    <t>Таблица N П 1.5</t>
  </si>
  <si>
    <t>МВт</t>
  </si>
  <si>
    <t>Поступление   мощности  в сеть, ВСЕГО</t>
  </si>
  <si>
    <t xml:space="preserve">из смежной сети         </t>
  </si>
  <si>
    <t xml:space="preserve">от других организаций   </t>
  </si>
  <si>
    <t xml:space="preserve">Потери в сети            </t>
  </si>
  <si>
    <t xml:space="preserve">то же в %               </t>
  </si>
  <si>
    <t>Мощность на производственные</t>
  </si>
  <si>
    <t xml:space="preserve">и хозяйственные нужды     </t>
  </si>
  <si>
    <t>Полезный отпуск  мощности</t>
  </si>
  <si>
    <t xml:space="preserve">потребителям            </t>
  </si>
  <si>
    <t>заявленная    (расчетная)</t>
  </si>
  <si>
    <t>мощность     потребителей</t>
  </si>
  <si>
    <t xml:space="preserve">оптового рынка          </t>
  </si>
  <si>
    <t xml:space="preserve">в другие организации    </t>
  </si>
  <si>
    <t>Баланс электрической мощности по сетям ВН, СН1, СН11 и НН</t>
  </si>
  <si>
    <t>1.4.</t>
  </si>
  <si>
    <t>в т.ч. заявленная (расчетная) мощность собственных потребителей, пользующихся региональными электрическими сетями</t>
  </si>
  <si>
    <t>Смета расходов на передачу</t>
  </si>
  <si>
    <t>в т.ч. из ВН</t>
  </si>
  <si>
    <t>СН I</t>
  </si>
  <si>
    <t>СН II</t>
  </si>
  <si>
    <t>11.</t>
  </si>
  <si>
    <t>9.</t>
  </si>
  <si>
    <t>10.</t>
  </si>
  <si>
    <t>12.</t>
  </si>
  <si>
    <t>14.1.</t>
  </si>
  <si>
    <t>15.</t>
  </si>
  <si>
    <t>Пер. рег.</t>
  </si>
  <si>
    <t>руб/квт ч.</t>
  </si>
  <si>
    <r>
      <t xml:space="preserve">НВВ </t>
    </r>
    <r>
      <rPr>
        <vertAlign val="subscript"/>
        <sz val="10"/>
        <rFont val="Arial Cyr"/>
        <family val="2"/>
        <charset val="204"/>
      </rPr>
      <t>ВН</t>
    </r>
  </si>
  <si>
    <t>руб/Мвт ч</t>
  </si>
  <si>
    <r>
      <t xml:space="preserve">Р </t>
    </r>
    <r>
      <rPr>
        <vertAlign val="superscript"/>
        <sz val="10"/>
        <rFont val="Arial Cyr"/>
        <family val="2"/>
        <charset val="204"/>
      </rPr>
      <t xml:space="preserve">п </t>
    </r>
    <r>
      <rPr>
        <vertAlign val="subscript"/>
        <sz val="10"/>
        <rFont val="Arial Cyr"/>
        <family val="2"/>
        <charset val="204"/>
      </rPr>
      <t>ВН</t>
    </r>
  </si>
  <si>
    <r>
      <t xml:space="preserve">Р </t>
    </r>
    <r>
      <rPr>
        <vertAlign val="superscript"/>
        <sz val="10"/>
        <rFont val="Arial Cyr"/>
        <family val="2"/>
        <charset val="204"/>
      </rPr>
      <t xml:space="preserve">пр </t>
    </r>
    <r>
      <rPr>
        <vertAlign val="subscript"/>
        <sz val="10"/>
        <rFont val="Arial Cyr"/>
        <family val="2"/>
        <charset val="204"/>
      </rPr>
      <t>ВН</t>
    </r>
  </si>
  <si>
    <r>
      <t xml:space="preserve">НВВ </t>
    </r>
    <r>
      <rPr>
        <vertAlign val="subscript"/>
        <sz val="10"/>
        <rFont val="Arial Cyr"/>
        <family val="2"/>
        <charset val="204"/>
      </rPr>
      <t>СН I</t>
    </r>
  </si>
  <si>
    <r>
      <t xml:space="preserve">Р </t>
    </r>
    <r>
      <rPr>
        <vertAlign val="superscript"/>
        <sz val="10"/>
        <rFont val="Arial Cyr"/>
        <family val="2"/>
        <charset val="204"/>
      </rPr>
      <t xml:space="preserve">п </t>
    </r>
    <r>
      <rPr>
        <vertAlign val="subscript"/>
        <sz val="10"/>
        <rFont val="Arial Cyr"/>
        <family val="2"/>
        <charset val="204"/>
      </rPr>
      <t>CН I</t>
    </r>
  </si>
  <si>
    <r>
      <t xml:space="preserve">Р </t>
    </r>
    <r>
      <rPr>
        <vertAlign val="superscript"/>
        <sz val="10"/>
        <rFont val="Arial Cyr"/>
        <family val="2"/>
        <charset val="204"/>
      </rPr>
      <t xml:space="preserve">пр </t>
    </r>
    <r>
      <rPr>
        <vertAlign val="subscript"/>
        <sz val="10"/>
        <rFont val="Arial Cyr"/>
        <family val="2"/>
        <charset val="204"/>
      </rPr>
      <t>CН I</t>
    </r>
  </si>
  <si>
    <r>
      <t xml:space="preserve">НВВ </t>
    </r>
    <r>
      <rPr>
        <vertAlign val="subscript"/>
        <sz val="10"/>
        <rFont val="Arial Cyr"/>
        <family val="2"/>
        <charset val="204"/>
      </rPr>
      <t>СН II</t>
    </r>
  </si>
  <si>
    <r>
      <t xml:space="preserve">Р </t>
    </r>
    <r>
      <rPr>
        <vertAlign val="superscript"/>
        <sz val="10"/>
        <rFont val="Arial Cyr"/>
        <family val="2"/>
        <charset val="204"/>
      </rPr>
      <t xml:space="preserve">п </t>
    </r>
    <r>
      <rPr>
        <vertAlign val="subscript"/>
        <sz val="10"/>
        <rFont val="Arial Cyr"/>
        <family val="2"/>
        <charset val="204"/>
      </rPr>
      <t>CН II</t>
    </r>
  </si>
  <si>
    <r>
      <t xml:space="preserve">Р </t>
    </r>
    <r>
      <rPr>
        <vertAlign val="superscript"/>
        <sz val="10"/>
        <rFont val="Arial Cyr"/>
        <family val="2"/>
        <charset val="204"/>
      </rPr>
      <t xml:space="preserve">пр </t>
    </r>
    <r>
      <rPr>
        <vertAlign val="subscript"/>
        <sz val="10"/>
        <rFont val="Arial Cyr"/>
        <family val="2"/>
        <charset val="204"/>
      </rPr>
      <t>CН II</t>
    </r>
  </si>
  <si>
    <r>
      <t xml:space="preserve">НВВ </t>
    </r>
    <r>
      <rPr>
        <vertAlign val="subscript"/>
        <sz val="10"/>
        <rFont val="Arial Cyr"/>
        <family val="2"/>
        <charset val="204"/>
      </rPr>
      <t>НН</t>
    </r>
  </si>
  <si>
    <r>
      <t xml:space="preserve">Р </t>
    </r>
    <r>
      <rPr>
        <vertAlign val="superscript"/>
        <sz val="10"/>
        <rFont val="Arial Cyr"/>
        <family val="2"/>
        <charset val="204"/>
      </rPr>
      <t xml:space="preserve">п </t>
    </r>
    <r>
      <rPr>
        <vertAlign val="subscript"/>
        <sz val="10"/>
        <rFont val="Arial Cyr"/>
        <family val="2"/>
        <charset val="204"/>
      </rPr>
      <t>НН</t>
    </r>
  </si>
  <si>
    <r>
      <t xml:space="preserve">Р </t>
    </r>
    <r>
      <rPr>
        <vertAlign val="superscript"/>
        <sz val="10"/>
        <rFont val="Arial Cyr"/>
        <family val="2"/>
        <charset val="204"/>
      </rPr>
      <t xml:space="preserve">пр </t>
    </r>
    <r>
      <rPr>
        <vertAlign val="subscript"/>
        <sz val="10"/>
        <rFont val="Arial Cyr"/>
        <family val="2"/>
        <charset val="204"/>
      </rPr>
      <t>НН</t>
    </r>
  </si>
  <si>
    <r>
      <t xml:space="preserve">Т </t>
    </r>
    <r>
      <rPr>
        <vertAlign val="superscript"/>
        <sz val="10"/>
        <rFont val="Arial Cyr"/>
        <family val="2"/>
        <charset val="204"/>
      </rPr>
      <t>сод</t>
    </r>
    <r>
      <rPr>
        <vertAlign val="subscript"/>
        <sz val="10"/>
        <rFont val="Arial Cyr"/>
        <family val="2"/>
        <charset val="204"/>
      </rPr>
      <t xml:space="preserve"> ВН</t>
    </r>
  </si>
  <si>
    <t xml:space="preserve"> тыс.руб./МВт в месяц</t>
  </si>
  <si>
    <r>
      <t xml:space="preserve">Дельта НВВ </t>
    </r>
    <r>
      <rPr>
        <vertAlign val="superscript"/>
        <sz val="10"/>
        <rFont val="Arial Cyr"/>
        <family val="2"/>
        <charset val="204"/>
      </rPr>
      <t xml:space="preserve">СН </t>
    </r>
    <r>
      <rPr>
        <vertAlign val="subscript"/>
        <sz val="10"/>
        <rFont val="Arial Cyr"/>
        <family val="2"/>
        <charset val="204"/>
      </rPr>
      <t>ВН</t>
    </r>
  </si>
  <si>
    <r>
      <t xml:space="preserve">Дельта НВВ </t>
    </r>
    <r>
      <rPr>
        <vertAlign val="superscript"/>
        <sz val="10"/>
        <rFont val="Arial Cyr"/>
        <family val="2"/>
        <charset val="204"/>
      </rPr>
      <t xml:space="preserve">СН I </t>
    </r>
    <r>
      <rPr>
        <vertAlign val="subscript"/>
        <sz val="10"/>
        <rFont val="Arial Cyr"/>
        <family val="2"/>
        <charset val="204"/>
      </rPr>
      <t>ВН</t>
    </r>
  </si>
  <si>
    <r>
      <t xml:space="preserve">Дельта НВВ </t>
    </r>
    <r>
      <rPr>
        <vertAlign val="superscript"/>
        <sz val="10"/>
        <rFont val="Arial Cyr"/>
        <family val="2"/>
        <charset val="204"/>
      </rPr>
      <t xml:space="preserve">СН II </t>
    </r>
    <r>
      <rPr>
        <vertAlign val="subscript"/>
        <sz val="10"/>
        <rFont val="Arial Cyr"/>
        <family val="2"/>
        <charset val="204"/>
      </rPr>
      <t>ВН</t>
    </r>
  </si>
  <si>
    <r>
      <t xml:space="preserve">Т </t>
    </r>
    <r>
      <rPr>
        <vertAlign val="superscript"/>
        <sz val="10"/>
        <rFont val="Arial Cyr"/>
        <family val="2"/>
        <charset val="204"/>
      </rPr>
      <t>сод</t>
    </r>
    <r>
      <rPr>
        <vertAlign val="subscript"/>
        <sz val="10"/>
        <rFont val="Arial Cyr"/>
        <family val="2"/>
        <charset val="204"/>
      </rPr>
      <t xml:space="preserve"> CН I</t>
    </r>
  </si>
  <si>
    <r>
      <t xml:space="preserve">Дельта НВВ </t>
    </r>
    <r>
      <rPr>
        <vertAlign val="superscript"/>
        <sz val="10"/>
        <rFont val="Arial Cyr"/>
        <family val="2"/>
        <charset val="204"/>
      </rPr>
      <t xml:space="preserve">СН II </t>
    </r>
    <r>
      <rPr>
        <vertAlign val="subscript"/>
        <sz val="10"/>
        <rFont val="Arial Cyr"/>
        <family val="2"/>
        <charset val="204"/>
      </rPr>
      <t>CН I</t>
    </r>
  </si>
  <si>
    <r>
      <t xml:space="preserve">Т </t>
    </r>
    <r>
      <rPr>
        <vertAlign val="superscript"/>
        <sz val="10"/>
        <rFont val="Arial Cyr"/>
        <family val="2"/>
        <charset val="204"/>
      </rPr>
      <t>сод</t>
    </r>
    <r>
      <rPr>
        <vertAlign val="subscript"/>
        <sz val="10"/>
        <rFont val="Arial Cyr"/>
        <family val="2"/>
        <charset val="204"/>
      </rPr>
      <t xml:space="preserve"> CН II</t>
    </r>
  </si>
  <si>
    <t>12,6,1</t>
  </si>
  <si>
    <r>
      <t xml:space="preserve">N </t>
    </r>
    <r>
      <rPr>
        <vertAlign val="superscript"/>
        <sz val="10"/>
        <rFont val="Arial Cyr"/>
        <family val="2"/>
        <charset val="204"/>
      </rPr>
      <t xml:space="preserve">отп </t>
    </r>
    <r>
      <rPr>
        <vertAlign val="subscript"/>
        <sz val="10"/>
        <rFont val="Arial Cyr"/>
        <family val="2"/>
        <charset val="204"/>
      </rPr>
      <t>СН II</t>
    </r>
  </si>
  <si>
    <r>
      <t xml:space="preserve">Дельта НВВ </t>
    </r>
    <r>
      <rPr>
        <vertAlign val="superscript"/>
        <sz val="10"/>
        <rFont val="Arial Cyr"/>
        <family val="2"/>
        <charset val="204"/>
      </rPr>
      <t xml:space="preserve">НН  </t>
    </r>
    <r>
      <rPr>
        <vertAlign val="subscript"/>
        <sz val="10"/>
        <rFont val="Arial Cyr"/>
        <family val="2"/>
        <charset val="204"/>
      </rPr>
      <t>CН II</t>
    </r>
  </si>
  <si>
    <r>
      <t xml:space="preserve">Т </t>
    </r>
    <r>
      <rPr>
        <vertAlign val="superscript"/>
        <sz val="10"/>
        <rFont val="Arial Cyr"/>
        <family val="2"/>
        <charset val="204"/>
      </rPr>
      <t>сод</t>
    </r>
    <r>
      <rPr>
        <vertAlign val="subscript"/>
        <sz val="10"/>
        <rFont val="Arial Cyr"/>
        <family val="2"/>
        <charset val="204"/>
      </rPr>
      <t xml:space="preserve"> НН</t>
    </r>
  </si>
  <si>
    <t>Проверка</t>
  </si>
  <si>
    <r>
      <t xml:space="preserve">Т </t>
    </r>
    <r>
      <rPr>
        <vertAlign val="superscript"/>
        <sz val="10"/>
        <rFont val="Arial Cyr"/>
        <family val="2"/>
        <charset val="204"/>
      </rPr>
      <t>сод.э</t>
    </r>
    <r>
      <rPr>
        <vertAlign val="subscript"/>
        <sz val="10"/>
        <rFont val="Arial Cyr"/>
        <family val="2"/>
        <charset val="204"/>
      </rPr>
      <t xml:space="preserve"> ВН</t>
    </r>
  </si>
  <si>
    <r>
      <t xml:space="preserve">Т </t>
    </r>
    <r>
      <rPr>
        <vertAlign val="superscript"/>
        <sz val="10"/>
        <rFont val="Arial Cyr"/>
        <family val="2"/>
        <charset val="204"/>
      </rPr>
      <t>сод.э</t>
    </r>
    <r>
      <rPr>
        <vertAlign val="subscript"/>
        <sz val="10"/>
        <rFont val="Arial Cyr"/>
        <family val="2"/>
        <charset val="204"/>
      </rPr>
      <t xml:space="preserve"> CН I</t>
    </r>
  </si>
  <si>
    <r>
      <t xml:space="preserve">Т </t>
    </r>
    <r>
      <rPr>
        <vertAlign val="superscript"/>
        <sz val="10"/>
        <rFont val="Arial Cyr"/>
        <family val="2"/>
        <charset val="204"/>
      </rPr>
      <t>сод.э</t>
    </r>
    <r>
      <rPr>
        <vertAlign val="subscript"/>
        <sz val="10"/>
        <rFont val="Arial Cyr"/>
        <family val="2"/>
        <charset val="204"/>
      </rPr>
      <t xml:space="preserve"> CН II</t>
    </r>
  </si>
  <si>
    <t>тыс. руб./МВт ч</t>
  </si>
  <si>
    <r>
      <t xml:space="preserve">Т </t>
    </r>
    <r>
      <rPr>
        <vertAlign val="superscript"/>
        <sz val="10"/>
        <rFont val="Arial Cyr"/>
        <family val="2"/>
        <charset val="204"/>
      </rPr>
      <t>пот</t>
    </r>
    <r>
      <rPr>
        <vertAlign val="subscript"/>
        <sz val="10"/>
        <rFont val="Arial Cyr"/>
        <family val="2"/>
        <charset val="204"/>
      </rPr>
      <t xml:space="preserve"> ВН</t>
    </r>
  </si>
  <si>
    <t>руб./МВт.час.</t>
  </si>
  <si>
    <r>
      <t xml:space="preserve">З </t>
    </r>
    <r>
      <rPr>
        <vertAlign val="superscript"/>
        <sz val="10"/>
        <rFont val="Arial Cyr"/>
        <family val="2"/>
        <charset val="204"/>
      </rPr>
      <t>пот</t>
    </r>
    <r>
      <rPr>
        <vertAlign val="subscript"/>
        <sz val="10"/>
        <rFont val="Arial Cyr"/>
        <family val="2"/>
        <charset val="204"/>
      </rPr>
      <t xml:space="preserve"> ВН</t>
    </r>
  </si>
  <si>
    <r>
      <t xml:space="preserve">Т </t>
    </r>
    <r>
      <rPr>
        <vertAlign val="superscript"/>
        <sz val="10"/>
        <rFont val="Arial Cyr"/>
        <family val="2"/>
        <charset val="204"/>
      </rPr>
      <t>пот</t>
    </r>
    <r>
      <rPr>
        <vertAlign val="subscript"/>
        <sz val="10"/>
        <rFont val="Arial Cyr"/>
        <family val="2"/>
        <charset val="204"/>
      </rPr>
      <t xml:space="preserve"> CН I</t>
    </r>
  </si>
  <si>
    <r>
      <t xml:space="preserve">З </t>
    </r>
    <r>
      <rPr>
        <vertAlign val="superscript"/>
        <sz val="10"/>
        <rFont val="Arial Cyr"/>
        <family val="2"/>
        <charset val="204"/>
      </rPr>
      <t>пот</t>
    </r>
    <r>
      <rPr>
        <vertAlign val="subscript"/>
        <sz val="10"/>
        <rFont val="Arial Cyr"/>
        <family val="2"/>
        <charset val="204"/>
      </rPr>
      <t xml:space="preserve"> CН I</t>
    </r>
  </si>
  <si>
    <r>
      <t xml:space="preserve">Дельта З </t>
    </r>
    <r>
      <rPr>
        <vertAlign val="superscript"/>
        <sz val="10"/>
        <rFont val="Arial Cyr"/>
        <family val="2"/>
        <charset val="204"/>
      </rPr>
      <t xml:space="preserve">СН I </t>
    </r>
    <r>
      <rPr>
        <vertAlign val="subscript"/>
        <sz val="10"/>
        <rFont val="Arial Cyr"/>
        <family val="2"/>
        <charset val="204"/>
      </rPr>
      <t>ВН</t>
    </r>
  </si>
  <si>
    <t>проверка сходимости потерь</t>
  </si>
  <si>
    <r>
      <t xml:space="preserve">Т </t>
    </r>
    <r>
      <rPr>
        <vertAlign val="superscript"/>
        <sz val="10"/>
        <rFont val="Arial Cyr"/>
        <family val="2"/>
        <charset val="204"/>
      </rPr>
      <t>пот</t>
    </r>
    <r>
      <rPr>
        <vertAlign val="subscript"/>
        <sz val="10"/>
        <rFont val="Arial Cyr"/>
        <family val="2"/>
        <charset val="204"/>
      </rPr>
      <t xml:space="preserve"> CН II</t>
    </r>
  </si>
  <si>
    <t>руб./Мвт ч</t>
  </si>
  <si>
    <t>тыс. руб./Мвт ч</t>
  </si>
  <si>
    <r>
      <t xml:space="preserve">Э </t>
    </r>
    <r>
      <rPr>
        <vertAlign val="subscript"/>
        <sz val="10"/>
        <rFont val="Arial Cyr"/>
        <family val="2"/>
        <charset val="204"/>
      </rPr>
      <t>СН II</t>
    </r>
  </si>
  <si>
    <t>млн. квт.ч.</t>
  </si>
  <si>
    <r>
      <t xml:space="preserve">З </t>
    </r>
    <r>
      <rPr>
        <vertAlign val="superscript"/>
        <sz val="10"/>
        <rFont val="Arial Cyr"/>
        <family val="2"/>
        <charset val="204"/>
      </rPr>
      <t>пот</t>
    </r>
    <r>
      <rPr>
        <vertAlign val="subscript"/>
        <sz val="10"/>
        <rFont val="Arial Cyr"/>
        <family val="2"/>
        <charset val="204"/>
      </rPr>
      <t xml:space="preserve"> CН II</t>
    </r>
  </si>
  <si>
    <t>руб.</t>
  </si>
  <si>
    <r>
      <t xml:space="preserve">Дельта З </t>
    </r>
    <r>
      <rPr>
        <vertAlign val="superscript"/>
        <sz val="10"/>
        <rFont val="Arial Cyr"/>
        <family val="2"/>
        <charset val="204"/>
      </rPr>
      <t xml:space="preserve">пот </t>
    </r>
    <r>
      <rPr>
        <vertAlign val="subscript"/>
        <sz val="10"/>
        <rFont val="Arial Cyr"/>
        <family val="2"/>
        <charset val="204"/>
      </rPr>
      <t>СН II</t>
    </r>
  </si>
  <si>
    <r>
      <t xml:space="preserve">Т </t>
    </r>
    <r>
      <rPr>
        <vertAlign val="superscript"/>
        <sz val="10"/>
        <rFont val="Arial Cyr"/>
        <family val="2"/>
        <charset val="204"/>
      </rPr>
      <t>пот</t>
    </r>
    <r>
      <rPr>
        <vertAlign val="subscript"/>
        <sz val="10"/>
        <rFont val="Arial Cyr"/>
        <family val="2"/>
        <charset val="204"/>
      </rPr>
      <t xml:space="preserve"> НН</t>
    </r>
  </si>
  <si>
    <r>
      <t xml:space="preserve">З </t>
    </r>
    <r>
      <rPr>
        <vertAlign val="superscript"/>
        <sz val="10"/>
        <rFont val="Arial Cyr"/>
        <family val="2"/>
        <charset val="204"/>
      </rPr>
      <t>пот</t>
    </r>
    <r>
      <rPr>
        <vertAlign val="subscript"/>
        <sz val="10"/>
        <rFont val="Arial Cyr"/>
        <family val="2"/>
        <charset val="204"/>
      </rPr>
      <t xml:space="preserve"> НН </t>
    </r>
  </si>
  <si>
    <r>
      <t xml:space="preserve">Дельта З </t>
    </r>
    <r>
      <rPr>
        <vertAlign val="superscript"/>
        <sz val="10"/>
        <rFont val="Arial Cyr"/>
        <family val="2"/>
        <charset val="204"/>
      </rPr>
      <t xml:space="preserve">НН </t>
    </r>
    <r>
      <rPr>
        <vertAlign val="subscript"/>
        <sz val="10"/>
        <rFont val="Arial Cyr"/>
        <family val="2"/>
        <charset val="204"/>
      </rPr>
      <t>СН II</t>
    </r>
  </si>
  <si>
    <t>тыс. руб. /МВт/час</t>
  </si>
  <si>
    <t>1.6.</t>
  </si>
  <si>
    <t xml:space="preserve">1.7.  </t>
  </si>
  <si>
    <t>1.7.1.</t>
  </si>
  <si>
    <t>1.7.2.</t>
  </si>
  <si>
    <t>Условно-постоянные потери, всего</t>
  </si>
  <si>
    <t xml:space="preserve">Протяженность линий      </t>
  </si>
  <si>
    <t>продолжение таблицы N П1.27</t>
  </si>
  <si>
    <t>Исполнитель</t>
  </si>
  <si>
    <t>Обосновывающий документ</t>
  </si>
  <si>
    <t>№</t>
  </si>
  <si>
    <t>руб./МВт в месяц</t>
  </si>
  <si>
    <t>Премия месячная</t>
  </si>
  <si>
    <t>ООО "СамараЭСКО"</t>
  </si>
  <si>
    <t>Экспертиза технологических потерь электрической энергии</t>
  </si>
  <si>
    <t>Приложение № 1</t>
  </si>
  <si>
    <t>Оплата труда аппарата управления и прочего общезаводского персонала</t>
  </si>
  <si>
    <t>Наименование затрат</t>
  </si>
  <si>
    <t xml:space="preserve">№ </t>
  </si>
  <si>
    <t>Согласовано:</t>
  </si>
  <si>
    <t>Руководитель</t>
  </si>
  <si>
    <t>Харитонова Л. С.</t>
  </si>
  <si>
    <t xml:space="preserve">Расчет расходов на оплату труда </t>
  </si>
  <si>
    <t>Расчет амортизационных отчислений</t>
  </si>
  <si>
    <t xml:space="preserve">на восстановление основных производственных фондов </t>
  </si>
  <si>
    <t>Объем подстанций 35-1150 кВ, трансформаторных подстанций (ТП), комплексных трансформаторных подстанций (КТП) и распределительных пунктов(РП) 0,4-20 кВ в условных единицах</t>
  </si>
  <si>
    <t>Амортизация</t>
  </si>
  <si>
    <t xml:space="preserve">Расчет амортизационных отчислений </t>
  </si>
  <si>
    <t>Балансовая (остаточная) стоимость основных производственных фондов на начало периода регулирования</t>
  </si>
  <si>
    <t>Первоначальная стоимость основных производственных фондов на начало периода регулирования</t>
  </si>
  <si>
    <t xml:space="preserve">Выплаты, связанные с режимом работы с условиями труда 1 работника </t>
  </si>
  <si>
    <t>Выплаты по  районному  коэффициенту  и северные надбавки</t>
  </si>
  <si>
    <t>Платежное поручение</t>
  </si>
  <si>
    <t>Статьи затрат</t>
  </si>
  <si>
    <t>ИТОГО</t>
  </si>
  <si>
    <t>потери</t>
  </si>
  <si>
    <t>то же в % (п. 2/п. 1)</t>
  </si>
  <si>
    <t>в т.ч.</t>
  </si>
  <si>
    <t>9.1.</t>
  </si>
  <si>
    <t>9.2.</t>
  </si>
  <si>
    <t>9.3.</t>
  </si>
  <si>
    <t>Лечение и оздоровление работников и членов семей работников</t>
  </si>
  <si>
    <t>Материальная помощь (к отпуску, по заявлениям и т.д.)</t>
  </si>
  <si>
    <t>Главный бухгалтер</t>
  </si>
  <si>
    <t>Дедюрина Н.В.</t>
  </si>
  <si>
    <t>Вода</t>
  </si>
  <si>
    <t xml:space="preserve">Средства на страхование           </t>
  </si>
  <si>
    <t>Теплоэнергия</t>
  </si>
  <si>
    <t>рег.тариф</t>
  </si>
  <si>
    <t>2008 г.</t>
  </si>
  <si>
    <t>тариф покупки потерь с уч. нерегулир.тарифа</t>
  </si>
  <si>
    <t>проверка</t>
  </si>
  <si>
    <t>Инв. №</t>
  </si>
  <si>
    <t xml:space="preserve">       </t>
  </si>
  <si>
    <t xml:space="preserve">без НДС </t>
  </si>
  <si>
    <t>Наименование работ и услуг</t>
  </si>
  <si>
    <t>Услуги сторонних организаций</t>
  </si>
  <si>
    <t>Примечание:</t>
  </si>
  <si>
    <t>ср.з-пл</t>
  </si>
  <si>
    <t>по участку передачи электрической энергии</t>
  </si>
  <si>
    <t>произв.раб.</t>
  </si>
  <si>
    <t>из ОХР - руковод.</t>
  </si>
  <si>
    <t>2009 г.</t>
  </si>
  <si>
    <t>2010 г.</t>
  </si>
  <si>
    <t>Объем воздушных линий электропередач (ВЛЭП) и кабельных линий электропередач (КЛЭП)</t>
  </si>
  <si>
    <t xml:space="preserve">использования и материала опор.  </t>
  </si>
  <si>
    <t xml:space="preserve">в условных единицах в зависимости от протяженности, напряжения, конструктивного </t>
  </si>
  <si>
    <t xml:space="preserve">п.п. </t>
  </si>
  <si>
    <t>Период регулирования</t>
  </si>
  <si>
    <t xml:space="preserve">ВН </t>
  </si>
  <si>
    <t>СН1</t>
  </si>
  <si>
    <t>СН11</t>
  </si>
  <si>
    <t xml:space="preserve">НН </t>
  </si>
  <si>
    <t>Всего</t>
  </si>
  <si>
    <t xml:space="preserve">СН11 </t>
  </si>
  <si>
    <t>НН</t>
  </si>
  <si>
    <t xml:space="preserve">1.    </t>
  </si>
  <si>
    <t xml:space="preserve">%    </t>
  </si>
  <si>
    <t xml:space="preserve">2.    </t>
  </si>
  <si>
    <t xml:space="preserve">3.    </t>
  </si>
  <si>
    <t xml:space="preserve">4.    </t>
  </si>
  <si>
    <t>млн. кВт.ч</t>
  </si>
  <si>
    <t xml:space="preserve">Период регулирования </t>
  </si>
  <si>
    <t xml:space="preserve">1.  </t>
  </si>
  <si>
    <t xml:space="preserve">2.   </t>
  </si>
  <si>
    <t xml:space="preserve">3.   </t>
  </si>
  <si>
    <t xml:space="preserve">4.   </t>
  </si>
  <si>
    <t xml:space="preserve">4.1. </t>
  </si>
  <si>
    <t xml:space="preserve">4.2. </t>
  </si>
  <si>
    <t>п.п.</t>
  </si>
  <si>
    <t xml:space="preserve">Показатели       </t>
  </si>
  <si>
    <t>ВН</t>
  </si>
  <si>
    <t>1.1.</t>
  </si>
  <si>
    <t>1.2.</t>
  </si>
  <si>
    <t xml:space="preserve">2.  </t>
  </si>
  <si>
    <t xml:space="preserve">3.  </t>
  </si>
  <si>
    <t xml:space="preserve">4.  </t>
  </si>
  <si>
    <t>4.1.</t>
  </si>
  <si>
    <t>4.2.</t>
  </si>
  <si>
    <t>4.3.</t>
  </si>
  <si>
    <t>Таблица N П1.6</t>
  </si>
  <si>
    <t xml:space="preserve">N  </t>
  </si>
  <si>
    <t xml:space="preserve">Группа потребителей </t>
  </si>
  <si>
    <t xml:space="preserve">Объем полезного отпуска   </t>
  </si>
  <si>
    <t xml:space="preserve">электроэнергии, млн. кВт.ч  </t>
  </si>
  <si>
    <t xml:space="preserve">Заявленная (расчетная)    </t>
  </si>
  <si>
    <t xml:space="preserve">мощность, тыс. кВт      </t>
  </si>
  <si>
    <t xml:space="preserve">Доля потребления на разных    </t>
  </si>
  <si>
    <t xml:space="preserve">диапазонах напряжений, %     </t>
  </si>
  <si>
    <t xml:space="preserve">НН  </t>
  </si>
  <si>
    <t xml:space="preserve">Базовый период                                                              </t>
  </si>
  <si>
    <t xml:space="preserve">Базовые потребители </t>
  </si>
  <si>
    <t xml:space="preserve">Потребитель 1       </t>
  </si>
  <si>
    <t xml:space="preserve">Потребитель 2       </t>
  </si>
  <si>
    <t xml:space="preserve">...                 </t>
  </si>
  <si>
    <t xml:space="preserve">Население           </t>
  </si>
  <si>
    <t xml:space="preserve">Прочие потребители  </t>
  </si>
  <si>
    <t>3.1.</t>
  </si>
  <si>
    <t xml:space="preserve">в том числе         </t>
  </si>
  <si>
    <t xml:space="preserve">потребители         </t>
  </si>
  <si>
    <t xml:space="preserve">Итого               </t>
  </si>
  <si>
    <t xml:space="preserve">Период регулирования                                                       </t>
  </si>
  <si>
    <t xml:space="preserve">бюджетные           </t>
  </si>
  <si>
    <t>Таблица N П1.13</t>
  </si>
  <si>
    <t xml:space="preserve">Период регулирования   </t>
  </si>
  <si>
    <t>Таблица N П1.15</t>
  </si>
  <si>
    <t xml:space="preserve">Наименование показателя        </t>
  </si>
  <si>
    <t>период</t>
  </si>
  <si>
    <t>регули-</t>
  </si>
  <si>
    <t>рования</t>
  </si>
  <si>
    <t xml:space="preserve">Сырье, основные материалы              </t>
  </si>
  <si>
    <t xml:space="preserve">Вспомогательные материалы              </t>
  </si>
  <si>
    <t xml:space="preserve">из них на ремонт                       </t>
  </si>
  <si>
    <t xml:space="preserve">из них на ремонт                        </t>
  </si>
  <si>
    <t xml:space="preserve">Топливо на технологические цели        </t>
  </si>
  <si>
    <t xml:space="preserve">5.    </t>
  </si>
  <si>
    <t xml:space="preserve">Энергия                                </t>
  </si>
  <si>
    <t xml:space="preserve">5.1.  </t>
  </si>
  <si>
    <t>Энергия  на технологические цели (покупная энергия Таблица N П1.12)</t>
  </si>
  <si>
    <t xml:space="preserve">5.2.  </t>
  </si>
  <si>
    <t xml:space="preserve">Энергия на хозяйственные нужды         </t>
  </si>
  <si>
    <t xml:space="preserve">6.    </t>
  </si>
  <si>
    <t xml:space="preserve">Затраты на оплату труда                </t>
  </si>
  <si>
    <t xml:space="preserve">7.    </t>
  </si>
  <si>
    <t xml:space="preserve">8.    </t>
  </si>
  <si>
    <t xml:space="preserve">Амортизация основных средств           </t>
  </si>
  <si>
    <t xml:space="preserve">9.    </t>
  </si>
  <si>
    <t xml:space="preserve">Прочие затраты всего, в том числе:     </t>
  </si>
  <si>
    <t xml:space="preserve">9.1.  </t>
  </si>
  <si>
    <t xml:space="preserve">Целевые средства на НИОКР              </t>
  </si>
  <si>
    <t xml:space="preserve">9.2.  </t>
  </si>
  <si>
    <t xml:space="preserve">9.3.  </t>
  </si>
  <si>
    <t xml:space="preserve">9.4.  </t>
  </si>
  <si>
    <t xml:space="preserve">9.5.  </t>
  </si>
  <si>
    <t>Отчисления  в  ремонтный  фонд (в случае его формирования)</t>
  </si>
  <si>
    <t xml:space="preserve">9.6.  </t>
  </si>
  <si>
    <t xml:space="preserve">Водный налог (ГЭС)                     </t>
  </si>
  <si>
    <t xml:space="preserve">9.7.  </t>
  </si>
  <si>
    <t>9.7.1.</t>
  </si>
  <si>
    <t xml:space="preserve">Налог на землю                          </t>
  </si>
  <si>
    <t>9.7.2.</t>
  </si>
  <si>
    <t xml:space="preserve">Налог на пользователей автодорог       </t>
  </si>
  <si>
    <t xml:space="preserve">9.8.  </t>
  </si>
  <si>
    <t xml:space="preserve">в т.ч.                                 </t>
  </si>
  <si>
    <t>9.8.1.</t>
  </si>
  <si>
    <t xml:space="preserve">Арендная плата                         </t>
  </si>
  <si>
    <t xml:space="preserve">10.   </t>
  </si>
  <si>
    <t xml:space="preserve">Итого расходов                         </t>
  </si>
  <si>
    <t xml:space="preserve">11.   </t>
  </si>
  <si>
    <t>Недополученный по независящим   причинам доход</t>
  </si>
  <si>
    <t xml:space="preserve">12.   </t>
  </si>
  <si>
    <t>Избыток средств, полученный в предыдущем периоде регулирования</t>
  </si>
  <si>
    <t>13.</t>
  </si>
  <si>
    <t>Расчетные расходы по производству продукции (услуг)</t>
  </si>
  <si>
    <t xml:space="preserve">в том числе:                           </t>
  </si>
  <si>
    <t xml:space="preserve">13.1. </t>
  </si>
  <si>
    <t xml:space="preserve">- электрическая энергия                </t>
  </si>
  <si>
    <t>13.1.1.</t>
  </si>
  <si>
    <t xml:space="preserve">производство электроэнергии            </t>
  </si>
  <si>
    <t>13.1.2.</t>
  </si>
  <si>
    <t xml:space="preserve">покупная электроэнергия                </t>
  </si>
  <si>
    <t>13.1.3.</t>
  </si>
  <si>
    <t xml:space="preserve">передача электроэнергии                 </t>
  </si>
  <si>
    <t xml:space="preserve">13.2. </t>
  </si>
  <si>
    <t xml:space="preserve">- тепловая энергия                     </t>
  </si>
  <si>
    <t>13.2.1.</t>
  </si>
  <si>
    <t xml:space="preserve">производство теплоэнергии              </t>
  </si>
  <si>
    <t>13.2.2.</t>
  </si>
  <si>
    <t xml:space="preserve">покупная теплоэнергия                  </t>
  </si>
  <si>
    <t>13.2.3.</t>
  </si>
  <si>
    <t xml:space="preserve">передача теплоэнергии                  </t>
  </si>
  <si>
    <t xml:space="preserve">13.3. </t>
  </si>
  <si>
    <t xml:space="preserve">- прочая продукция                      </t>
  </si>
  <si>
    <t>Базовый период</t>
  </si>
  <si>
    <t xml:space="preserve">Работы   и    услуги   производственного характера                              </t>
  </si>
  <si>
    <t>Оплата за услуги по организации функционирования и развитию ЕЭС России,оперативно-диспетчерскому управлению в электроэнергетике,организации функционирования торговой системы оптового рынка электрической энергии (мощности),передаче электрической энергии по единой национальной (общероссийской) электрической сети</t>
  </si>
  <si>
    <t>Таблица N П1.16</t>
  </si>
  <si>
    <t xml:space="preserve">N   </t>
  </si>
  <si>
    <t xml:space="preserve">Показатели               </t>
  </si>
  <si>
    <t>Ед. изм.</t>
  </si>
  <si>
    <t xml:space="preserve">период </t>
  </si>
  <si>
    <t xml:space="preserve">1.     </t>
  </si>
  <si>
    <t xml:space="preserve">Численность                           </t>
  </si>
  <si>
    <t xml:space="preserve">Численность ППП                       </t>
  </si>
  <si>
    <t xml:space="preserve">чел.  </t>
  </si>
  <si>
    <t xml:space="preserve">2.     </t>
  </si>
  <si>
    <t xml:space="preserve">Средняя оплата труда                  </t>
  </si>
  <si>
    <t xml:space="preserve">2.1.   </t>
  </si>
  <si>
    <t xml:space="preserve">Тарифная ставка рабочего 1 разряда    </t>
  </si>
  <si>
    <t xml:space="preserve">руб.  </t>
  </si>
  <si>
    <t xml:space="preserve">2.2.   </t>
  </si>
  <si>
    <t xml:space="preserve">Дефлятор по заработной плате          </t>
  </si>
  <si>
    <t xml:space="preserve">2.3.   </t>
  </si>
  <si>
    <t>Тарифная ставка  рабочего  1 разряда с учетом дефлятора</t>
  </si>
  <si>
    <t xml:space="preserve">2.4.   </t>
  </si>
  <si>
    <t xml:space="preserve">Средняя ступень оплаты                </t>
  </si>
  <si>
    <t xml:space="preserve">2.5.   </t>
  </si>
  <si>
    <t xml:space="preserve">Тарифный коэффициент, соответствующий ступени по оплате труда </t>
  </si>
  <si>
    <t xml:space="preserve">2.6.   </t>
  </si>
  <si>
    <t xml:space="preserve">Среднемесячная тарифная ставка ППП    </t>
  </si>
  <si>
    <t xml:space="preserve">- " -  </t>
  </si>
  <si>
    <t xml:space="preserve">2.7.   </t>
  </si>
  <si>
    <t>электромат.+из цех.износ спецод.</t>
  </si>
  <si>
    <t>относящегося к передаче эл.энергии</t>
  </si>
  <si>
    <t>в тарифе</t>
  </si>
  <si>
    <t>затраты</t>
  </si>
  <si>
    <t>.</t>
  </si>
  <si>
    <t>работников, относящихся к передаче эл.энергии</t>
  </si>
  <si>
    <t>Другие затраты, относимые на себестоимость продукции (из ОХР- прочие), всего</t>
  </si>
  <si>
    <t>часов в год</t>
  </si>
  <si>
    <t>Уровень напряжения</t>
  </si>
  <si>
    <t>Ставка за содержание электрических сетей</t>
  </si>
  <si>
    <t xml:space="preserve">Ставка </t>
  </si>
  <si>
    <t>Тариф на услуги по передаче электрической энергии</t>
  </si>
  <si>
    <t>за оплату потерь электрической энергии в сетях</t>
  </si>
  <si>
    <r>
      <t>Т</t>
    </r>
    <r>
      <rPr>
        <b/>
        <vertAlign val="superscript"/>
        <sz val="11"/>
        <rFont val="Times New Roman"/>
        <family val="1"/>
        <charset val="204"/>
      </rPr>
      <t>СОД</t>
    </r>
  </si>
  <si>
    <r>
      <t>Т</t>
    </r>
    <r>
      <rPr>
        <b/>
        <vertAlign val="superscript"/>
        <sz val="11"/>
        <rFont val="Times New Roman"/>
        <family val="1"/>
        <charset val="204"/>
      </rPr>
      <t>ПОТ</t>
    </r>
  </si>
  <si>
    <t>руб./МВт.ч.</t>
  </si>
  <si>
    <t>Расчет доли НВВ на потребителя</t>
  </si>
  <si>
    <t>МВт.ч</t>
  </si>
  <si>
    <t>собств.потреб.</t>
  </si>
  <si>
    <t>СН2</t>
  </si>
  <si>
    <t>итого МВт.ч</t>
  </si>
  <si>
    <t>проверка по поступл.</t>
  </si>
  <si>
    <t>Тариф покупки потерь на потребителя, руб/МВтч -</t>
  </si>
  <si>
    <t>Число месяцев работы М = 12</t>
  </si>
  <si>
    <t>НВВ потр. на уч.передачи, руб.</t>
  </si>
  <si>
    <r>
      <t xml:space="preserve">НВВ </t>
    </r>
    <r>
      <rPr>
        <b/>
        <vertAlign val="superscript"/>
        <sz val="10"/>
        <color indexed="56"/>
        <rFont val="Times New Roman"/>
        <family val="1"/>
        <charset val="204"/>
      </rPr>
      <t>ПО</t>
    </r>
    <r>
      <rPr>
        <b/>
        <sz val="10"/>
        <color indexed="56"/>
        <rFont val="Times New Roman"/>
        <family val="1"/>
        <charset val="204"/>
      </rPr>
      <t xml:space="preserve"> в доле на потребит., руб.</t>
    </r>
  </si>
  <si>
    <r>
      <t>N</t>
    </r>
    <r>
      <rPr>
        <b/>
        <vertAlign val="superscript"/>
        <sz val="10"/>
        <color indexed="56"/>
        <rFont val="Times New Roman"/>
        <family val="1"/>
        <charset val="204"/>
      </rPr>
      <t>ПО</t>
    </r>
    <r>
      <rPr>
        <b/>
        <sz val="10"/>
        <color indexed="56"/>
        <rFont val="Times New Roman"/>
        <family val="1"/>
        <charset val="204"/>
      </rPr>
      <t>, Мвт (заявл.мощн.                              потреб.)</t>
    </r>
  </si>
  <si>
    <t>Потери на потреб., МВт.ч (переток)</t>
  </si>
  <si>
    <t>Ставка на оплату (потерь),      руб./МВтч</t>
  </si>
  <si>
    <t xml:space="preserve">Затраты потерь на потреб. (ЗПОТ),                  руб. </t>
  </si>
  <si>
    <r>
      <rPr>
        <b/>
        <sz val="11"/>
        <color indexed="56"/>
        <rFont val="Times New Roman"/>
        <family val="1"/>
        <charset val="204"/>
      </rPr>
      <t>Р</t>
    </r>
    <r>
      <rPr>
        <b/>
        <vertAlign val="superscript"/>
        <sz val="11"/>
        <color indexed="56"/>
        <rFont val="Times New Roman"/>
        <family val="1"/>
        <charset val="204"/>
      </rPr>
      <t>СОД</t>
    </r>
    <r>
      <rPr>
        <b/>
        <sz val="10"/>
        <color indexed="56"/>
        <rFont val="Times New Roman"/>
        <family val="1"/>
        <charset val="204"/>
      </rPr>
      <t>,                            руб. в год</t>
    </r>
  </si>
  <si>
    <r>
      <rPr>
        <b/>
        <sz val="11"/>
        <color indexed="56"/>
        <rFont val="Times New Roman"/>
        <family val="1"/>
        <charset val="204"/>
      </rPr>
      <t>Р</t>
    </r>
    <r>
      <rPr>
        <b/>
        <vertAlign val="superscript"/>
        <sz val="11"/>
        <color indexed="56"/>
        <rFont val="Times New Roman"/>
        <family val="1"/>
        <charset val="204"/>
      </rPr>
      <t>ПОТ</t>
    </r>
    <r>
      <rPr>
        <b/>
        <sz val="11"/>
        <color indexed="56"/>
        <rFont val="Times New Roman"/>
        <family val="1"/>
        <charset val="204"/>
      </rPr>
      <t xml:space="preserve">,                               </t>
    </r>
    <r>
      <rPr>
        <b/>
        <sz val="10"/>
        <color indexed="56"/>
        <rFont val="Times New Roman"/>
        <family val="1"/>
        <charset val="204"/>
      </rPr>
      <t>руб. в год</t>
    </r>
  </si>
  <si>
    <r>
      <t>ТС</t>
    </r>
    <r>
      <rPr>
        <b/>
        <vertAlign val="superscript"/>
        <sz val="10"/>
        <color indexed="9"/>
        <rFont val="Times New Roman"/>
        <family val="1"/>
        <charset val="204"/>
      </rPr>
      <t>СОД.</t>
    </r>
    <r>
      <rPr>
        <b/>
        <sz val="10"/>
        <color indexed="9"/>
        <rFont val="Times New Roman"/>
        <family val="1"/>
        <charset val="204"/>
      </rPr>
      <t>, руб./МВт.мес.</t>
    </r>
  </si>
  <si>
    <r>
      <t>ТС</t>
    </r>
    <r>
      <rPr>
        <b/>
        <vertAlign val="superscript"/>
        <sz val="10"/>
        <color indexed="9"/>
        <rFont val="Times New Roman"/>
        <family val="1"/>
        <charset val="204"/>
      </rPr>
      <t>ПОТ.</t>
    </r>
    <r>
      <rPr>
        <b/>
        <sz val="10"/>
        <color indexed="9"/>
        <rFont val="Times New Roman"/>
        <family val="1"/>
        <charset val="204"/>
      </rPr>
      <t>,                                    руб./МВт.ч.</t>
    </r>
  </si>
  <si>
    <t>Т № П 1.24</t>
  </si>
  <si>
    <t>Т № П 1.30</t>
  </si>
  <si>
    <t>Т № П 1.25</t>
  </si>
  <si>
    <t>ф-ла (15.21)</t>
  </si>
  <si>
    <t>ф-ла (15.22)</t>
  </si>
  <si>
    <t>ф-ла (15.23)</t>
  </si>
  <si>
    <t>ф-ла (15.24)</t>
  </si>
  <si>
    <t>за содержание электрических сетей</t>
  </si>
  <si>
    <t>за оплату потерь эл.эн. в сетях на потребителя</t>
  </si>
  <si>
    <t>итого</t>
  </si>
  <si>
    <t>по рассчитанному индивидуальному межсетевому тарифу</t>
  </si>
  <si>
    <t>должно быть по Т № П 1.27</t>
  </si>
  <si>
    <t xml:space="preserve"> Расчет индивидуального межсетевого тарифа на услуги по передаче электрической энергии  для взаиморасчетов </t>
  </si>
  <si>
    <t>СЗН</t>
  </si>
  <si>
    <t>Организация культмассовых мероприятий (приобретение детских новогодних подарков, проведение праздников и др.)</t>
  </si>
  <si>
    <t xml:space="preserve">Балансовая стоимость        </t>
  </si>
  <si>
    <t>Средняя за отчетный период стоимость (остаточная) основных производственных фондов</t>
  </si>
  <si>
    <t>амортиз.</t>
  </si>
  <si>
    <t>ост.ст.на 01.01.11</t>
  </si>
  <si>
    <t>цех.с-сть</t>
  </si>
  <si>
    <r>
      <t>Сборы</t>
    </r>
    <r>
      <rPr>
        <sz val="10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 xml:space="preserve">и страхование </t>
    </r>
    <r>
      <rPr>
        <sz val="10"/>
        <rFont val="Times New Roman"/>
        <family val="1"/>
        <charset val="204"/>
      </rPr>
      <t>(ДМС, имущества, ОСАГО, пенсионное, особо опасных объектов)</t>
    </r>
  </si>
  <si>
    <t>Затраты по охране ОС</t>
  </si>
  <si>
    <t>Охрана труда и ТБ</t>
  </si>
  <si>
    <t>Услуги связи</t>
  </si>
  <si>
    <t>Аудиторские услуги и оценка хоз.деятельности</t>
  </si>
  <si>
    <t>Командировочные расходы, суточные</t>
  </si>
  <si>
    <t>ОХР</t>
  </si>
  <si>
    <t>Плата за предельно допустимые  выбросы (сбросы) загрязняющих веществ (охрана ОС)</t>
  </si>
  <si>
    <t>Расходы социального характера - выплаты и льготы работникам  (премии к праздничным датами, поощрения к юбилеям, прочие премии из прибыли)</t>
  </si>
  <si>
    <t>амортизация РП и линий электропередач</t>
  </si>
  <si>
    <t>16 час.в день,  за "_" воскрес.</t>
  </si>
  <si>
    <t>Единые (котловые) тарифы на услуги по передаче электрической энергии на 2010 г.</t>
  </si>
  <si>
    <t>Число часов</t>
  </si>
  <si>
    <t xml:space="preserve">использования  </t>
  </si>
  <si>
    <t xml:space="preserve">заявленной мощности, час  </t>
  </si>
  <si>
    <t xml:space="preserve">СН2 несетевые </t>
  </si>
  <si>
    <t>Ставка за оплату потерь электрической энергии в сетях</t>
  </si>
  <si>
    <r>
      <t>Т</t>
    </r>
    <r>
      <rPr>
        <b/>
        <vertAlign val="superscript"/>
        <sz val="12"/>
        <rFont val="Times New Roman"/>
        <family val="1"/>
        <charset val="204"/>
      </rPr>
      <t>СОД</t>
    </r>
  </si>
  <si>
    <r>
      <t>Т</t>
    </r>
    <r>
      <rPr>
        <b/>
        <vertAlign val="superscript"/>
        <sz val="12"/>
        <rFont val="Times New Roman"/>
        <family val="1"/>
        <charset val="204"/>
      </rPr>
      <t>ПОТ</t>
    </r>
  </si>
  <si>
    <t>МРСК</t>
  </si>
  <si>
    <t>Показатели</t>
  </si>
  <si>
    <t>Полезный отпуск</t>
  </si>
  <si>
    <t>Единый (котловой) тариф</t>
  </si>
  <si>
    <r>
      <t xml:space="preserve">Платежи за год, </t>
    </r>
    <r>
      <rPr>
        <b/>
        <sz val="11"/>
        <rFont val="Times New Roman"/>
        <family val="1"/>
        <charset val="204"/>
      </rPr>
      <t>тыс.руб.</t>
    </r>
  </si>
  <si>
    <t>двухставочный</t>
  </si>
  <si>
    <t>одно- ставочный</t>
  </si>
  <si>
    <t>по расчету УГРКЭ</t>
  </si>
  <si>
    <t>Мощность, Мвт</t>
  </si>
  <si>
    <t>ЭЭ, тыс.кВт.ч</t>
  </si>
  <si>
    <t>Ставка за содержание электрических сетей,                                    руб./ МВт.мес.</t>
  </si>
  <si>
    <t>Ставка за оплату потерь электрической энергии в сетях, руб./МВт.ч</t>
  </si>
  <si>
    <t>по факту потребления электро- энергии, руб./МВт.ч</t>
  </si>
  <si>
    <t>Содержание</t>
  </si>
  <si>
    <t>Потери</t>
  </si>
  <si>
    <t>8= ст.3 х ст.5 х 12 мес.</t>
  </si>
  <si>
    <t>9= ст.4 х ст.6</t>
  </si>
  <si>
    <t>10=8+9</t>
  </si>
  <si>
    <t>потери, тыс.руб.</t>
  </si>
  <si>
    <t>I.</t>
  </si>
  <si>
    <t>Необходимая валовая выручка (НВВ)</t>
  </si>
  <si>
    <t>Тарифная выручка</t>
  </si>
  <si>
    <t>Строка проверки</t>
  </si>
  <si>
    <t>II.</t>
  </si>
  <si>
    <t>по двухставочному тарифу</t>
  </si>
  <si>
    <t>по одноставочному тарифу</t>
  </si>
  <si>
    <t>Полезный отпуск всего</t>
  </si>
  <si>
    <t xml:space="preserve">в т.ч.  СН II несетевым организациям </t>
  </si>
  <si>
    <r>
      <t xml:space="preserve">           НН несетевым организациям </t>
    </r>
    <r>
      <rPr>
        <sz val="11"/>
        <color indexed="10"/>
        <rFont val="Times New Roman"/>
        <family val="1"/>
        <charset val="204"/>
      </rPr>
      <t>(НАСЕЛЕНИЕ)</t>
    </r>
  </si>
  <si>
    <t>III.</t>
  </si>
  <si>
    <t>Сальдо-переток</t>
  </si>
  <si>
    <t>Индивидуальный тариф</t>
  </si>
  <si>
    <t>руб./ МВт.мес.</t>
  </si>
  <si>
    <t>ОАО "МРСК Волги"</t>
  </si>
  <si>
    <t>IV.</t>
  </si>
  <si>
    <t>тыс.кВт.ч</t>
  </si>
  <si>
    <t>Тариф покупки потерь на потребителя -</t>
  </si>
  <si>
    <t>руб./тыс.кВт.ч</t>
  </si>
  <si>
    <r>
      <t>Э</t>
    </r>
    <r>
      <rPr>
        <b/>
        <vertAlign val="superscript"/>
        <sz val="10"/>
        <color indexed="56"/>
        <rFont val="Times New Roman"/>
        <family val="1"/>
        <charset val="204"/>
      </rPr>
      <t>ПО</t>
    </r>
    <r>
      <rPr>
        <b/>
        <sz val="10"/>
        <color indexed="56"/>
        <rFont val="Times New Roman"/>
        <family val="1"/>
        <charset val="204"/>
      </rPr>
      <t>, МВт.ч (Полезный отпуск)</t>
    </r>
  </si>
  <si>
    <r>
      <t>Т</t>
    </r>
    <r>
      <rPr>
        <b/>
        <vertAlign val="superscript"/>
        <sz val="9"/>
        <color indexed="10"/>
        <rFont val="Times New Roman"/>
        <family val="1"/>
        <charset val="204"/>
      </rPr>
      <t>СОД</t>
    </r>
    <r>
      <rPr>
        <b/>
        <sz val="9"/>
        <color indexed="10"/>
        <rFont val="Times New Roman"/>
        <family val="1"/>
        <charset val="204"/>
      </rPr>
      <t xml:space="preserve"> * N</t>
    </r>
    <r>
      <rPr>
        <b/>
        <vertAlign val="superscript"/>
        <sz val="9"/>
        <color indexed="10"/>
        <rFont val="Times New Roman"/>
        <family val="1"/>
        <charset val="204"/>
      </rPr>
      <t xml:space="preserve">ПО </t>
    </r>
    <r>
      <rPr>
        <b/>
        <sz val="9"/>
        <color indexed="10"/>
        <rFont val="Times New Roman"/>
        <family val="1"/>
        <charset val="204"/>
      </rPr>
      <t xml:space="preserve">* М - НВВ </t>
    </r>
    <r>
      <rPr>
        <b/>
        <vertAlign val="superscript"/>
        <sz val="9"/>
        <color indexed="10"/>
        <rFont val="Times New Roman"/>
        <family val="1"/>
        <charset val="204"/>
      </rPr>
      <t>ПО</t>
    </r>
  </si>
  <si>
    <r>
      <t>Т</t>
    </r>
    <r>
      <rPr>
        <b/>
        <vertAlign val="superscript"/>
        <sz val="9"/>
        <color indexed="10"/>
        <rFont val="Times New Roman"/>
        <family val="1"/>
        <charset val="204"/>
      </rPr>
      <t>ПОТ</t>
    </r>
    <r>
      <rPr>
        <b/>
        <sz val="9"/>
        <color indexed="10"/>
        <rFont val="Times New Roman"/>
        <family val="1"/>
        <charset val="204"/>
      </rPr>
      <t xml:space="preserve"> * Э</t>
    </r>
    <r>
      <rPr>
        <b/>
        <vertAlign val="superscript"/>
        <sz val="9"/>
        <color indexed="10"/>
        <rFont val="Times New Roman"/>
        <family val="1"/>
        <charset val="204"/>
      </rPr>
      <t xml:space="preserve">ПО </t>
    </r>
    <r>
      <rPr>
        <b/>
        <sz val="9"/>
        <color indexed="10"/>
        <rFont val="Times New Roman"/>
        <family val="1"/>
        <charset val="204"/>
      </rPr>
      <t>- З</t>
    </r>
    <r>
      <rPr>
        <b/>
        <vertAlign val="superscript"/>
        <sz val="9"/>
        <color indexed="10"/>
        <rFont val="Times New Roman"/>
        <family val="1"/>
        <charset val="204"/>
      </rPr>
      <t>ПОТ</t>
    </r>
  </si>
  <si>
    <r>
      <t>Р</t>
    </r>
    <r>
      <rPr>
        <b/>
        <vertAlign val="superscript"/>
        <sz val="9"/>
        <color indexed="10"/>
        <rFont val="Times New Roman"/>
        <family val="1"/>
        <charset val="204"/>
      </rPr>
      <t>СОД /</t>
    </r>
    <r>
      <rPr>
        <b/>
        <sz val="9"/>
        <color indexed="10"/>
        <rFont val="Times New Roman"/>
        <family val="1"/>
        <charset val="204"/>
      </rPr>
      <t xml:space="preserve"> (N * М)</t>
    </r>
  </si>
  <si>
    <r>
      <t>Р</t>
    </r>
    <r>
      <rPr>
        <b/>
        <vertAlign val="superscript"/>
        <sz val="9"/>
        <color indexed="10"/>
        <rFont val="Times New Roman"/>
        <family val="1"/>
        <charset val="204"/>
      </rPr>
      <t xml:space="preserve">ПОТ / </t>
    </r>
    <r>
      <rPr>
        <b/>
        <sz val="9"/>
        <color indexed="10"/>
        <rFont val="Times New Roman"/>
        <family val="1"/>
        <charset val="204"/>
      </rPr>
      <t>Э</t>
    </r>
    <r>
      <rPr>
        <b/>
        <vertAlign val="superscript"/>
        <sz val="9"/>
        <color indexed="10"/>
        <rFont val="Times New Roman"/>
        <family val="1"/>
        <charset val="204"/>
      </rPr>
      <t>ПЕРЕТ</t>
    </r>
  </si>
  <si>
    <t>с потер.</t>
  </si>
  <si>
    <t>пол.отп.</t>
  </si>
  <si>
    <t>НН несетевым</t>
  </si>
  <si>
    <r>
      <t>Э</t>
    </r>
    <r>
      <rPr>
        <b/>
        <vertAlign val="superscript"/>
        <sz val="10"/>
        <color indexed="56"/>
        <rFont val="Times New Roman"/>
        <family val="1"/>
        <charset val="204"/>
      </rPr>
      <t>ПЕРЕТОК</t>
    </r>
    <r>
      <rPr>
        <b/>
        <sz val="10"/>
        <color indexed="56"/>
        <rFont val="Times New Roman"/>
        <family val="1"/>
        <charset val="204"/>
      </rPr>
      <t>, МВт.ч (Переток)</t>
    </r>
  </si>
  <si>
    <t>9=7+8</t>
  </si>
  <si>
    <t>потребит</t>
  </si>
  <si>
    <t>СН2 несетев.</t>
  </si>
  <si>
    <t>СН2 сетев.</t>
  </si>
  <si>
    <t>НН несетев.</t>
  </si>
  <si>
    <t>НН сетев.</t>
  </si>
  <si>
    <t>6=4+5</t>
  </si>
  <si>
    <t>3 тарифа для взаиморасчетов с</t>
  </si>
  <si>
    <t>гр.11=гр.8 * Тариф покупки потерь на потреб.</t>
  </si>
  <si>
    <t>ООО "Энерго" тариф</t>
  </si>
  <si>
    <t>СН2 сетевым ООО "Энерго"</t>
  </si>
  <si>
    <t>по одностав.</t>
  </si>
  <si>
    <t>ООО "Энерго"</t>
  </si>
  <si>
    <t xml:space="preserve"> 1) ОАО "МРСК"- вышестоящая</t>
  </si>
  <si>
    <t>Население</t>
  </si>
  <si>
    <t>чччи</t>
  </si>
  <si>
    <t>(общероссийской) электрической сети</t>
  </si>
  <si>
    <t>оперативно-диспетчерскому управлению в электроэнергетике,</t>
  </si>
  <si>
    <t>организации функционирования торговой системы оптового</t>
  </si>
  <si>
    <t>рынка электрической энергии (мощности), передаче</t>
  </si>
  <si>
    <t>электрической энергии по единой национальной</t>
  </si>
  <si>
    <t>СН2 несет.(насел.)</t>
  </si>
  <si>
    <t>Баланс электрической энергии</t>
  </si>
  <si>
    <t>(наименование сетевой организации)</t>
  </si>
  <si>
    <t>Объемы потребления</t>
  </si>
  <si>
    <t xml:space="preserve">Всего </t>
  </si>
  <si>
    <t>Уровни напряжения</t>
  </si>
  <si>
    <t>СОБСТВЕННОЕ ПОТРЕБЛЕНИЕ</t>
  </si>
  <si>
    <t>Электрическая энергия, тыс.кВтч</t>
  </si>
  <si>
    <t>Мощность, МВт</t>
  </si>
  <si>
    <t>ПОТЕРИ ПРИ ПЕРЕДАЧЕ ПО ЭЛЕКТРИЧЕСКИМ СЕТЯМ</t>
  </si>
  <si>
    <t>ПОЛЕЗНЫЙ ОТПУСК</t>
  </si>
  <si>
    <t>Всего:</t>
  </si>
  <si>
    <t>Прочие потребители</t>
  </si>
  <si>
    <t>ПЕРЕДАЧА ПО ТРАНЗИТУ</t>
  </si>
  <si>
    <t xml:space="preserve">                      М.П.</t>
  </si>
  <si>
    <t xml:space="preserve">                          М.П.</t>
  </si>
  <si>
    <t>Таблица № П1.30</t>
  </si>
  <si>
    <t>(в ред. Приказа ФСТ РФ от 31.07.2007 № 138-э/6)</t>
  </si>
  <si>
    <t>Отпуск (передача) электроэнергии территориальными сетевыми организациями</t>
  </si>
  <si>
    <t>Отпуск ЭЭ, тыс. кВт·ч</t>
  </si>
  <si>
    <t>Заявленная мощность, МВт</t>
  </si>
  <si>
    <t>Присоединенная мощность, МВА</t>
  </si>
  <si>
    <t>Товарная продукция, тыс. руб.</t>
  </si>
  <si>
    <t>1</t>
  </si>
  <si>
    <t>Поступление электроэнергии в сеть - всего</t>
  </si>
  <si>
    <t>в т.ч. из</t>
  </si>
  <si>
    <t>1.1</t>
  </si>
  <si>
    <t>1.2</t>
  </si>
  <si>
    <t>сетевых организаций</t>
  </si>
  <si>
    <t>1.2.1</t>
  </si>
  <si>
    <t>1.2.2</t>
  </si>
  <si>
    <t>2</t>
  </si>
  <si>
    <t>Потери электроэнергии - всего</t>
  </si>
  <si>
    <t>3</t>
  </si>
  <si>
    <t>Отпуск (передача) электроэнергии сетевыми предприятиями - всего</t>
  </si>
  <si>
    <t>3.1</t>
  </si>
  <si>
    <t>не сетевым организациям</t>
  </si>
  <si>
    <t>3.2</t>
  </si>
  <si>
    <t>сетевым организациям</t>
  </si>
  <si>
    <t>также в сальдированном выражении (п. 3.2.1 - п. 1.2.1)</t>
  </si>
  <si>
    <t>3.2.2</t>
  </si>
  <si>
    <t>3.2.2.1</t>
  </si>
  <si>
    <t>также в сальдированном выражении (п. 3.2.2 - п. 1.2.2)</t>
  </si>
  <si>
    <t>4</t>
  </si>
  <si>
    <t>Поступление электроэнергии в ЕНЭС</t>
  </si>
  <si>
    <t>4.1</t>
  </si>
  <si>
    <t>не сетевых организаций</t>
  </si>
  <si>
    <t>4.2</t>
  </si>
  <si>
    <t>4.2.1</t>
  </si>
  <si>
    <t>сетевой организации 1</t>
  </si>
  <si>
    <t>4.2.2</t>
  </si>
  <si>
    <t>сетевой организации 2</t>
  </si>
  <si>
    <t>5</t>
  </si>
  <si>
    <t>Потери электроэнергии</t>
  </si>
  <si>
    <t>6</t>
  </si>
  <si>
    <t>Отпуск (передача) электроэнергии</t>
  </si>
  <si>
    <t>6.1</t>
  </si>
  <si>
    <t>6.2</t>
  </si>
  <si>
    <t>6.2.1</t>
  </si>
  <si>
    <t>6.2.1.1</t>
  </si>
  <si>
    <t>также в сальдированном выражении (п. 6.2.1 - п. 4.2.1)</t>
  </si>
  <si>
    <t>6.2.2</t>
  </si>
  <si>
    <t>6.2.2.1</t>
  </si>
  <si>
    <t>также в сальдированном выражении (п. 6.2.2 - п. 4.2.2)</t>
  </si>
  <si>
    <t>7</t>
  </si>
  <si>
    <t>Трансформировано из сети ЕНЭС в:</t>
  </si>
  <si>
    <t>8</t>
  </si>
  <si>
    <t>- ВН</t>
  </si>
  <si>
    <t>9</t>
  </si>
  <si>
    <t>- СН1</t>
  </si>
  <si>
    <t>10</t>
  </si>
  <si>
    <t>- СН2</t>
  </si>
  <si>
    <t>11</t>
  </si>
  <si>
    <t>- НН</t>
  </si>
  <si>
    <t>12</t>
  </si>
  <si>
    <t>Поступление электроэнергии в сеть ВН 110 кВ</t>
  </si>
  <si>
    <t>12.1</t>
  </si>
  <si>
    <t>12.2</t>
  </si>
  <si>
    <t>12.2.1</t>
  </si>
  <si>
    <t>12.2.2</t>
  </si>
  <si>
    <t>13</t>
  </si>
  <si>
    <t>14</t>
  </si>
  <si>
    <t>14.1</t>
  </si>
  <si>
    <t>14.2</t>
  </si>
  <si>
    <t>также в сальдированном выражении (п. 14.2.1 - п. 12.2.1)</t>
  </si>
  <si>
    <t>14.2.2</t>
  </si>
  <si>
    <t>14.2.2.1</t>
  </si>
  <si>
    <t>также в сальдированном выражении (п. 14.2.2 - п. 12.2.2)</t>
  </si>
  <si>
    <t>15</t>
  </si>
  <si>
    <t>Трансформировано из 110 кВ в:</t>
  </si>
  <si>
    <t>16</t>
  </si>
  <si>
    <t>17</t>
  </si>
  <si>
    <t>18</t>
  </si>
  <si>
    <t>19</t>
  </si>
  <si>
    <t>Поступление электроэнергии в сеть СН1</t>
  </si>
  <si>
    <t>19.1</t>
  </si>
  <si>
    <t>19.2</t>
  </si>
  <si>
    <t>в т.ч из</t>
  </si>
  <si>
    <t>19.2.1</t>
  </si>
  <si>
    <t>19.2.2</t>
  </si>
  <si>
    <t>20</t>
  </si>
  <si>
    <t>21</t>
  </si>
  <si>
    <t>21.1</t>
  </si>
  <si>
    <t>21.2</t>
  </si>
  <si>
    <t>21.2.1</t>
  </si>
  <si>
    <t>21.2.1.1</t>
  </si>
  <si>
    <t>также в сальдированном выражении (п. 21.2.1- п. 19.2.1)</t>
  </si>
  <si>
    <t>21.2.2</t>
  </si>
  <si>
    <t>21.2.2.1</t>
  </si>
  <si>
    <t>также в сальдированном выражении (п. 21.2.2 - п. 19.2.2)</t>
  </si>
  <si>
    <t>22</t>
  </si>
  <si>
    <t>Трансформировано из 35 кВ в:</t>
  </si>
  <si>
    <t>23</t>
  </si>
  <si>
    <t>24</t>
  </si>
  <si>
    <t>25</t>
  </si>
  <si>
    <t>Поступление электроэнергии в сеть СН2</t>
  </si>
  <si>
    <t>25.1</t>
  </si>
  <si>
    <t>25.2</t>
  </si>
  <si>
    <t>25.2.1</t>
  </si>
  <si>
    <t>25.2.2</t>
  </si>
  <si>
    <t>26</t>
  </si>
  <si>
    <t>27</t>
  </si>
  <si>
    <t>27.1</t>
  </si>
  <si>
    <t>27.2</t>
  </si>
  <si>
    <t>также в сальдированном выражении (п. 27.2.1 - п. 25.2.1)</t>
  </si>
  <si>
    <t>27.2.2</t>
  </si>
  <si>
    <t>27.2.2.1</t>
  </si>
  <si>
    <t>также в сальдированном выражении (п. 27.2.2 - п. 25.2.2)</t>
  </si>
  <si>
    <t>28</t>
  </si>
  <si>
    <t>Трансформировано из 10-6 кВ в:</t>
  </si>
  <si>
    <t>29</t>
  </si>
  <si>
    <t>30</t>
  </si>
  <si>
    <t>Поступление электроэнергии в сеть НН</t>
  </si>
  <si>
    <t>30.1</t>
  </si>
  <si>
    <t>30.2</t>
  </si>
  <si>
    <t>30.2.1</t>
  </si>
  <si>
    <t>30.2.2</t>
  </si>
  <si>
    <t>31</t>
  </si>
  <si>
    <t>32</t>
  </si>
  <si>
    <t>32.2.1</t>
  </si>
  <si>
    <t>32.2.1.1</t>
  </si>
  <si>
    <t>также в сальдированном выражении (п. 32.2.1 - п. 30.2.1)</t>
  </si>
  <si>
    <t>32.2.2</t>
  </si>
  <si>
    <t>32.2.2.1</t>
  </si>
  <si>
    <t>также в сальдированном выражении (п. 32.2.2 - п. 30.2.2)</t>
  </si>
  <si>
    <r>
      <t>N</t>
    </r>
    <r>
      <rPr>
        <b/>
        <vertAlign val="superscript"/>
        <sz val="10"/>
        <color indexed="56"/>
        <rFont val="Times New Roman"/>
        <family val="1"/>
        <charset val="204"/>
      </rPr>
      <t>на потери</t>
    </r>
    <r>
      <rPr>
        <b/>
        <sz val="10"/>
        <color indexed="56"/>
        <rFont val="Times New Roman"/>
        <family val="1"/>
        <charset val="204"/>
      </rPr>
      <t>, Мвт (заявл.мощн.                   на потери)</t>
    </r>
  </si>
  <si>
    <t>ИТОГО N                                    (Т № П 1.30)</t>
  </si>
  <si>
    <t xml:space="preserve">НН несетевые </t>
  </si>
  <si>
    <t xml:space="preserve"> СН2 население</t>
  </si>
  <si>
    <t>одност. руб./МВт.ч</t>
  </si>
  <si>
    <t>проверка по 2-х став.</t>
  </si>
  <si>
    <t>2011 г.</t>
  </si>
  <si>
    <t>П1.30</t>
  </si>
  <si>
    <t>≈</t>
  </si>
  <si>
    <t xml:space="preserve">В п.1 учтены трудозатраты оперативного персонала подстанций напряжением 35-1150 кВ. </t>
  </si>
  <si>
    <t>Условные единицы по пп.2-9 учитывают трудозатраты по обслуживанию и ремонту оборудования, не включенного в номенклатуру условных единиц (трансформаторы напряжения, аккумуляторные батареи, сборные шины и т.д.), резервного оборудования.</t>
  </si>
  <si>
    <t xml:space="preserve">Условные единицы по п 2 "Силовые трансформаторы 1-20 кВ" определяются только для трансформаторов, используемых для собственных нужд подстанций 35-1150 кВ.  </t>
  </si>
  <si>
    <t>По пп. 3-6 учтены дополнительные трудозатраты на обслуживание и ремонт устройств релейной защиты  и автоматики, а для воздушных выключателей (п.3) - дополнительно трудозатраты по обслуживанию и ремонту компрессорных установок.</t>
  </si>
  <si>
    <t>Значение условных единиц пп.4 и 6  "Масляные выключатели  1-20 кВ" и "Выключатели нагрузки 1-20 кВ" относятся к коммутационным аппаратам, установленным в распределительных устройствах  1-20 кВ подстанций 35-1150 кВ , ТП, КТП и РП 1-20 кВ , а так же к секц</t>
  </si>
  <si>
    <t>Объем РП 1-20 кВ в условных единицах определяется по количеству установленных масляных выключателей (п.4) и выключателей нагрузки (п.6). При установке в РП трансформаторов 1-20/0,4 кВ дополнительные объемы обслуживания определяются по п.11 или  12.</t>
  </si>
  <si>
    <t>По пп.10-12 дополнительно учтены трудозатраты оперативного персонала распределительных сетей 0,4-20 кВ.</t>
  </si>
  <si>
    <t xml:space="preserve">По пп.1,2 условные единицы относятся на уровень напряжения, соответствующий первичному напряжению. </t>
  </si>
  <si>
    <t>Условные единицы электрооборудования понизительных подстанций относятся на уровень высшего напряжения</t>
  </si>
  <si>
    <t>Население, проживающее в городских населенных пунктах, оборудованных в установленном порядке стационарными газовыми плитами, а также потребители городских населенных пунктов, приравненные к населению</t>
  </si>
  <si>
    <t>Население, проживающее в домах, оборудованных в установленном порядке стационарными электроплитами;                                                                                                                                                                                          население, проживающее в сельских населенных пунктах, а также потребители сельских населенных пунктов,                                                                                               приравненные к населению</t>
  </si>
  <si>
    <t>ОАО "Самараэнерго"</t>
  </si>
  <si>
    <t>______________________  М. В. Сойфер</t>
  </si>
  <si>
    <t>на передачу</t>
  </si>
  <si>
    <t>Прибыль на социальное развитие, оздоровление и отдых</t>
  </si>
  <si>
    <t>2009г.</t>
  </si>
  <si>
    <t>т.р.</t>
  </si>
  <si>
    <t>на 1-ого раб.</t>
  </si>
  <si>
    <t>9 мес.2010 г.</t>
  </si>
  <si>
    <t>начисл.</t>
  </si>
  <si>
    <t>доп.</t>
  </si>
  <si>
    <t>Согласно предоставленному штатному расписанию службы энергомеханического обеспечения</t>
  </si>
  <si>
    <t>производственных рабочих, относящихся к передаче эл.энергии</t>
  </si>
  <si>
    <r>
      <t>тарифная ставка (оклад) в месяц производственных рабочих участка энергоснабжения (4 чел.) - 30 070,00 руб</t>
    </r>
    <r>
      <rPr>
        <b/>
        <i/>
        <sz val="11"/>
        <rFont val="Times New Roman Cyr"/>
        <charset val="204"/>
      </rPr>
      <t>.,</t>
    </r>
  </si>
  <si>
    <t>тарифная ставка (оклад) в месяц всех рабочих службы ЭМО (15,5 чел.) - 98 604,60 руб.</t>
  </si>
  <si>
    <t>Поставщик</t>
  </si>
  <si>
    <t>Дата</t>
  </si>
  <si>
    <t>Счет-фактура</t>
  </si>
  <si>
    <r>
      <t xml:space="preserve">Сумма,                               </t>
    </r>
    <r>
      <rPr>
        <b/>
        <sz val="10"/>
        <rFont val="Times New Roman"/>
        <family val="1"/>
        <charset val="204"/>
      </rPr>
      <t>руб.</t>
    </r>
    <r>
      <rPr>
        <sz val="10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 xml:space="preserve">                              </t>
    </r>
    <r>
      <rPr>
        <sz val="10"/>
        <rFont val="Times New Roman"/>
        <family val="1"/>
        <charset val="204"/>
      </rPr>
      <t xml:space="preserve"> с НДС</t>
    </r>
  </si>
  <si>
    <r>
      <t xml:space="preserve">Сумма,                               </t>
    </r>
    <r>
      <rPr>
        <b/>
        <sz val="10"/>
        <rFont val="Times New Roman"/>
        <family val="1"/>
        <charset val="204"/>
      </rPr>
      <t xml:space="preserve">руб.  </t>
    </r>
    <r>
      <rPr>
        <sz val="12"/>
        <rFont val="Times New Roman"/>
        <family val="1"/>
        <charset val="204"/>
      </rPr>
      <t xml:space="preserve">       </t>
    </r>
    <r>
      <rPr>
        <sz val="10"/>
        <rFont val="Times New Roman"/>
        <family val="1"/>
        <charset val="204"/>
      </rPr>
      <t xml:space="preserve">                       с НДС</t>
    </r>
  </si>
  <si>
    <t>хоз.способ</t>
  </si>
  <si>
    <t>Вспомогательные материалы при выполнении работ по ремонту и техническому обслуживанию</t>
  </si>
  <si>
    <t>Расходы по содержанию и эксплуатации оборудования</t>
  </si>
  <si>
    <t>счета-фактуры, платежные поручения), расшифровка материальных затрат за 9мес.10 г. (стр.___ дела)</t>
  </si>
  <si>
    <t xml:space="preserve">Итого услуги </t>
  </si>
  <si>
    <t>Итого вспомогательные материалы</t>
  </si>
  <si>
    <t>2010 г. - 2011 г.</t>
  </si>
  <si>
    <t>Остаточная стоимость         на 01.10.11 г.</t>
  </si>
  <si>
    <t>г.вв.</t>
  </si>
  <si>
    <t xml:space="preserve">Наименование </t>
  </si>
  <si>
    <t>Ввод октябрь 2010 г.</t>
  </si>
  <si>
    <t>скрыть</t>
  </si>
  <si>
    <t>Приобретение и монтаж резервного трансформатора ТМ-250 6/0,4 на ТП-203</t>
  </si>
  <si>
    <t xml:space="preserve"> ТП-212</t>
  </si>
  <si>
    <t>Ремонт крыши 42 кв.м</t>
  </si>
  <si>
    <t>материалы на ремонт + зарплата рабочих строительного подразделения</t>
  </si>
  <si>
    <t>Замена 3-х дверей на металлические</t>
  </si>
  <si>
    <t>Ремонт пола 42,0 кв.м</t>
  </si>
  <si>
    <t>Ремонт стен внутри подстанции 138 кв.м</t>
  </si>
  <si>
    <t>Приобретение и монтаж ячеек КРУ-2-10 в кол-ве 6 шт.</t>
  </si>
  <si>
    <t>Обустройство вентиляции</t>
  </si>
  <si>
    <t xml:space="preserve"> ТП-3</t>
  </si>
  <si>
    <t>Ремонт пола (бетонирование) 40 кв.м</t>
  </si>
  <si>
    <t>Покраска дверей - 4 шт.</t>
  </si>
  <si>
    <t xml:space="preserve">Приобретение и монтаж ячеек КРУ-2-10 </t>
  </si>
  <si>
    <t>хоз.способ (строительное подразделение)</t>
  </si>
  <si>
    <t>Обучение специалистов правилам и нормам безопасной эксплуатации электроустановок</t>
  </si>
  <si>
    <t xml:space="preserve"> Ежегодное медицинское освидетельствование электротехнического персонала</t>
  </si>
  <si>
    <t>Расходы на приобретение спецодежды</t>
  </si>
  <si>
    <t>сторонние организации</t>
  </si>
  <si>
    <t>Обеспечение огнетушителями, средствами электрозащиты, медицинскими аптечками и т.д. (противоаварийные и противопожарные мероприятия)</t>
  </si>
  <si>
    <t>Расходы на приобретение инструмента и инвентаря электрохозяйственного назначения (бокорезы, отвертки, пассатижы, круглогубцы, вольтметры)</t>
  </si>
  <si>
    <t>Расходы на трансформаторное масло</t>
  </si>
  <si>
    <t>Вспомогательные материалы для проведения профилактических работ на ТП</t>
  </si>
  <si>
    <t>Проверка сопротивления изоляции кабельных сетей</t>
  </si>
  <si>
    <t xml:space="preserve">сторонняя организация </t>
  </si>
  <si>
    <t>Постановление правительства РФ от 30.12.2009г. № 1140</t>
  </si>
  <si>
    <t>1.1.3.</t>
  </si>
  <si>
    <t>1.1.4.</t>
  </si>
  <si>
    <t>1.1.5.</t>
  </si>
  <si>
    <t>1.1.6.</t>
  </si>
  <si>
    <t>1.2.1.</t>
  </si>
  <si>
    <t>1.2.2.</t>
  </si>
  <si>
    <t>1.2.3.</t>
  </si>
  <si>
    <t>Электротехнические материалы</t>
  </si>
  <si>
    <t xml:space="preserve">Вспомогательные материалы </t>
  </si>
  <si>
    <t>Итого ремонт п.1</t>
  </si>
  <si>
    <t>из цех.- инж-электр.</t>
  </si>
  <si>
    <t xml:space="preserve">Ремонтно-строительные работы на ТП </t>
  </si>
  <si>
    <t xml:space="preserve">Работы и услуги производственного характера </t>
  </si>
  <si>
    <r>
      <t>Ремонт и обслуживание злектрических сетей</t>
    </r>
    <r>
      <rPr>
        <sz val="10"/>
        <color indexed="10"/>
        <rFont val="Times New Roman"/>
        <family val="1"/>
        <charset val="204"/>
      </rPr>
      <t xml:space="preserve"> (90,0тыс.руб.)</t>
    </r>
  </si>
  <si>
    <r>
      <t xml:space="preserve">Норма аморти- зации 2011г.,               </t>
    </r>
    <r>
      <rPr>
        <b/>
        <sz val="10"/>
        <rFont val="Times New Roman"/>
        <family val="1"/>
        <charset val="204"/>
      </rPr>
      <t>%</t>
    </r>
  </si>
  <si>
    <t>Остаточная стоимость         на 01.01.10г.</t>
  </si>
  <si>
    <t>Амортиза- ция за январь 2010г.</t>
  </si>
  <si>
    <t>Остаточная стоимость         на 01.11.10г.</t>
  </si>
  <si>
    <t>Амортиза- ция за 2010год, руб.</t>
  </si>
  <si>
    <t>Остаточная стоимость         на 01.01.11г.</t>
  </si>
  <si>
    <t>Амортиза- ция за 2011год, руб.</t>
  </si>
  <si>
    <t>Остаточная стоимость         на 01.01.12г.</t>
  </si>
  <si>
    <t>общецехового назначения энергохозяйства ОАО «1253 ЦРБРЛВ»</t>
  </si>
  <si>
    <t>Амортизация общецехового назначения энергохозяйства распределена на участок передачи электроэнергии пропорционально основной зарплате рабочих службы ЭМО.</t>
  </si>
  <si>
    <t xml:space="preserve">Доля на участок передачи электроэнергии составит  Д = 30 070,00 руб. / 98 604,60 тыс.руб. = </t>
  </si>
  <si>
    <t>Здание № 20 (энергомеханический участок)</t>
  </si>
  <si>
    <t>Амортизационные отчисления  общецехового назначения энергохозяйства ОАО «1253 ЦРБРЛВ» на участок электроснабжения составят  -</t>
  </si>
  <si>
    <t>(7 078,20 руб. / 1000 х 30,50% = 2,2 тыс.руб.)</t>
  </si>
  <si>
    <t>Балансовая стоимость        на 01.01.2012г.</t>
  </si>
  <si>
    <t>з-п</t>
  </si>
  <si>
    <t>аморт.</t>
  </si>
  <si>
    <t>с ОХР и цех.итого</t>
  </si>
  <si>
    <t>Согласно учетной политике общехозяйственные расходы распределяютя пропорционально основновной зарплате производственных рабочих.</t>
  </si>
  <si>
    <t>Ремонт основных средств общехозяйственногоназначения (зданий и сооружений, оборудования, транспортных средств)</t>
  </si>
  <si>
    <t>Командировочные расходы</t>
  </si>
  <si>
    <t>Содержание пожарной службы (затраты на содержание и ремонт специализированного оборудования и приспособлений, затраты на противопожарные мероприятия и учебную подготовку)</t>
  </si>
  <si>
    <t>Испытания (содержание лабораторий и услуги сторонних организаций)</t>
  </si>
  <si>
    <t>Расходы на подготовку и переподготовку кадров</t>
  </si>
  <si>
    <t>Изобретения</t>
  </si>
  <si>
    <t>Транспортный налог/ экологический налог</t>
  </si>
  <si>
    <t>Юридические информационные услуги, консультационные услуги</t>
  </si>
  <si>
    <t>Охрана предприятия</t>
  </si>
  <si>
    <t>Оплата услуг сторонних организаций за прием, хранение, уничтожение экологически опасных отходов</t>
  </si>
  <si>
    <t>Непроизводственные расходы (транспортный налог , экологический налог, налог на воду) и другие обязательные платежи и сборы) всего, в том числе:</t>
  </si>
  <si>
    <r>
      <t xml:space="preserve"> Налоги </t>
    </r>
    <r>
      <rPr>
        <sz val="10"/>
        <rFont val="Times New Roman"/>
        <family val="1"/>
        <charset val="204"/>
      </rPr>
      <t>(на землю, экологический/ транспортный)</t>
    </r>
  </si>
  <si>
    <t>Электротехнические материалы (ремонт и обслуживание злектрических сетей и ТП)</t>
  </si>
  <si>
    <t>проч.цех.</t>
  </si>
  <si>
    <t>между ОАО "1253 ЦРБРЛВ" и ОАО «МРСК Волги» (филиал «Самарские распределительные сети»)</t>
  </si>
  <si>
    <t>Единые (котловые) тарифы на услуги по передаче электрической энергии на 2011 г.</t>
  </si>
  <si>
    <t>ОАО "1253 ЦРБРЛВ" от Самараэнерго и сетевых организаций ООО "Энерго" и ООО "Засамарская сетевая компания"</t>
  </si>
  <si>
    <t>Энерго</t>
  </si>
  <si>
    <t>уд.вес.</t>
  </si>
  <si>
    <t>доля по МВт.ч               (без потерь)</t>
  </si>
  <si>
    <t>ОАО "1253 ЦРБРЛВ" отдаст ОАО "МРСК Волги", тыс.руб.</t>
  </si>
  <si>
    <t xml:space="preserve">НВВ ОАО "1253 ЦРБРЛВ" </t>
  </si>
  <si>
    <t>Выручка ОАО "1253 ЦРБРЛВ" от оказания услуг по передаче, тыс.руб.</t>
  </si>
  <si>
    <t xml:space="preserve">2) ООО "Энерго"и </t>
  </si>
  <si>
    <t>3) ОО "Засамарская сетевая компания" - нижестоящие</t>
  </si>
  <si>
    <t>по договорам 2011 г.</t>
  </si>
  <si>
    <t>СН2 сетевым ООО "ЗаСеКо"</t>
  </si>
  <si>
    <t>чччи, час.</t>
  </si>
  <si>
    <r>
      <rPr>
        <b/>
        <sz val="10"/>
        <color indexed="10"/>
        <rFont val="Times New Roman"/>
        <family val="1"/>
        <charset val="204"/>
      </rPr>
      <t>I.</t>
    </r>
    <r>
      <rPr>
        <b/>
        <sz val="10"/>
        <rFont val="Times New Roman"/>
        <family val="1"/>
        <charset val="204"/>
      </rPr>
      <t xml:space="preserve"> ОАО "1253 ЦРБРЛВ" </t>
    </r>
    <r>
      <rPr>
        <b/>
        <sz val="10"/>
        <color indexed="10"/>
        <rFont val="Times New Roman"/>
        <family val="1"/>
        <charset val="204"/>
      </rPr>
      <t xml:space="preserve">получит </t>
    </r>
    <r>
      <rPr>
        <b/>
        <sz val="10"/>
        <rFont val="Times New Roman"/>
        <family val="1"/>
        <charset val="204"/>
      </rPr>
      <t>по ед.котловому тарифу 2-х ставочному</t>
    </r>
    <r>
      <rPr>
        <b/>
        <sz val="10"/>
        <color indexed="1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от Самара-Энерго за потребителей, тыс.руб.</t>
    </r>
  </si>
  <si>
    <r>
      <rPr>
        <b/>
        <sz val="10"/>
        <color indexed="10"/>
        <rFont val="Times New Roman"/>
        <family val="1"/>
        <charset val="204"/>
      </rPr>
      <t>II.</t>
    </r>
    <r>
      <rPr>
        <b/>
        <sz val="10"/>
        <rFont val="Times New Roman"/>
        <family val="1"/>
        <charset val="204"/>
      </rPr>
      <t xml:space="preserve"> ОАО "1253 ЦРБРЛВ" </t>
    </r>
    <r>
      <rPr>
        <b/>
        <sz val="10"/>
        <color indexed="10"/>
        <rFont val="Times New Roman"/>
        <family val="1"/>
        <charset val="204"/>
      </rPr>
      <t>получит</t>
    </r>
    <r>
      <rPr>
        <b/>
        <sz val="10"/>
        <rFont val="Times New Roman"/>
        <family val="1"/>
        <charset val="204"/>
      </rPr>
      <t xml:space="preserve"> от ООО "Энерго" за потребителей, тыс.руб.</t>
    </r>
  </si>
  <si>
    <r>
      <rPr>
        <b/>
        <sz val="10"/>
        <color indexed="10"/>
        <rFont val="Times New Roman"/>
        <family val="1"/>
        <charset val="204"/>
      </rPr>
      <t xml:space="preserve">III. ОАО "1253 ЦРБРЛВ" получит от ООО </t>
    </r>
    <r>
      <rPr>
        <b/>
        <sz val="10"/>
        <rFont val="Times New Roman"/>
        <family val="1"/>
        <charset val="204"/>
      </rPr>
      <t>"ЗаСеКо" за потребителей, тыс.руб.</t>
    </r>
  </si>
  <si>
    <t>ЗАО "ЗаСеКо" тариф</t>
  </si>
  <si>
    <t>ЗАО "ЗаСеКо"</t>
  </si>
  <si>
    <r>
      <t xml:space="preserve"> Расчет по договорам оказания услуг по передаче электрической энергии  </t>
    </r>
    <r>
      <rPr>
        <b/>
        <sz val="12"/>
        <color indexed="10"/>
        <rFont val="Times New Roman"/>
        <family val="1"/>
        <charset val="204"/>
      </rPr>
      <t>на 2011 г.</t>
    </r>
  </si>
  <si>
    <t>платежи от 3-х орг. В адрес ОАО "1253 ЦРБРЛВ" по один.тарифу</t>
  </si>
  <si>
    <t>Платежи в адрес ОАО "1253 ЦРБРЛВ" от :</t>
  </si>
  <si>
    <t>ЗаСеКо</t>
  </si>
  <si>
    <t>Содер- жание</t>
  </si>
  <si>
    <t>ФГУП «ГНПРКЦ «ЦСКБ-Прогресс»  на 2012 год</t>
  </si>
  <si>
    <t>ФГУП «ГНПРКЦ «ЦСКБ-Прогресс»</t>
  </si>
  <si>
    <t>общецехового назначения энергохозяйства ФГУП «ГНПРКЦ «ЦСКБ-Прогресс»</t>
  </si>
  <si>
    <t>общезаводского назначения ФГУП «ГНПРКЦ «ЦСКБ-Прогресс»</t>
  </si>
  <si>
    <t>2012 г.</t>
  </si>
  <si>
    <t xml:space="preserve">Первый зам. генерального директора - </t>
  </si>
  <si>
    <t xml:space="preserve">главный инженер
</t>
  </si>
  <si>
    <t>С. В. Тюлевин</t>
  </si>
  <si>
    <t>3.2.3</t>
  </si>
  <si>
    <t>сетевой организации ОАО "РЖД"</t>
  </si>
  <si>
    <t>3.2.3.1</t>
  </si>
  <si>
    <t>3.2.4</t>
  </si>
  <si>
    <t xml:space="preserve">МП “Самарский метрополитен” </t>
  </si>
  <si>
    <t>3.2.4.1</t>
  </si>
  <si>
    <t>3.2.5</t>
  </si>
  <si>
    <t xml:space="preserve"> ЗАО "ССК" </t>
  </si>
  <si>
    <t>3.2.5.1</t>
  </si>
  <si>
    <t>также в сальдированном выражении (п. 3.2.3 - п. 1.2.3)</t>
  </si>
  <si>
    <t>Х</t>
  </si>
  <si>
    <t>14.2.3</t>
  </si>
  <si>
    <t>ОАО"РЖД"</t>
  </si>
  <si>
    <t>14.2.3.1</t>
  </si>
  <si>
    <t>14.2.4</t>
  </si>
  <si>
    <t>14.2.4.1</t>
  </si>
  <si>
    <t>27.2.5</t>
  </si>
  <si>
    <t>27.2.5.1</t>
  </si>
  <si>
    <t xml:space="preserve">ЗАО "ССК" </t>
  </si>
  <si>
    <t>Руководитель  ОАО МРСК Волги"   _________________________________</t>
  </si>
  <si>
    <t>Руководитель  ОАО "РЖД"   ______________________________________</t>
  </si>
  <si>
    <t xml:space="preserve">Руководитель МП г.о. Самара </t>
  </si>
  <si>
    <t>Руководитель  ООО "Энерго"   ______________________________________</t>
  </si>
  <si>
    <t>Руководитель  ЗАО "ССК"   _________________________________________</t>
  </si>
  <si>
    <t>по дог.с сет.+ прил.3 к дог.СЭ</t>
  </si>
  <si>
    <t>по дог.СЭ прил.3 от 30 марта</t>
  </si>
  <si>
    <t>Энерго -</t>
  </si>
  <si>
    <t>МП -</t>
  </si>
  <si>
    <t xml:space="preserve">РЖД - </t>
  </si>
  <si>
    <t>ССК -</t>
  </si>
  <si>
    <t>2008г.</t>
  </si>
  <si>
    <t xml:space="preserve">главный инженер </t>
  </si>
  <si>
    <t>_____________________ С. В. Тюлевин</t>
  </si>
  <si>
    <t>доля</t>
  </si>
  <si>
    <t>транзит</t>
  </si>
  <si>
    <t>главный инженер</t>
  </si>
  <si>
    <t xml:space="preserve">Система условных единиц для распределения </t>
  </si>
  <si>
    <t xml:space="preserve">общей суммы тарифной выручки по классам напряжения </t>
  </si>
  <si>
    <t>Приложение 2</t>
  </si>
  <si>
    <t xml:space="preserve">                                                                          (название сетевой организации)</t>
  </si>
  <si>
    <t>Показатель</t>
  </si>
  <si>
    <t>Ед.изм.</t>
  </si>
  <si>
    <t>2011 год</t>
  </si>
  <si>
    <t>2012 год</t>
  </si>
  <si>
    <t>2013 год</t>
  </si>
  <si>
    <t>2014 год</t>
  </si>
  <si>
    <t>2015 год</t>
  </si>
  <si>
    <t>количество активов</t>
  </si>
  <si>
    <t>у.е.</t>
  </si>
  <si>
    <r>
      <t xml:space="preserve">количество активов </t>
    </r>
    <r>
      <rPr>
        <sz val="10"/>
        <rFont val="Arial CYR"/>
        <charset val="204"/>
      </rPr>
      <t>-   количество условных единиц, необходимых для осуществления регулируемой деятельности.</t>
    </r>
    <r>
      <rPr>
        <b/>
        <sz val="10"/>
        <rFont val="Arial CYR"/>
        <charset val="204"/>
      </rPr>
      <t xml:space="preserve">
</t>
    </r>
  </si>
  <si>
    <t>Приложение 1</t>
  </si>
  <si>
    <t>№п/п</t>
  </si>
  <si>
    <t xml:space="preserve">Утверждено на 2011 год </t>
  </si>
  <si>
    <t>Базовый (первый) год долгосрочного периода регулирования                   2012 год</t>
  </si>
  <si>
    <t>НВВ 2011</t>
  </si>
  <si>
    <t>НВВ 2012</t>
  </si>
  <si>
    <r>
      <t xml:space="preserve">НВВ сетевой организации ВСЕГО </t>
    </r>
    <r>
      <rPr>
        <sz val="11"/>
        <rFont val="Arial Cyr"/>
        <charset val="204"/>
      </rPr>
      <t xml:space="preserve">(без учета расходов на оплату услуг территориальных сетевых организаций, расходов на оплату потерь электроэнергии) </t>
    </r>
  </si>
  <si>
    <t>Табл. П.1.24</t>
  </si>
  <si>
    <t>Подконтрольные расходы</t>
  </si>
  <si>
    <t>Материальные затраты</t>
  </si>
  <si>
    <t>1.1.1.1.</t>
  </si>
  <si>
    <t>Сырье, материалы, запасные части, инструмент, топливо</t>
  </si>
  <si>
    <t>1.1.1.2.</t>
  </si>
  <si>
    <t>Работы и услуги производственного характера (в т.ч. услуги сторонних организаций по содержанию сетей и распределительных устройств)</t>
  </si>
  <si>
    <t>Расходы на оплату труда</t>
  </si>
  <si>
    <t>Прочие расходы, всего, в том числе:</t>
  </si>
  <si>
    <t>1.1.3.1.</t>
  </si>
  <si>
    <t>Ремонт основных фондов</t>
  </si>
  <si>
    <t>механизмы по ЛС</t>
  </si>
  <si>
    <t>1.1.3.2.</t>
  </si>
  <si>
    <t>Оплата работ и услуг сторонних организаций</t>
  </si>
  <si>
    <t>1.1.3.2.1.</t>
  </si>
  <si>
    <t>услуги связи</t>
  </si>
  <si>
    <t>1.1.3.2.2.</t>
  </si>
  <si>
    <t>Расходы на услуги вневедомственной охраны и коммунального хозяйства</t>
  </si>
  <si>
    <t>1.1.3.2.3.</t>
  </si>
  <si>
    <t>Расходы на юридические и информационные услуги</t>
  </si>
  <si>
    <t>1.1.3.2.4.</t>
  </si>
  <si>
    <t>Расходы на аудиторские и консультационные услуги</t>
  </si>
  <si>
    <t>1.1.3.2.5.</t>
  </si>
  <si>
    <t>Транспортные услуги</t>
  </si>
  <si>
    <t>1.1.3.2.6.</t>
  </si>
  <si>
    <t>Прочие услуги сторонних организаций</t>
  </si>
  <si>
    <t xml:space="preserve">усл.банка, ремонт </t>
  </si>
  <si>
    <t>1.1.3.3.</t>
  </si>
  <si>
    <t>Расходы на командировки и представительские</t>
  </si>
  <si>
    <t>1.1.3.4.</t>
  </si>
  <si>
    <t>Расходы на подготовку кадров</t>
  </si>
  <si>
    <t>1.1.3.5.</t>
  </si>
  <si>
    <t>Расходы на обеспечение нормальных условий труда и мер по технике безопасности</t>
  </si>
  <si>
    <t>прочие ОХР</t>
  </si>
  <si>
    <t>1.1.3.6.</t>
  </si>
  <si>
    <t>Расходы на страхование</t>
  </si>
  <si>
    <t>1.1.3.7.</t>
  </si>
  <si>
    <t>Расходы из прибыли, в т.ч.:</t>
  </si>
  <si>
    <t>1.1.4.1.</t>
  </si>
  <si>
    <t>расходы на обслуживание  заемных средств</t>
  </si>
  <si>
    <t>1.1.4.2.</t>
  </si>
  <si>
    <t>расходы по коллективным договорам</t>
  </si>
  <si>
    <t>1.1.4.3.</t>
  </si>
  <si>
    <t>прочие расходы из прибыли</t>
  </si>
  <si>
    <t>Неподконтрольные расходы</t>
  </si>
  <si>
    <t>Оплата услуг ОАО "ФСК ЕЭС"</t>
  </si>
  <si>
    <t>Электроэнергия на хоз. нужды</t>
  </si>
  <si>
    <t>1.2.4.</t>
  </si>
  <si>
    <t>Плата за аренду имущества и лизинг</t>
  </si>
  <si>
    <t>1.2.5.</t>
  </si>
  <si>
    <t>Налоги,всего, в том числе:</t>
  </si>
  <si>
    <t>1.2.5.1.</t>
  </si>
  <si>
    <t>плата за землю</t>
  </si>
  <si>
    <t>1.2.5.2.</t>
  </si>
  <si>
    <t>Налог на имущество</t>
  </si>
  <si>
    <t>1.2.5.3.</t>
  </si>
  <si>
    <t>Прочие налоги и сборы</t>
  </si>
  <si>
    <t>плата за негативное возд.на окр.среду</t>
  </si>
  <si>
    <t>1.2.6.</t>
  </si>
  <si>
    <t>Отчисления на социальные нужды (ЕСН)</t>
  </si>
  <si>
    <t>1.2.7.</t>
  </si>
  <si>
    <t>Амортизация основных средств</t>
  </si>
  <si>
    <t>1.2.8.</t>
  </si>
  <si>
    <t>Расходы на финансирование капитальных вложений</t>
  </si>
  <si>
    <t>1.2.11.</t>
  </si>
  <si>
    <t>Прочие неподконтрольные расходы</t>
  </si>
  <si>
    <t>плата за ОС</t>
  </si>
  <si>
    <t>1.2.12.</t>
  </si>
  <si>
    <t>Налог на прибыль</t>
  </si>
  <si>
    <t>1.2.13.</t>
  </si>
  <si>
    <t>Выпадающие доходы/экономия средств</t>
  </si>
  <si>
    <t>по линиям электропередач  и подстанциям ФГУП «ГНПРКЦ «ЦСКБ-Прогресс»</t>
  </si>
  <si>
    <t xml:space="preserve">Балансовая стоимость на 01.01.2011г.  </t>
  </si>
  <si>
    <t>2011 г. - 2012 г.</t>
  </si>
  <si>
    <t>Амортиза- ция за январь 2011г.</t>
  </si>
  <si>
    <t>на передачу сторонним потребителям</t>
  </si>
  <si>
    <t xml:space="preserve"> 2010 год</t>
  </si>
  <si>
    <t xml:space="preserve"> и составят (тыс.руб. ) = 393,7 тыс.руб. х 1,079 =  </t>
  </si>
  <si>
    <r>
      <rPr>
        <b/>
        <sz val="11"/>
        <rFont val="Times New Roman"/>
        <family val="1"/>
        <charset val="204"/>
      </rPr>
      <t>На 2012 г.</t>
    </r>
    <r>
      <rPr>
        <sz val="11"/>
        <rFont val="Times New Roman"/>
        <family val="1"/>
        <charset val="204"/>
      </rPr>
      <t xml:space="preserve"> затраты по статье "электротехнические материалы" проиндексированы на К</t>
    </r>
    <r>
      <rPr>
        <vertAlign val="subscript"/>
        <sz val="11"/>
        <rFont val="Times New Roman"/>
        <family val="1"/>
        <charset val="204"/>
      </rPr>
      <t xml:space="preserve">инд.к 2010г. </t>
    </r>
    <r>
      <rPr>
        <sz val="11"/>
        <rFont val="Times New Roman"/>
        <family val="1"/>
        <charset val="204"/>
      </rPr>
      <t>= 1,079  И к =1,06</t>
    </r>
  </si>
  <si>
    <t>Экспертиза технологических потерь электрической энергии, расчет и обоснование тарифов на услуги по передаче электроэнергии , ЕИАС</t>
  </si>
  <si>
    <r>
      <t xml:space="preserve">Расходы на стандарты раскрытия информации организации, осуществляющей регулируемые виды деятельности </t>
    </r>
    <r>
      <rPr>
        <sz val="11"/>
        <rFont val="Times New Roman"/>
        <family val="1"/>
        <charset val="204"/>
      </rPr>
      <t>(публикация в газете Волжская коммуна  бухгалтерской отчетности)</t>
    </r>
  </si>
  <si>
    <t xml:space="preserve">     2011 г.           </t>
  </si>
  <si>
    <t xml:space="preserve">     2012 г.</t>
  </si>
  <si>
    <t>СЭ, обуч., раскр.инф.</t>
  </si>
  <si>
    <t>по участку электроснабжения ФГУП «ГНПРКЦ «ЦСКБ-Прогресс» 2011 г.</t>
  </si>
  <si>
    <t>Рабочие</t>
  </si>
  <si>
    <t>Среднесписочная численность ППП</t>
  </si>
  <si>
    <t>чел.</t>
  </si>
  <si>
    <t>Зарплата по тарифу (год)</t>
  </si>
  <si>
    <t>Среднемесячная тарифная ставка 1-ого ППП</t>
  </si>
  <si>
    <t>Процент выплат</t>
  </si>
  <si>
    <t>Текущие премирование (год)</t>
  </si>
  <si>
    <t>Текущие премирование 1-ого ППП</t>
  </si>
  <si>
    <t>Годовой ФОТ ППП</t>
  </si>
  <si>
    <t>Среднемесячная з/пл.со всеми выплатами 1-ого ППП</t>
  </si>
  <si>
    <t>По цеху 2426</t>
  </si>
  <si>
    <t xml:space="preserve"> тыс.руб. без НДС</t>
  </si>
  <si>
    <t>и составят = 621,1 х 1,06 =</t>
  </si>
  <si>
    <t>в целом по электроснабжению (на передачу потребителям и на производственные нужды предприятия)</t>
  </si>
  <si>
    <t>Сведения о численности и заработной плате электротехнического персонала цеха, участвующего</t>
  </si>
  <si>
    <r>
      <t xml:space="preserve">Норма аморти- зации 2012г.,               </t>
    </r>
    <r>
      <rPr>
        <b/>
        <sz val="10"/>
        <rFont val="Times New Roman"/>
        <family val="1"/>
        <charset val="204"/>
      </rPr>
      <t>%</t>
    </r>
  </si>
  <si>
    <t>Расчет амортизационных отчислений по линиям электропередач  и подстанциям, отнесенных на передачу эл.энергии субабонентам</t>
  </si>
  <si>
    <t>произведен пропорционально полезному отпуску:</t>
  </si>
  <si>
    <t>кВтч</t>
  </si>
  <si>
    <t>Расчет доли ФОТ ППП, отнесенного на передачу эл.энергии субабонентам произведен пропорционально полезному отпуску:</t>
  </si>
  <si>
    <t>Собственное потребление</t>
  </si>
  <si>
    <t>ООО "ЭТК "Содействие"</t>
  </si>
  <si>
    <t>№ КЭТ 0003024</t>
  </si>
  <si>
    <t>№ 10745</t>
  </si>
  <si>
    <t>31.05.10</t>
  </si>
  <si>
    <t>28.05.10</t>
  </si>
  <si>
    <t>№ КЭТ 0003011</t>
  </si>
  <si>
    <t>№ КЭТ 0002999</t>
  </si>
  <si>
    <t>21.06.10</t>
  </si>
  <si>
    <t>№ КЭТ 0003399</t>
  </si>
  <si>
    <t>№ КЭТ 0003411</t>
  </si>
  <si>
    <t>№ КЭТ 0003397</t>
  </si>
  <si>
    <t>№ КЭТ 0003443</t>
  </si>
  <si>
    <t>№ КЭТ 0003442</t>
  </si>
  <si>
    <t>№ КЭТ 0003432</t>
  </si>
  <si>
    <t>№ КЭТ 0003663</t>
  </si>
  <si>
    <t>02.07.10</t>
  </si>
  <si>
    <t>№ КЭТ 0003654</t>
  </si>
  <si>
    <t>№ КЭТ 0003655</t>
  </si>
  <si>
    <t>№ КЭТ 0003963</t>
  </si>
  <si>
    <t>20.07.10</t>
  </si>
  <si>
    <t>№ КЭТ 0003964</t>
  </si>
  <si>
    <t>№ КЭТ 0003956</t>
  </si>
  <si>
    <t>24.09.10</t>
  </si>
  <si>
    <t>№ КЭТ 0004933</t>
  </si>
  <si>
    <t>ООО "Раскат"</t>
  </si>
  <si>
    <t>№ 42</t>
  </si>
  <si>
    <t>№ 10804</t>
  </si>
  <si>
    <t>10.06.10</t>
  </si>
  <si>
    <t>№ 12032</t>
  </si>
  <si>
    <t>№ 12009</t>
  </si>
  <si>
    <t>№ 12001</t>
  </si>
  <si>
    <t>13.07.10</t>
  </si>
  <si>
    <t>№ 14959</t>
  </si>
  <si>
    <t>№ 14954</t>
  </si>
  <si>
    <t>№ 14933</t>
  </si>
  <si>
    <t>17.09.2010</t>
  </si>
  <si>
    <t>№ 20618</t>
  </si>
  <si>
    <r>
      <t xml:space="preserve">На </t>
    </r>
    <r>
      <rPr>
        <b/>
        <sz val="12"/>
        <rFont val="Times New Roman"/>
        <family val="1"/>
        <charset val="204"/>
      </rPr>
      <t xml:space="preserve">2012 г. </t>
    </r>
    <r>
      <rPr>
        <sz val="12"/>
        <rFont val="Times New Roman"/>
        <family val="1"/>
        <charset val="204"/>
      </rPr>
      <t>затраты по статье "вспомогательные материалы" проиндексированы на К</t>
    </r>
    <r>
      <rPr>
        <vertAlign val="subscript"/>
        <sz val="12"/>
        <rFont val="Times New Roman"/>
        <family val="1"/>
        <charset val="204"/>
      </rPr>
      <t xml:space="preserve">инд.к 2011г. </t>
    </r>
    <r>
      <rPr>
        <sz val="12"/>
        <rFont val="Times New Roman"/>
        <family val="1"/>
        <charset val="204"/>
      </rPr>
      <t>= 1,06</t>
    </r>
  </si>
  <si>
    <t>Реестр документов, подтверждающих поступление электротехнических материалов на обслуживание и ремонт оборудования участка электроснабжения потребителей ФГУП «ГНПРКЦ «ЦСКБ-Прогресс» 2010 г.</t>
  </si>
  <si>
    <t>НОУ «ЦДО «Промэнерго- безопасность»</t>
  </si>
  <si>
    <t>по плат.</t>
  </si>
  <si>
    <t>Организация информационного взаимодействия с органом исполнительной власти субъекта РФ в области государственного регулирования тарифов в рамках функционирования ЕАИС ФСТ</t>
  </si>
  <si>
    <t>Расчет НВВ на 2012 г., обеспечивающей компенсацию экономически обоснованных расходов на осуществление деятельности по передаче электрической энергии</t>
  </si>
  <si>
    <t>Дог. № 95/11 от 25.01.2011 г.</t>
  </si>
  <si>
    <t>Дог. № 94/11 от 25.01.2011 г.</t>
  </si>
  <si>
    <t>Дог. № 21/11 от 14.01.2011 г.</t>
  </si>
  <si>
    <t xml:space="preserve"> по участку электроснабжения  ФГУП «ГНПРКЦ «ЦСКБ-Прогресс» на 2012 г.</t>
  </si>
  <si>
    <t>Затраты по п.1 и п.3 рассчитаны на численность ППП по участку передачи эл.энергии сторонним потребителям - 15 чел.</t>
  </si>
  <si>
    <t>Затраты по п.6 "Расходы на приобретение спецодежды" рассчитаны на численность ППП по участку передачи эл.энергии</t>
  </si>
  <si>
    <t>по факту 2010 г. с учетом Кинд.к 2011г.= 1,079  и Кинд.к 2012г.=1,06</t>
  </si>
  <si>
    <t xml:space="preserve">Согласно предоставленному отчету о прибылях и убытках (ф.2)  за 2010 г. себестоимость в целом по предприятию - </t>
  </si>
  <si>
    <t xml:space="preserve">Себестоимость бех ОХР за 2010 г.в целом по предприятию - </t>
  </si>
  <si>
    <r>
      <t xml:space="preserve"> Прямые затраты </t>
    </r>
    <r>
      <rPr>
        <vertAlign val="subscript"/>
        <sz val="12"/>
        <rFont val="Times New Roman"/>
        <family val="1"/>
        <charset val="204"/>
      </rPr>
      <t>по передаче эл.эн.</t>
    </r>
    <r>
      <rPr>
        <sz val="12"/>
        <rFont val="Times New Roman"/>
        <family val="1"/>
        <charset val="204"/>
      </rPr>
      <t>= Зарплата + Страховые взносы в ПФ РФ, ФСС РФ, ФФ  ОМС и ТФ ОМС и ОС_НС + Амортизация+ Усл.стор.+ Цеховые расходы)</t>
    </r>
  </si>
  <si>
    <t>(табл.П 1.18.2)</t>
  </si>
  <si>
    <t>Цеховая себестоимость (без ОХР) по передаче эл.энергии предположительно составит -</t>
  </si>
  <si>
    <t>Содержание и ремонт основных средств общехозяйственного назначения (зданий и сооружений, оборудования, транспортных средств)</t>
  </si>
  <si>
    <t>относящихся на передачу электроэнергии сторонним потребителям</t>
  </si>
  <si>
    <t xml:space="preserve">Однотрансфор-маторная подстанция 35/0,4 кВ </t>
  </si>
  <si>
    <t>по данным Самараэнерго</t>
  </si>
  <si>
    <t>Приложение №  1</t>
  </si>
  <si>
    <t>верно</t>
  </si>
  <si>
    <t>Поступление</t>
  </si>
  <si>
    <r>
      <t>Структура полезного отпуска электрической энергии (мощности) на</t>
    </r>
    <r>
      <rPr>
        <b/>
        <sz val="12"/>
        <color indexed="10"/>
        <rFont val="Arial Cyr"/>
        <charset val="204"/>
      </rPr>
      <t xml:space="preserve"> 2012 год         </t>
    </r>
  </si>
  <si>
    <t xml:space="preserve">ФГУП «ГНПРКЦ «ЦСКБ-Прогресс» </t>
  </si>
  <si>
    <t>Электрическая энергия, тыс.кВт.ч</t>
  </si>
  <si>
    <t>в т.ч.:</t>
  </si>
  <si>
    <t>1.1  Прочие потребители</t>
  </si>
  <si>
    <t>ед.котл.</t>
  </si>
  <si>
    <t>1.2  Население, проживающее в городских населенных пунктах, оборудованных в установленном порядке стационарными газовыми плитами, а также потребители городских населенных пунктов, приравненные к населению</t>
  </si>
  <si>
    <t>1.3  Население, проживающее в домах, оборудованных в установленном порядке стационарными электроплитами; население, проживающее в сельских населенных пунктах, а также потребители сельских населенных пунктов, приравненные к населению</t>
  </si>
  <si>
    <t>Примечание: * -  договор оказания услуг по передаче электрической энергии № 3 от 01.01.11г.;</t>
  </si>
  <si>
    <t xml:space="preserve">                       *** -  договор на покупку электроэнергии в целях компенсации потерь № 1001Э от 01.01.2010г.</t>
  </si>
  <si>
    <t>Генеральный директор ОАО "Самараэнерго"</t>
  </si>
  <si>
    <t>_________________________Сойфер  М.В.</t>
  </si>
  <si>
    <t>(дата, ФИО, подпись)</t>
  </si>
  <si>
    <t>М.П.</t>
  </si>
  <si>
    <t>чччи насел.</t>
  </si>
  <si>
    <t>уточнили июнь 2011г.по самараэнерго</t>
  </si>
  <si>
    <t>На бланке организации</t>
  </si>
  <si>
    <t>Приложение № 1 
 к анкете организации, 
осуществляющей деятельность 
в электроэнергетике 
Самарской области</t>
  </si>
  <si>
    <t>Перечень</t>
  </si>
  <si>
    <t>потребителей электрической энергии</t>
  </si>
  <si>
    <t>№ п/п</t>
  </si>
  <si>
    <r>
      <t xml:space="preserve">Наименование  
организации –  абонента,  
</t>
    </r>
    <r>
      <rPr>
        <sz val="12"/>
        <color indexed="10"/>
        <rFont val="Times New Roman CYR"/>
        <charset val="204"/>
      </rPr>
      <t>юридический адрес, телефон</t>
    </r>
  </si>
  <si>
    <r>
      <t xml:space="preserve">Объем электрической энергии               2012 г.
</t>
    </r>
    <r>
      <rPr>
        <b/>
        <sz val="11"/>
        <rFont val="Times New Roman Cyr"/>
        <charset val="204"/>
      </rPr>
      <t>(тыс. кВтч)</t>
    </r>
  </si>
  <si>
    <r>
      <t xml:space="preserve">Заявленная мощность, </t>
    </r>
    <r>
      <rPr>
        <b/>
        <sz val="11"/>
        <rFont val="Times New Roman Cyr"/>
        <charset val="204"/>
      </rPr>
      <t>МВт</t>
    </r>
  </si>
  <si>
    <t>Конечные потребители ОАО "Самараэнерго"</t>
  </si>
  <si>
    <t>РЖД, собственное потребление</t>
  </si>
  <si>
    <t xml:space="preserve">“Самарский метрополитен” </t>
  </si>
  <si>
    <t>ИТОГО собственное потребление сетевых организаций</t>
  </si>
  <si>
    <t>ИТОГО прочие потребители</t>
  </si>
  <si>
    <t>гр.Население</t>
  </si>
  <si>
    <t>ИТОГО гр.население</t>
  </si>
  <si>
    <t>Итого конечные потребители ОАО "Самараэнерго"</t>
  </si>
  <si>
    <t>Сетевые организации -транзит</t>
  </si>
  <si>
    <r>
      <t xml:space="preserve">Куйбышевская дирекция по энергообеспечению – структурное подразделение Трансэнерго - филиал ОАО "РЖД", </t>
    </r>
    <r>
      <rPr>
        <sz val="12"/>
        <color indexed="10"/>
        <rFont val="Times New Roman CYR"/>
        <charset val="204"/>
      </rPr>
      <t>107174, г. Москва, ул. Новая Басманная, д.2, тел. (846) 270-73-56,270-73-57,30-45-86 (дог.отд.), факс. (846) 270-73-56, 270-73-57</t>
    </r>
  </si>
  <si>
    <t>в т.ч. Транзит</t>
  </si>
  <si>
    <t>заявка 2012г.</t>
  </si>
  <si>
    <t>в т.ч. Собственное потребление</t>
  </si>
  <si>
    <t>РЖД собств.</t>
  </si>
  <si>
    <r>
      <t>ООО "Энерго", 443035,</t>
    </r>
    <r>
      <rPr>
        <sz val="12"/>
        <color indexed="10"/>
        <rFont val="Times New Roman CYR"/>
        <charset val="204"/>
      </rPr>
      <t xml:space="preserve"> г.Самара, ул. Минская, д.25, тел.269-13-71 </t>
    </r>
  </si>
  <si>
    <t>з.м.</t>
  </si>
  <si>
    <t>Энерго заявка на 13.04.2011</t>
  </si>
  <si>
    <r>
      <t xml:space="preserve">ЗАО "ССК", </t>
    </r>
    <r>
      <rPr>
        <sz val="12"/>
        <color indexed="10"/>
        <rFont val="Times New Roman CYR"/>
        <charset val="204"/>
      </rPr>
      <t>443546, Самарская обл., Волжский район, пос. Петра Дубрава, ул. Коммунаров, 3, тел./факс (846) 342-60-00</t>
    </r>
  </si>
  <si>
    <t xml:space="preserve">“Самарский метрополитен” (Муниципальное предприятие г.о. Самара), 443079, ул. Гагарина, 11-а
</t>
  </si>
  <si>
    <t>Итого ТРАНЗИТ</t>
  </si>
  <si>
    <t>ИТОГО ПЕРЕДАЧА ЭЛЕКТРИЧЕСКОЙ ЭНЕРГИИ</t>
  </si>
  <si>
    <t>Первый зам. генерального директора</t>
  </si>
  <si>
    <r>
      <t xml:space="preserve">                        ** -  договор энергоснабжения </t>
    </r>
    <r>
      <rPr>
        <b/>
        <sz val="11"/>
        <color indexed="10"/>
        <rFont val="Arial Cyr"/>
        <charset val="204"/>
      </rPr>
      <t>№ 0028Э от 01.02.2010 г.</t>
    </r>
  </si>
  <si>
    <t>**</t>
  </si>
  <si>
    <t>отпуск</t>
  </si>
  <si>
    <t>Энергонефть</t>
  </si>
  <si>
    <t>"Самарский метрополитен"   ______________________________________</t>
  </si>
  <si>
    <t xml:space="preserve">Цех 2426 </t>
  </si>
  <si>
    <t>Цех 2496 (подсобное хозяйство)</t>
  </si>
  <si>
    <t>ООО "Техкомплектсервис"</t>
  </si>
  <si>
    <t>04.02.10</t>
  </si>
  <si>
    <t>19.07.10</t>
  </si>
  <si>
    <t>08.02.10</t>
  </si>
  <si>
    <t>№ Тк0019</t>
  </si>
  <si>
    <t>26.02.10</t>
  </si>
  <si>
    <t>№ Тк0038</t>
  </si>
  <si>
    <t>01.03.10</t>
  </si>
  <si>
    <t>№ Тк0039</t>
  </si>
  <si>
    <t>18.03.10</t>
  </si>
  <si>
    <t>№ Тк0054</t>
  </si>
  <si>
    <t>№ Тк0055</t>
  </si>
  <si>
    <t>04.05.10</t>
  </si>
  <si>
    <t>№ Тк0100</t>
  </si>
  <si>
    <t>01.04.10</t>
  </si>
  <si>
    <t>№ Тк0069</t>
  </si>
  <si>
    <t>06.05.10</t>
  </si>
  <si>
    <t>№ Тк0104</t>
  </si>
  <si>
    <t>11.06.10</t>
  </si>
  <si>
    <t>№ Тк0157</t>
  </si>
  <si>
    <t>№ Тк0167</t>
  </si>
  <si>
    <t>№ Тк0168</t>
  </si>
  <si>
    <t>30.06.10</t>
  </si>
  <si>
    <t>№ Тк0177</t>
  </si>
  <si>
    <t>ООО "ЭТМ"</t>
  </si>
  <si>
    <t>№ 2.п09.41403</t>
  </si>
  <si>
    <t>№ Тк0181</t>
  </si>
  <si>
    <t>16.07.10</t>
  </si>
  <si>
    <t>№ Тк0196</t>
  </si>
  <si>
    <t>30.08.10</t>
  </si>
  <si>
    <t>№ Тк0241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</si>
  <si>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</si>
  <si>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</si>
  <si>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</si>
  <si>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</si>
  <si>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</si>
  <si>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</si>
  <si>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</si>
  <si>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</si>
  <si>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</si>
  <si>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</si>
  <si>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</si>
  <si>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10.09.10</t>
  </si>
  <si>
    <t>№ 2.п07.1336</t>
  </si>
  <si>
    <t>01.10.10</t>
  </si>
  <si>
    <t>№ Тк0267</t>
  </si>
  <si>
    <t>20.10.10</t>
  </si>
  <si>
    <t>№ Тк0292</t>
  </si>
  <si>
    <t>15.10.10</t>
  </si>
  <si>
    <t>№ Тк0285</t>
  </si>
  <si>
    <t>№ 00000309</t>
  </si>
  <si>
    <t>13.11.10</t>
  </si>
  <si>
    <t>03.11.10</t>
  </si>
  <si>
    <t>№ 00000322</t>
  </si>
  <si>
    <t>№ 00000323</t>
  </si>
  <si>
    <t>27.12.10</t>
  </si>
  <si>
    <t>№ Тк0014</t>
  </si>
  <si>
    <t>27.</t>
  </si>
  <si>
    <t>№ Тк0363</t>
  </si>
  <si>
    <t xml:space="preserve">По цеху 2426 </t>
  </si>
  <si>
    <t>По цеху 2496 ПСХ</t>
  </si>
  <si>
    <t>ПСХ</t>
  </si>
  <si>
    <t xml:space="preserve"> ЗАО ССК</t>
  </si>
  <si>
    <t>На передачу потребителям всего :</t>
  </si>
  <si>
    <t xml:space="preserve"> в т.ч.</t>
  </si>
  <si>
    <t>конечные потребители</t>
  </si>
  <si>
    <r>
      <t>Затраты на электротехнические материалы в расчет тарифа</t>
    </r>
    <r>
      <rPr>
        <b/>
        <sz val="12"/>
        <rFont val="Times New Roman"/>
        <family val="1"/>
        <charset val="204"/>
      </rPr>
      <t xml:space="preserve"> на 2011 г.</t>
    </r>
    <r>
      <rPr>
        <sz val="12"/>
        <rFont val="Times New Roman"/>
        <family val="1"/>
        <charset val="204"/>
      </rPr>
      <t xml:space="preserve"> по участку ПСХ на передачу сторонним </t>
    </r>
  </si>
  <si>
    <t>потребителям составят:</t>
  </si>
  <si>
    <t>с Кинд.к 2010г. 1,079 пропорционально полезному отпуску:</t>
  </si>
  <si>
    <r>
      <t xml:space="preserve">На </t>
    </r>
    <r>
      <rPr>
        <b/>
        <sz val="12"/>
        <rFont val="Times New Roman"/>
        <family val="1"/>
        <charset val="204"/>
      </rPr>
      <t xml:space="preserve">2012 г. </t>
    </r>
    <r>
      <rPr>
        <sz val="12"/>
        <rFont val="Times New Roman"/>
        <family val="1"/>
        <charset val="204"/>
      </rPr>
      <t>затраты по статье "вспомогательные материалы" по участку ПСХ проиндексированы на К</t>
    </r>
    <r>
      <rPr>
        <vertAlign val="subscript"/>
        <sz val="12"/>
        <rFont val="Times New Roman"/>
        <family val="1"/>
        <charset val="204"/>
      </rPr>
      <t xml:space="preserve">инд.к 2011г. </t>
    </r>
    <r>
      <rPr>
        <sz val="12"/>
        <rFont val="Times New Roman"/>
        <family val="1"/>
        <charset val="204"/>
      </rPr>
      <t>= 1,06</t>
    </r>
  </si>
  <si>
    <t>и составят = 87,9 х 1,06 =</t>
  </si>
  <si>
    <t xml:space="preserve">Итого затраты по статье "вспомогательные материалы" на передачу сторонним потребителям </t>
  </si>
  <si>
    <t>ФГУП «ГНПРКЦ «ЦСКБ-Прогресс» составляют:</t>
  </si>
  <si>
    <t>тыс.руб. без НДС</t>
  </si>
  <si>
    <t>было  01.05.2011</t>
  </si>
  <si>
    <t>ЦСКБ</t>
  </si>
  <si>
    <r>
      <rPr>
        <b/>
        <sz val="12"/>
        <color indexed="9"/>
        <rFont val="Times New Roman"/>
        <family val="1"/>
        <charset val="204"/>
      </rPr>
      <t>2011 г.</t>
    </r>
    <r>
      <rPr>
        <sz val="12"/>
        <color indexed="9"/>
        <rFont val="Times New Roman"/>
        <family val="1"/>
        <charset val="204"/>
      </rPr>
      <t xml:space="preserve"> = 621,1 тыс.руб. + 87, 9 тыс.руб. =</t>
    </r>
  </si>
  <si>
    <t>без ПСХ</t>
  </si>
  <si>
    <t>стр-ра измен., сторонн.меньше- Энерго ум.</t>
  </si>
  <si>
    <t xml:space="preserve">БЫЛО </t>
  </si>
  <si>
    <t>03.02.2010</t>
  </si>
  <si>
    <t>12.02.2010</t>
  </si>
  <si>
    <t>15.03.2010</t>
  </si>
  <si>
    <t>19.02.2010</t>
  </si>
  <si>
    <t>01.04.2010</t>
  </si>
  <si>
    <t>30.03.2010</t>
  </si>
  <si>
    <t>06.05.2010</t>
  </si>
  <si>
    <t>15.04.2010</t>
  </si>
  <si>
    <t>25.05.2010</t>
  </si>
  <si>
    <t>12.05.2010</t>
  </si>
  <si>
    <t>15.06.2010</t>
  </si>
  <si>
    <t>24.06.2010</t>
  </si>
  <si>
    <t>21.06.2010</t>
  </si>
  <si>
    <t>29.06.2010</t>
  </si>
  <si>
    <t>09.08.2010.</t>
  </si>
  <si>
    <t>03.09.2010</t>
  </si>
  <si>
    <t>11.10.2010</t>
  </si>
  <si>
    <t>18.10.2010</t>
  </si>
  <si>
    <t>10.11.2010</t>
  </si>
  <si>
    <t>12.11.2010</t>
  </si>
  <si>
    <t>11.01.11</t>
  </si>
  <si>
    <t>№ Тк0001</t>
  </si>
  <si>
    <t>ООО "Торговый дом техноград"</t>
  </si>
  <si>
    <t>28.</t>
  </si>
  <si>
    <t>10.06.2011</t>
  </si>
  <si>
    <t>15.06.2011</t>
  </si>
  <si>
    <t>17.06.2011</t>
  </si>
  <si>
    <t>1 полугодие 2011 г.</t>
  </si>
  <si>
    <t>Реестр документов, подтверждающих поступление электротехнических материалов на обслуживание и ремонт оборудования участка электроснабжения потребителей ФГУП «ГНПРКЦ «ЦСКБ-Прогресс» за 1 полугодие 2011 г.</t>
  </si>
  <si>
    <t>24.06.2011</t>
  </si>
  <si>
    <t>25.03.2011</t>
  </si>
  <si>
    <t>31.05.2011</t>
  </si>
  <si>
    <r>
      <rPr>
        <b/>
        <sz val="12"/>
        <color indexed="9"/>
        <rFont val="Times New Roman"/>
        <family val="1"/>
        <charset val="204"/>
      </rPr>
      <t>2012 г.</t>
    </r>
    <r>
      <rPr>
        <sz val="12"/>
        <color indexed="9"/>
        <rFont val="Times New Roman"/>
        <family val="1"/>
        <charset val="204"/>
      </rPr>
      <t xml:space="preserve"> = 670,2 тыс.руб. + 93,2 тыс.руб. =</t>
    </r>
  </si>
  <si>
    <t>Подстанции цех 2496 (подсобное сельское хоз-во)</t>
  </si>
  <si>
    <t>Итого подстанции</t>
  </si>
  <si>
    <t>(с учетом ПСХ)</t>
  </si>
  <si>
    <t>Сеть кабельная отд. 2680</t>
  </si>
  <si>
    <t>Подстанции отд. 2680</t>
  </si>
  <si>
    <t>1. ПОЛЕЗНЫЙ ОТПУСК КОНЕЧНЫМ ПОТРЕБИТЕЛЯМ                                                                                                                               *договор оказания услуг по передаче электрической энергии № 3 от 01.01.11г.</t>
  </si>
  <si>
    <t>2. СОБСТВЕННОЕ ПОТРЕБЛЕНИЕ                                                                                                                                                                                                                                                    ** договор энергоснабжения № 0028Э от 01.02.2010 г.</t>
  </si>
  <si>
    <t>3. ТЕХНОЛОГИЧЕСКИЙ РАСХОД (ПОТЕРИ) ЭЛЕКТРИЧЕСКОЙ ЭНЕРГИИ (МОЩНОСТИ) ПРИ ПЕРЕДАЧЕ ПО ЭЛЕКТРИЧЕСКИМ СЕТЯМ                                                                                                                                                                                         ***договор на покупку электроэнергии в целях компенсации потерь № 1001Э от 01.01.2010г.</t>
  </si>
  <si>
    <t>Первый зам. генерального директора - главный инженер</t>
  </si>
  <si>
    <t xml:space="preserve">_______________________ Тюлевин С. В. </t>
  </si>
  <si>
    <t>ООО "Энергонефть Самара"</t>
  </si>
  <si>
    <t>Руководитель  ООО "Энергонефть Самара"   ____________________________________</t>
  </si>
  <si>
    <t>Амортизационные отчисления по линиям электропередач  и подстанциям на передачу эл.энергии субабонентам составят   = 422 484 руб. х 20,55% = 86 820,46 руб.</t>
  </si>
  <si>
    <t xml:space="preserve">Передача эл. энергии потребителям </t>
  </si>
  <si>
    <t>19 416 908 тыс.руб. (себестоимость по ф.2) - 454 336 тыс.руб. (сч.26) - 1 992 885 тыс.руб.(сч.27) = 16 969 687 тыс.руб.</t>
  </si>
  <si>
    <t>ВЛЭП цех 2496 (подсобное сельское хоз-во)</t>
  </si>
  <si>
    <t xml:space="preserve">Линии электропередач </t>
  </si>
  <si>
    <t>Остаточная стоимость         на 01.01.13г.</t>
  </si>
  <si>
    <t>измен.доля на потребит -раб., амортиз, ОХР</t>
  </si>
  <si>
    <t xml:space="preserve">стало - </t>
  </si>
  <si>
    <t>ЭНЕРГО было -</t>
  </si>
  <si>
    <t>тыс.квтч</t>
  </si>
  <si>
    <t>21,37% было</t>
  </si>
  <si>
    <t>стало 20,55%</t>
  </si>
  <si>
    <t>По цеху 2496 (ПСХ)</t>
  </si>
  <si>
    <t>По цеху 2426 +по цеху 2496 (ПСХ)</t>
  </si>
  <si>
    <t>в процессе передачи эл.энергии для субабонентов (пром.площадка + ПСХ)</t>
  </si>
  <si>
    <r>
      <t xml:space="preserve">в т.ч. на передачу электроэнергии субабонентам </t>
    </r>
    <r>
      <rPr>
        <sz val="11"/>
        <rFont val="Times New Roman"/>
        <family val="1"/>
        <charset val="204"/>
      </rPr>
      <t xml:space="preserve"> </t>
    </r>
  </si>
  <si>
    <t>по данным документа "ФОТ работников ФГУП «ГНПРКЦ «ЦСКБ-Прогресс» цех 2496, связанных с передачей электрической энергии за 12 месяцев 2010 г.(стр.___ )</t>
  </si>
  <si>
    <r>
      <t>РСС +</t>
    </r>
    <r>
      <rPr>
        <sz val="10"/>
        <rFont val="Times New Roman"/>
        <family val="1"/>
        <charset val="204"/>
      </rPr>
      <t xml:space="preserve"> всп.раб.</t>
    </r>
  </si>
  <si>
    <t xml:space="preserve">РСС </t>
  </si>
  <si>
    <t>Расчет расходов на оплату труда цехового персонала (РСС+вспомог.раб.),</t>
  </si>
  <si>
    <t>по з-пл.</t>
  </si>
  <si>
    <t>По участку ПСХ на передачу эл.энергии субабонентам  принята численность: рабочих в количестве 1 чел.; РСС - 0,2 чел.</t>
  </si>
  <si>
    <t>Численность, чел.</t>
  </si>
  <si>
    <t xml:space="preserve">рабочие </t>
  </si>
  <si>
    <t>РСС</t>
  </si>
  <si>
    <t>Доля, %</t>
  </si>
  <si>
    <t>Отпуск,</t>
  </si>
  <si>
    <r>
      <t xml:space="preserve">Расчет </t>
    </r>
    <r>
      <rPr>
        <b/>
        <i/>
        <sz val="12"/>
        <rFont val="Times New Roman"/>
        <family val="1"/>
        <charset val="204"/>
      </rPr>
      <t>ФОТ</t>
    </r>
    <r>
      <rPr>
        <sz val="12"/>
        <rFont val="Times New Roman"/>
        <family val="1"/>
        <charset val="204"/>
      </rPr>
      <t xml:space="preserve"> работников по участку </t>
    </r>
    <r>
      <rPr>
        <b/>
        <i/>
        <sz val="12"/>
        <rFont val="Times New Roman"/>
        <family val="1"/>
        <charset val="204"/>
      </rPr>
      <t>передачи эл.энергии субабонентам</t>
    </r>
    <r>
      <rPr>
        <sz val="12"/>
        <rFont val="Times New Roman"/>
        <family val="1"/>
        <charset val="204"/>
      </rPr>
      <t xml:space="preserve">  произведен исходя из фактически сложившихся за 2010 г. среднемесячной</t>
    </r>
  </si>
  <si>
    <t>тарифной ставки, процентов выплат и премии электротехничекого персонала цеха 2496 (ПСХ).</t>
  </si>
  <si>
    <r>
      <t xml:space="preserve">Расчет </t>
    </r>
    <r>
      <rPr>
        <b/>
        <i/>
        <sz val="12"/>
        <rFont val="Times New Roman"/>
        <family val="1"/>
        <charset val="204"/>
      </rPr>
      <t>ФОТ</t>
    </r>
    <r>
      <rPr>
        <sz val="12"/>
        <rFont val="Times New Roman"/>
        <family val="1"/>
        <charset val="204"/>
      </rPr>
      <t xml:space="preserve"> работников по участку </t>
    </r>
    <r>
      <rPr>
        <b/>
        <i/>
        <sz val="12"/>
        <rFont val="Times New Roman"/>
        <family val="1"/>
        <charset val="204"/>
      </rPr>
      <t>передачи эл.энергии субабонентам</t>
    </r>
    <r>
      <rPr>
        <sz val="12"/>
        <rFont val="Times New Roman"/>
        <family val="1"/>
        <charset val="204"/>
      </rPr>
      <t xml:space="preserve">  произведен исходя из среднемесячной тарифной ставки, </t>
    </r>
  </si>
  <si>
    <t>процентов выплат и премии электротехничекого персонала цеха 2426 (пром.площадка), связанного с передачей эл.энергии.</t>
  </si>
  <si>
    <t>Сведения о численности и заработной плате электротехнического персонала, участвующего</t>
  </si>
  <si>
    <r>
      <t xml:space="preserve">2010 г. факт                            </t>
    </r>
    <r>
      <rPr>
        <b/>
        <sz val="10"/>
        <rFont val="Times New Roman"/>
        <family val="1"/>
        <charset val="204"/>
      </rPr>
      <t>тыс. руб.</t>
    </r>
  </si>
  <si>
    <t>на 2009 г.</t>
  </si>
  <si>
    <t xml:space="preserve">Выплаты, связанные с режимом работы с условиями труда </t>
  </si>
  <si>
    <t>Выплаты, связанные с режимом работы с условиями труда</t>
  </si>
  <si>
    <t>Процент премирования (к тарифной ставке)</t>
  </si>
  <si>
    <t>2012г.</t>
  </si>
  <si>
    <t>2011г. с Кинд.на 2012г.=1,06</t>
  </si>
  <si>
    <t>сторонним потребителям - 16 чел.</t>
  </si>
  <si>
    <t>спецодежда, инструменты, СИЗ, огнетушители</t>
  </si>
  <si>
    <t>от ООО "Энергонефть Самара"</t>
  </si>
  <si>
    <t>Другие прочие расходы (ОХР)</t>
  </si>
  <si>
    <t>уточненные электротехнические материалы - с учетом участка ПСХ (п.7)</t>
  </si>
  <si>
    <t>432 350,04 /1,18 /1000 х 1,079 х22,23%=</t>
  </si>
  <si>
    <t xml:space="preserve">679 275,89 /1,18 /1000 х 1,079= </t>
  </si>
  <si>
    <t>Обучение (повышение квалификации по направлению «Электроэнергетика» , проведение предэкзаменационной подготовки электротехнического персонала )</t>
  </si>
  <si>
    <t>Прочие расходы (содержание лабораторий, охрана труда, аттестация раб.мест, канцтовары, служ.поездки, испытания, прочие общехоз. и управл.расх.)</t>
  </si>
  <si>
    <t>Прочие затраты по содержанию и эксплуатации оборудования</t>
  </si>
  <si>
    <r>
      <t xml:space="preserve">Затраты на приобретение спецодежды - </t>
    </r>
    <r>
      <rPr>
        <b/>
        <sz val="10"/>
        <rFont val="Times New Roman"/>
        <family val="1"/>
        <charset val="204"/>
      </rPr>
      <t>50,3 тыс.руб</t>
    </r>
    <r>
      <rPr>
        <sz val="10"/>
        <rFont val="Times New Roman"/>
        <family val="1"/>
        <charset val="204"/>
      </rPr>
      <t>.; инструменты, СИЗ, огнетушители -</t>
    </r>
    <r>
      <rPr>
        <b/>
        <sz val="10"/>
        <rFont val="Times New Roman"/>
        <family val="1"/>
        <charset val="204"/>
      </rPr>
      <t>32,0 тыс.руб.</t>
    </r>
  </si>
  <si>
    <r>
      <t>Затраты на электротехнические материалы по участку ПСХ в расчет тарифов</t>
    </r>
    <r>
      <rPr>
        <b/>
        <sz val="12"/>
        <rFont val="Times New Roman"/>
        <family val="1"/>
        <charset val="204"/>
      </rPr>
      <t xml:space="preserve"> на 2011 г.</t>
    </r>
    <r>
      <rPr>
        <sz val="12"/>
        <rFont val="Times New Roman"/>
        <family val="1"/>
        <charset val="204"/>
      </rPr>
      <t xml:space="preserve"> взяты </t>
    </r>
  </si>
  <si>
    <r>
      <t>Затраты на электротехнические материалы в расчет тарифов</t>
    </r>
    <r>
      <rPr>
        <b/>
        <sz val="12"/>
        <rFont val="Times New Roman"/>
        <family val="1"/>
        <charset val="204"/>
      </rPr>
      <t xml:space="preserve"> на 2011 г.</t>
    </r>
    <r>
      <rPr>
        <sz val="12"/>
        <rFont val="Times New Roman"/>
        <family val="1"/>
        <charset val="204"/>
      </rPr>
      <t xml:space="preserve"> взяты с К</t>
    </r>
    <r>
      <rPr>
        <vertAlign val="subscript"/>
        <sz val="12"/>
        <rFont val="Times New Roman"/>
        <family val="1"/>
        <charset val="204"/>
      </rPr>
      <t xml:space="preserve">инд.к 2010г. </t>
    </r>
    <r>
      <rPr>
        <sz val="12"/>
        <rFont val="Times New Roman"/>
        <family val="1"/>
        <charset val="204"/>
      </rPr>
      <t>1,079  и составят:</t>
    </r>
  </si>
  <si>
    <t>Приложение № 2</t>
  </si>
  <si>
    <t>проверить % потерь на потребителя</t>
  </si>
  <si>
    <t>к Приказу  УГРКЭ Самарской области</t>
  </si>
  <si>
    <t>от 04.04.2005 № 10</t>
  </si>
  <si>
    <t>Структура полезного отпуска  электрической энергии ФГУП «ГНПРКЦ «ЦСКБ-Прогресс»</t>
  </si>
  <si>
    <t xml:space="preserve">  2011 г. (базовый период)</t>
  </si>
  <si>
    <t xml:space="preserve"> 2012 г. (период регулирования)</t>
  </si>
  <si>
    <t>План</t>
  </si>
  <si>
    <t>ВН (110 кВ и выше)</t>
  </si>
  <si>
    <t>СН I (35 кВ)</t>
  </si>
  <si>
    <t>СН II (20-1 кВ)</t>
  </si>
  <si>
    <t>НН (0,4 кВ и ниже)</t>
  </si>
  <si>
    <t>ВСЕГО</t>
  </si>
  <si>
    <t>СН I (35кВ)</t>
  </si>
  <si>
    <t>тыс. кВтч</t>
  </si>
  <si>
    <t>Поступление в сеть всего</t>
  </si>
  <si>
    <t xml:space="preserve">    от собственных источников</t>
  </si>
  <si>
    <t xml:space="preserve">     с ФОРЭМ</t>
  </si>
  <si>
    <t xml:space="preserve">     от ОАО "МРСК Волги"</t>
  </si>
  <si>
    <t>% 2011 г.</t>
  </si>
  <si>
    <t>% 2012 г.</t>
  </si>
  <si>
    <t xml:space="preserve">Расход электроэнергии на хозяйственные нужды </t>
  </si>
  <si>
    <t>Расчетные потери - всего</t>
  </si>
  <si>
    <t xml:space="preserve">     отнесенные на собственное производство (потребление)</t>
  </si>
  <si>
    <t xml:space="preserve">     отнесенные на транзит</t>
  </si>
  <si>
    <t xml:space="preserve">     отнесенные на полезный отпуск собственным потребителям</t>
  </si>
  <si>
    <t>Передача по транзиту (сальдо-переток)</t>
  </si>
  <si>
    <t>Полезный отпуск собственным потребителям - всего</t>
  </si>
  <si>
    <t xml:space="preserve">  Бюджетные потребители</t>
  </si>
  <si>
    <t xml:space="preserve">  Учреждения департамента социальной защиты</t>
  </si>
  <si>
    <t xml:space="preserve">  Население и приравненные к нему потребители - всего</t>
  </si>
  <si>
    <t>6.3.1.</t>
  </si>
  <si>
    <t xml:space="preserve">     Население городское</t>
  </si>
  <si>
    <t>6.3.2.</t>
  </si>
  <si>
    <t xml:space="preserve">     Население городское с электроплитами</t>
  </si>
  <si>
    <t>6.3.3.</t>
  </si>
  <si>
    <t xml:space="preserve">     Население сельское</t>
  </si>
  <si>
    <t>6.3.4.</t>
  </si>
  <si>
    <t xml:space="preserve">     Населенные пункты городские</t>
  </si>
  <si>
    <t>6.3.5.</t>
  </si>
  <si>
    <t xml:space="preserve">     Населенные пункты сельские</t>
  </si>
  <si>
    <t>6.3.6.</t>
  </si>
  <si>
    <t xml:space="preserve">     Садоводческие товарищества,ГСК, ЖСК,ДСК,религиозные организации городское</t>
  </si>
  <si>
    <t>6.3.7.</t>
  </si>
  <si>
    <t xml:space="preserve">     Садоводческие товарищества,ГСК, ЖСК,ДСК,религиозные организации сельское</t>
  </si>
  <si>
    <t>6.3.8.</t>
  </si>
  <si>
    <t xml:space="preserve">     Жилищные организации на технологические цели</t>
  </si>
  <si>
    <t>6.4.</t>
  </si>
  <si>
    <t xml:space="preserve">  Прочие потребители - всего</t>
  </si>
  <si>
    <t>6.4.1.</t>
  </si>
  <si>
    <t xml:space="preserve">     Промышленные потребители &gt; 750 кВА (двухставочный тариф)</t>
  </si>
  <si>
    <t>6.4.1.1.</t>
  </si>
  <si>
    <t xml:space="preserve">     Заявленная мощность для промышленных потребителей &gt; 750 кВА, МВт*</t>
  </si>
  <si>
    <t>6.4.2.</t>
  </si>
  <si>
    <t xml:space="preserve">     Промышленные потребители &lt; 750 кВА (одноставочный тариф)</t>
  </si>
  <si>
    <t>6.4.3.</t>
  </si>
  <si>
    <t xml:space="preserve">     Непромышленные потребители</t>
  </si>
  <si>
    <t>6.4.4.</t>
  </si>
  <si>
    <t xml:space="preserve">     Электрифицированный ж/д транспорт (электротяга)</t>
  </si>
  <si>
    <t>6.4.5.</t>
  </si>
  <si>
    <t xml:space="preserve">     Электрифицированный ж/д транспорт (кроме электротяги)</t>
  </si>
  <si>
    <t>6.4.6.</t>
  </si>
  <si>
    <t xml:space="preserve">     Электрифицированный городской транспорт (электротяга)</t>
  </si>
  <si>
    <t>6.4.7.</t>
  </si>
  <si>
    <t xml:space="preserve">     Электрифицированный городской транспорт, включая метро (кроме электротяги)</t>
  </si>
  <si>
    <t>6.4.8.</t>
  </si>
  <si>
    <t xml:space="preserve">     Сельскохозяйственные потребители</t>
  </si>
  <si>
    <t>6.4.9.</t>
  </si>
  <si>
    <t xml:space="preserve">     Другие ЭСО (ОПП) указать</t>
  </si>
  <si>
    <t>6.5.</t>
  </si>
  <si>
    <t xml:space="preserve">  Базовые потребители</t>
  </si>
  <si>
    <t>Харитонова ЛС.</t>
  </si>
  <si>
    <r>
      <t xml:space="preserve">           СН II несетевым организациям </t>
    </r>
    <r>
      <rPr>
        <sz val="11"/>
        <color indexed="10"/>
        <rFont val="Times New Roman"/>
        <family val="1"/>
        <charset val="204"/>
      </rPr>
      <t>(НАСЕЛЕНИЕ)</t>
    </r>
  </si>
  <si>
    <t xml:space="preserve">           НН несетевым организациям </t>
  </si>
  <si>
    <t xml:space="preserve">в т.ч. ВН несетевым организациям </t>
  </si>
  <si>
    <t>Платежи ОАО "Самараэнерго" в адрес ФГУП «ГНПРКЦ «ЦСКБ-Прогресс»</t>
  </si>
  <si>
    <t>Платежи ФГУП «ГНПРКЦ «ЦСКБ-Прогресс» в адрес:</t>
  </si>
  <si>
    <t>Платежи в адрес ФГУП «ГНПРКЦ «ЦСКБ-Прогресс» от смежных сетевых всего:</t>
  </si>
  <si>
    <t>ЗАО "ССК"</t>
  </si>
  <si>
    <t>ОАО "РЖД"</t>
  </si>
  <si>
    <t>МП г.о.Самара "Самарский  метрополитен"</t>
  </si>
  <si>
    <t>Потери в сетях ФГУП «ГНПРКЦ «ЦСКБ-Прогресс» на потребителя -</t>
  </si>
  <si>
    <t>по дог.должно получ.</t>
  </si>
  <si>
    <t>Единые (котловые) тарифы на услуги по передаче</t>
  </si>
  <si>
    <t xml:space="preserve">электрической энергии по сетям Самарской области </t>
  </si>
  <si>
    <t>Уровень напря- жения</t>
  </si>
  <si>
    <t>2-х ставочный</t>
  </si>
  <si>
    <t>одноставочный</t>
  </si>
  <si>
    <t>Индекс роста к пред.                 году</t>
  </si>
  <si>
    <r>
      <t>Т</t>
    </r>
    <r>
      <rPr>
        <b/>
        <vertAlign val="superscript"/>
        <sz val="10"/>
        <rFont val="Times New Roman"/>
        <family val="1"/>
        <charset val="204"/>
      </rPr>
      <t>СОД</t>
    </r>
  </si>
  <si>
    <r>
      <t>Т</t>
    </r>
    <r>
      <rPr>
        <b/>
        <vertAlign val="superscript"/>
        <sz val="10"/>
        <rFont val="Times New Roman"/>
        <family val="1"/>
        <charset val="204"/>
      </rPr>
      <t>ПОТ</t>
    </r>
  </si>
  <si>
    <t>час.</t>
  </si>
  <si>
    <t>на 2011г. изм. пр.27 от 28.04.11</t>
  </si>
  <si>
    <t>с 01.01.2011</t>
  </si>
  <si>
    <t>2011 г. к 2009 г. (за два года)</t>
  </si>
  <si>
    <t>двухстав.</t>
  </si>
  <si>
    <t>одностав.</t>
  </si>
  <si>
    <t>содерж.</t>
  </si>
  <si>
    <t>опл.пот.</t>
  </si>
  <si>
    <t>2013 г.</t>
  </si>
  <si>
    <t>2014 г.</t>
  </si>
  <si>
    <t>2015 г.</t>
  </si>
  <si>
    <r>
      <t xml:space="preserve"> Расчет по договорам оказания услуг по передаче электрической энергии  </t>
    </r>
    <r>
      <rPr>
        <b/>
        <sz val="12"/>
        <color indexed="10"/>
        <rFont val="Times New Roman"/>
        <family val="1"/>
        <charset val="204"/>
      </rPr>
      <t>на 2012 г.</t>
    </r>
  </si>
  <si>
    <r>
      <t xml:space="preserve">Объемы организ.по стр-ре от 29.04.11г. </t>
    </r>
    <r>
      <rPr>
        <b/>
        <sz val="10"/>
        <color indexed="10"/>
        <rFont val="Calibri"/>
        <family val="2"/>
        <charset val="204"/>
      </rPr>
      <t>≈ факт.2010г.</t>
    </r>
  </si>
  <si>
    <t>др.стр-ра</t>
  </si>
  <si>
    <t>Объемы организ.по стр-ре Самараэнерго</t>
  </si>
  <si>
    <t>ЗАО "ССК" (п.77)</t>
  </si>
  <si>
    <t>ОАО "РЖД" (п.78)</t>
  </si>
  <si>
    <t>ООО "Энерго" (п.48)</t>
  </si>
  <si>
    <t>МП г.о.Самара "Самарский  метрополитен" (п.123)</t>
  </si>
  <si>
    <t>ОАО "МРСК Волги" (п.162)</t>
  </si>
  <si>
    <t>ООО "Энергонефть Самара"  ????</t>
  </si>
  <si>
    <t>по 2- став.</t>
  </si>
  <si>
    <t>по одностав. 2012 г.</t>
  </si>
  <si>
    <t>1 полугодие 2012 г.</t>
  </si>
  <si>
    <t>при работе по 2-х став.тарифу с ОАО "МРСК Волги"</t>
  </si>
  <si>
    <t>платит Самараэнерго по одноставочным</t>
  </si>
  <si>
    <t>ччим</t>
  </si>
  <si>
    <t>2 полугодие 2012 г.</t>
  </si>
  <si>
    <r>
      <t>МП г.о.Самара "Самарский  метрополитен"</t>
    </r>
    <r>
      <rPr>
        <b/>
        <i/>
        <sz val="12"/>
        <color indexed="10"/>
        <rFont val="Times New Roman"/>
        <family val="1"/>
        <charset val="204"/>
      </rPr>
      <t xml:space="preserve"> (п.57)</t>
    </r>
  </si>
  <si>
    <r>
      <t xml:space="preserve">ЗАО "ССК" </t>
    </r>
    <r>
      <rPr>
        <b/>
        <i/>
        <sz val="12"/>
        <color indexed="10"/>
        <rFont val="Times New Roman"/>
        <family val="1"/>
        <charset val="204"/>
      </rPr>
      <t>(п.179)</t>
    </r>
  </si>
  <si>
    <r>
      <t>ОАО "РЖД"</t>
    </r>
    <r>
      <rPr>
        <b/>
        <i/>
        <sz val="12"/>
        <color indexed="10"/>
        <rFont val="Times New Roman"/>
        <family val="1"/>
        <charset val="204"/>
      </rPr>
      <t xml:space="preserve"> (п.180)</t>
    </r>
  </si>
  <si>
    <r>
      <t>ООО "Энерго"</t>
    </r>
    <r>
      <rPr>
        <b/>
        <i/>
        <sz val="12"/>
        <color indexed="10"/>
        <rFont val="Times New Roman"/>
        <family val="1"/>
        <charset val="204"/>
      </rPr>
      <t xml:space="preserve"> (п.140)</t>
    </r>
  </si>
  <si>
    <r>
      <t xml:space="preserve">ООО "Энергонефть Самара" </t>
    </r>
    <r>
      <rPr>
        <b/>
        <i/>
        <sz val="12"/>
        <color indexed="10"/>
        <rFont val="Times New Roman"/>
        <family val="1"/>
        <charset val="204"/>
      </rPr>
      <t>(п.182)</t>
    </r>
  </si>
  <si>
    <r>
      <t xml:space="preserve">ОАО "МРСК Волги" </t>
    </r>
    <r>
      <rPr>
        <b/>
        <i/>
        <sz val="12"/>
        <color indexed="10"/>
        <rFont val="Times New Roman"/>
        <family val="1"/>
        <charset val="204"/>
      </rPr>
      <t>(п.181</t>
    </r>
    <r>
      <rPr>
        <sz val="12"/>
        <rFont val="Times New Roman"/>
        <family val="1"/>
        <charset val="204"/>
      </rPr>
      <t>)</t>
    </r>
  </si>
  <si>
    <r>
      <t xml:space="preserve"> Расчет по договорам оказания услуг по передаче электрической энергии  </t>
    </r>
    <r>
      <rPr>
        <b/>
        <sz val="12"/>
        <color indexed="10"/>
        <rFont val="Times New Roman"/>
        <family val="1"/>
        <charset val="204"/>
      </rPr>
      <t>на 1 полугодие 2012 г.</t>
    </r>
  </si>
  <si>
    <r>
      <t xml:space="preserve">Платежи за 1 полугодие, </t>
    </r>
    <r>
      <rPr>
        <b/>
        <sz val="11"/>
        <rFont val="Times New Roman"/>
        <family val="1"/>
        <charset val="204"/>
      </rPr>
      <t>тыс.руб.</t>
    </r>
  </si>
  <si>
    <r>
      <t xml:space="preserve">Платежи за 2 полугодие, </t>
    </r>
    <r>
      <rPr>
        <b/>
        <sz val="11"/>
        <rFont val="Times New Roman"/>
        <family val="1"/>
        <charset val="204"/>
      </rPr>
      <t>тыс.руб.</t>
    </r>
  </si>
  <si>
    <r>
      <t xml:space="preserve"> Расчет по договорам оказания услуг по передаче электрической энергии  </t>
    </r>
    <r>
      <rPr>
        <b/>
        <sz val="12"/>
        <color indexed="10"/>
        <rFont val="Times New Roman"/>
        <family val="1"/>
        <charset val="204"/>
      </rPr>
      <t>на 2 полугодие 2012 г.</t>
    </r>
  </si>
  <si>
    <t>год</t>
  </si>
  <si>
    <t>если объемы увелич. - выбрать 2-х став.тариф с МРСК</t>
  </si>
  <si>
    <t xml:space="preserve">2011 год НВВ </t>
  </si>
  <si>
    <t xml:space="preserve">2012 год НВВ </t>
  </si>
  <si>
    <t>по 2-х став.</t>
  </si>
  <si>
    <t xml:space="preserve"> за объем 9 420,0</t>
  </si>
  <si>
    <t xml:space="preserve"> за объем 20 123,0</t>
  </si>
  <si>
    <t>тыс.кВтч</t>
  </si>
  <si>
    <t>отклон.</t>
  </si>
  <si>
    <t xml:space="preserve">В случае увеличения объема передачи эл.энергии в сети Энерго </t>
  </si>
  <si>
    <t>1. с Энерго выгоднее работать по одностав.тарифу</t>
  </si>
  <si>
    <t>2. с МРСК выгоднее работать по 2-х ставочн.тарифу</t>
  </si>
  <si>
    <t xml:space="preserve"> за объем 22 751,776</t>
  </si>
  <si>
    <t>Выручка ЦСКБ =</t>
  </si>
  <si>
    <t>платежи Энерго в адрес ЦСКБ Прогресс тыс.руб.</t>
  </si>
  <si>
    <t>платежи ЦСКБ Прогресс в адрес МРСК тыс.руб.</t>
  </si>
  <si>
    <t>часов в 1 полугодии</t>
  </si>
  <si>
    <t>часов во 2 полугодии</t>
  </si>
  <si>
    <r>
      <t xml:space="preserve">Платежи за 2012 год, </t>
    </r>
    <r>
      <rPr>
        <b/>
        <sz val="11"/>
        <rFont val="Times New Roman"/>
        <family val="1"/>
        <charset val="204"/>
      </rPr>
      <t>тыс.руб.</t>
    </r>
  </si>
  <si>
    <t>по 2- ставочному</t>
  </si>
  <si>
    <t xml:space="preserve">при работе с сетевыми по одностав.тарифу </t>
  </si>
  <si>
    <t xml:space="preserve"> за объем 33 419,04</t>
  </si>
  <si>
    <t>Расчёт коэффициента индексации</t>
  </si>
  <si>
    <t>2011 год утвержденный</t>
  </si>
  <si>
    <t>2012 год утвержденный</t>
  </si>
  <si>
    <t>2011 год                     факт.</t>
  </si>
  <si>
    <t>2012 г. факт.</t>
  </si>
  <si>
    <t>2014 год предложения по корректировке</t>
  </si>
  <si>
    <t>Инфляция</t>
  </si>
  <si>
    <r>
      <t xml:space="preserve">Индекс эффективности </t>
    </r>
    <r>
      <rPr>
        <sz val="11"/>
        <color indexed="10"/>
        <rFont val="Arial"/>
        <family val="2"/>
        <charset val="204"/>
      </rPr>
      <t xml:space="preserve">подконтрольных </t>
    </r>
    <r>
      <rPr>
        <sz val="11"/>
        <color indexed="8"/>
        <rFont val="Arial"/>
        <family val="2"/>
        <charset val="204"/>
      </rPr>
      <t>расходов</t>
    </r>
  </si>
  <si>
    <t>1.3</t>
  </si>
  <si>
    <t>Количество активов</t>
  </si>
  <si>
    <t>1.4</t>
  </si>
  <si>
    <t>Индекс изменения количества активов</t>
  </si>
  <si>
    <t>1.5</t>
  </si>
  <si>
    <t>Коэффициент эластичности затрат по росту активов</t>
  </si>
  <si>
    <t>1.6</t>
  </si>
  <si>
    <t>Итого коэффициент индексации</t>
  </si>
  <si>
    <t>1.7</t>
  </si>
  <si>
    <r>
      <t>Максимальный процент корректировки НВВ с учетом достижения установленного уровня надежности и качества услуг (П</t>
    </r>
    <r>
      <rPr>
        <vertAlign val="subscript"/>
        <sz val="14"/>
        <color indexed="8"/>
        <rFont val="Arial"/>
        <family val="2"/>
        <charset val="204"/>
      </rPr>
      <t>кор</t>
    </r>
    <r>
      <rPr>
        <sz val="11"/>
        <color indexed="8"/>
        <rFont val="Arial"/>
        <family val="2"/>
        <charset val="204"/>
      </rPr>
      <t>)</t>
    </r>
  </si>
  <si>
    <t>1.8</t>
  </si>
  <si>
    <r>
      <t>Плановый показатель средней продолжительности прекращений передачи электрической энергии (П</t>
    </r>
    <r>
      <rPr>
        <vertAlign val="subscript"/>
        <sz val="14"/>
        <color indexed="8"/>
        <rFont val="Arial"/>
        <family val="2"/>
        <charset val="204"/>
      </rPr>
      <t>п</t>
    </r>
    <r>
      <rPr>
        <sz val="11"/>
        <color indexed="8"/>
        <rFont val="Arial"/>
        <family val="2"/>
        <charset val="204"/>
      </rPr>
      <t>)</t>
    </r>
  </si>
  <si>
    <t>1.9</t>
  </si>
  <si>
    <t>Плановый показатель уровня качества оказываемых услуг ТСО (Птсо)</t>
  </si>
  <si>
    <t>2.0</t>
  </si>
  <si>
    <r>
      <t>Обобщенный показатель надежности и качества оказываемых услуг (К</t>
    </r>
    <r>
      <rPr>
        <vertAlign val="subscript"/>
        <sz val="14"/>
        <color indexed="8"/>
        <rFont val="Arial"/>
        <family val="2"/>
        <charset val="204"/>
      </rPr>
      <t>об</t>
    </r>
    <r>
      <rPr>
        <sz val="11"/>
        <color indexed="8"/>
        <rFont val="Arial"/>
        <family val="2"/>
        <charset val="204"/>
      </rPr>
      <t>)</t>
    </r>
  </si>
  <si>
    <t>Расчёт подконтрольных расходов</t>
  </si>
  <si>
    <t>2013 год утвержденный</t>
  </si>
  <si>
    <t>1..1.2.</t>
  </si>
  <si>
    <t>1.3.1.</t>
  </si>
  <si>
    <t>1.3.2.</t>
  </si>
  <si>
    <t>1.3.2.1.</t>
  </si>
  <si>
    <t>1.3.2.2.</t>
  </si>
  <si>
    <t>1.3.2.3.</t>
  </si>
  <si>
    <t>1.3.2.4.</t>
  </si>
  <si>
    <t>1.3.2.5.</t>
  </si>
  <si>
    <t>1.3.2.6.</t>
  </si>
  <si>
    <t>1.3.3.</t>
  </si>
  <si>
    <t>1.3.4.</t>
  </si>
  <si>
    <t>1.3.5.</t>
  </si>
  <si>
    <t>1.3.6.</t>
  </si>
  <si>
    <t>1.3.7.</t>
  </si>
  <si>
    <t>Другие прочие расходы</t>
  </si>
  <si>
    <t>1.4.3.</t>
  </si>
  <si>
    <t>ИТОГО подконтрольные расходы</t>
  </si>
  <si>
    <t>Расчёт неподконтрольных расходов</t>
  </si>
  <si>
    <t>2.5.1.</t>
  </si>
  <si>
    <t>2.5.2.</t>
  </si>
  <si>
    <t>2.5.3.</t>
  </si>
  <si>
    <t>Прибыль на капитальные вложения</t>
  </si>
  <si>
    <t>ИТОГО неподконтрольные расходы</t>
  </si>
  <si>
    <t>Корректировка НВВ на содержание с учетом достижения плановых показателей уровня надежности и качества оказываемых услуг</t>
  </si>
  <si>
    <r>
      <t xml:space="preserve">Корректировка НВВ на содержание с учетом достижения плановых показателей уровня надежности и качества оказываемых услуг (НВВ </t>
    </r>
    <r>
      <rPr>
        <vertAlign val="superscript"/>
        <sz val="14"/>
        <color indexed="10"/>
        <rFont val="Arial Cyr"/>
        <charset val="204"/>
      </rPr>
      <t>сод.</t>
    </r>
    <r>
      <rPr>
        <vertAlign val="subscript"/>
        <sz val="14"/>
        <color indexed="10"/>
        <rFont val="Arial Cyr"/>
        <charset val="204"/>
      </rPr>
      <t xml:space="preserve">i-2 </t>
    </r>
    <r>
      <rPr>
        <sz val="11"/>
        <color indexed="10"/>
        <rFont val="Arial Cyr"/>
        <charset val="204"/>
      </rPr>
      <t>х К</t>
    </r>
    <r>
      <rPr>
        <vertAlign val="subscript"/>
        <sz val="14"/>
        <color indexed="10"/>
        <rFont val="Arial Cyr"/>
        <charset val="204"/>
      </rPr>
      <t xml:space="preserve">об </t>
    </r>
    <r>
      <rPr>
        <sz val="11"/>
        <color indexed="10"/>
        <rFont val="Arial Cyr"/>
        <charset val="204"/>
      </rPr>
      <t>х П</t>
    </r>
    <r>
      <rPr>
        <vertAlign val="subscript"/>
        <sz val="11"/>
        <color indexed="10"/>
        <rFont val="Arial Cyr"/>
        <charset val="204"/>
      </rPr>
      <t>кор</t>
    </r>
    <r>
      <rPr>
        <sz val="11"/>
        <color indexed="10"/>
        <rFont val="Arial Cyr"/>
        <charset val="204"/>
      </rPr>
      <t>)</t>
    </r>
  </si>
  <si>
    <t>ИТОГО НВВ на содержание сетей</t>
  </si>
  <si>
    <r>
      <t xml:space="preserve">НВВ сетевой организации ВСЕГО </t>
    </r>
    <r>
      <rPr>
        <sz val="11"/>
        <rFont val="Arial"/>
        <family val="2"/>
        <charset val="204"/>
      </rPr>
      <t xml:space="preserve">(без учета расходов на оплату услуг территориальных сетевых организаций, расходов на оплату потерь электроэнергии) </t>
    </r>
  </si>
  <si>
    <t>Амортиза ция за 2012год, руб.</t>
  </si>
  <si>
    <r>
      <t>по договорам 2012 г.</t>
    </r>
    <r>
      <rPr>
        <b/>
        <sz val="10"/>
        <rFont val="Times New Roman"/>
        <family val="1"/>
        <charset val="204"/>
      </rPr>
      <t xml:space="preserve"> </t>
    </r>
    <r>
      <rPr>
        <i/>
        <sz val="11"/>
        <rFont val="Times New Roman"/>
        <family val="1"/>
        <charset val="204"/>
      </rPr>
      <t>(Самараэнерго - одноставочный)</t>
    </r>
  </si>
  <si>
    <t>1 полугодие 2013 г.</t>
  </si>
  <si>
    <t>2 полугодие 2013 г.</t>
  </si>
  <si>
    <t xml:space="preserve">Предложения по корректировке необходимой валовой выручки ФГУП «ГНПРКЦ «ЦСКБ-Прогресс» на 2014 г. </t>
  </si>
  <si>
    <t>2014 год утвержденный в 2011г.</t>
  </si>
  <si>
    <t>Предложения организации 2012 год</t>
  </si>
  <si>
    <t>2012 год предложения организации</t>
  </si>
  <si>
    <t>Реестр документов, подтверждающих поступление электротехнических материалов на обслуживание и ремонт оборудования участка электроснабжения потребителей ФГУП «ГНПРКЦ «ЦСКБ-Прогресс» за 2012 г.</t>
  </si>
  <si>
    <t xml:space="preserve"> 2012 год</t>
  </si>
  <si>
    <t>16.05.2012</t>
  </si>
  <si>
    <t>№ КЭТ 0000393</t>
  </si>
  <si>
    <t>№ КЭТ 0000487</t>
  </si>
  <si>
    <t>13.06.2012</t>
  </si>
  <si>
    <t>19.06.2012</t>
  </si>
  <si>
    <t>№ КЭТ 0000504</t>
  </si>
  <si>
    <t>20.07.2012</t>
  </si>
  <si>
    <t>№ КЭТ 0000611</t>
  </si>
  <si>
    <t>30.08.2012</t>
  </si>
  <si>
    <t>№ КЭТ 0000726</t>
  </si>
  <si>
    <t>ООО "Волгаэлектросбыт"</t>
  </si>
  <si>
    <t>02.05.2012</t>
  </si>
  <si>
    <t>№ 2.17МА1951/2</t>
  </si>
  <si>
    <t>23.04.2012</t>
  </si>
  <si>
    <t>№ 2.17МА1951.1-1/2</t>
  </si>
  <si>
    <t>27.06.2012</t>
  </si>
  <si>
    <t>19.07.2012</t>
  </si>
  <si>
    <t>№ 21211</t>
  </si>
  <si>
    <t>28.08.2012</t>
  </si>
  <si>
    <t>№ 25096</t>
  </si>
  <si>
    <t>18.04.2012</t>
  </si>
  <si>
    <t>№ 806</t>
  </si>
  <si>
    <t>14.06.2012</t>
  </si>
  <si>
    <t>№ 17262</t>
  </si>
  <si>
    <t>№ 807</t>
  </si>
  <si>
    <t>27.07.2012</t>
  </si>
  <si>
    <t>№ 22156</t>
  </si>
  <si>
    <t xml:space="preserve">476512,82 /1,18 /1000 х 1,071= </t>
  </si>
  <si>
    <r>
      <t xml:space="preserve">На </t>
    </r>
    <r>
      <rPr>
        <b/>
        <sz val="12"/>
        <rFont val="Times New Roman"/>
        <family val="1"/>
        <charset val="204"/>
      </rPr>
      <t xml:space="preserve">2014 г. </t>
    </r>
    <r>
      <rPr>
        <sz val="12"/>
        <rFont val="Times New Roman"/>
        <family val="1"/>
        <charset val="204"/>
      </rPr>
      <t>затраты по статье "вспомогательные материалы" проиндексированы на К</t>
    </r>
    <r>
      <rPr>
        <vertAlign val="subscript"/>
        <sz val="12"/>
        <rFont val="Times New Roman"/>
        <family val="1"/>
        <charset val="204"/>
      </rPr>
      <t xml:space="preserve">инд.к 2013г. </t>
    </r>
    <r>
      <rPr>
        <sz val="12"/>
        <rFont val="Times New Roman"/>
        <family val="1"/>
        <charset val="204"/>
      </rPr>
      <t>= 1,054</t>
    </r>
  </si>
  <si>
    <r>
      <t>Затраты на электротехнические материалы в расчет тарифов</t>
    </r>
    <r>
      <rPr>
        <b/>
        <sz val="12"/>
        <rFont val="Times New Roman"/>
        <family val="1"/>
        <charset val="204"/>
      </rPr>
      <t xml:space="preserve"> на 2013 г.</t>
    </r>
    <r>
      <rPr>
        <sz val="12"/>
        <rFont val="Times New Roman"/>
        <family val="1"/>
        <charset val="204"/>
      </rPr>
      <t xml:space="preserve"> взяты с К</t>
    </r>
    <r>
      <rPr>
        <vertAlign val="subscript"/>
        <sz val="12"/>
        <rFont val="Times New Roman"/>
        <family val="1"/>
        <charset val="204"/>
      </rPr>
      <t xml:space="preserve">инд.к 2012г. </t>
    </r>
    <r>
      <rPr>
        <sz val="12"/>
        <rFont val="Times New Roman"/>
        <family val="1"/>
        <charset val="204"/>
      </rPr>
      <t>=1,071  и составят:</t>
    </r>
  </si>
  <si>
    <t>и составят = 432,5 х 1,054=</t>
  </si>
  <si>
    <t>Определение места повреждения кабеля и устранение повреждения от РУ 30 до КТП ООО "Исток" и от РУ 71 до ГПП220/10</t>
  </si>
  <si>
    <t xml:space="preserve">    Всего 2012 г.</t>
  </si>
  <si>
    <t>Плановая профилактическая проверка электротехнических цепей, релейной защиты измерения, учета и автоматики ЗРУ -10кВ на ГПП</t>
  </si>
  <si>
    <t>Договр №5  от 16.03.2012г. ООО "Строй-Гарант", справка о стоимости и акт вып.работ, платежные поручения №15568 от 25.05.2012 и № 33585 от 29.112012г.</t>
  </si>
  <si>
    <t>2012 г.затраты на потребителя d = 14,74%</t>
  </si>
  <si>
    <t>тыс.квтч.</t>
  </si>
  <si>
    <t>Доля на потребителя -</t>
  </si>
  <si>
    <t>Отпуск в сеть ФГУП «ГНПРКЦ «ЦСКБ-Прогресс» эл.эн. на потребителя -</t>
  </si>
  <si>
    <t>Собственное потребление эл.эн. ФГУП «ГНПРКЦ «ЦСКБ-Прогресс»</t>
  </si>
  <si>
    <t>На передачу потребителям (ЗАО "ССК") :</t>
  </si>
  <si>
    <r>
      <t>Затраты на электротехнические материалы по участку ПСХ в расчет тарифов</t>
    </r>
    <r>
      <rPr>
        <b/>
        <sz val="12"/>
        <rFont val="Times New Roman"/>
        <family val="1"/>
        <charset val="204"/>
      </rPr>
      <t xml:space="preserve"> на 2013 г.</t>
    </r>
    <r>
      <rPr>
        <sz val="12"/>
        <rFont val="Times New Roman"/>
        <family val="1"/>
        <charset val="204"/>
      </rPr>
      <t xml:space="preserve"> взяты </t>
    </r>
  </si>
  <si>
    <r>
      <t>Затраты на электротехнические материалы в расчет тарифа</t>
    </r>
    <r>
      <rPr>
        <b/>
        <sz val="12"/>
        <rFont val="Times New Roman"/>
        <family val="1"/>
        <charset val="204"/>
      </rPr>
      <t xml:space="preserve"> на 2013 г.</t>
    </r>
    <r>
      <rPr>
        <sz val="12"/>
        <rFont val="Times New Roman"/>
        <family val="1"/>
        <charset val="204"/>
      </rPr>
      <t xml:space="preserve"> по участку ПСХ на передачу сторонним </t>
    </r>
  </si>
  <si>
    <t>с Кинд.= 1,071 пропорционально полезному отпуску:</t>
  </si>
  <si>
    <t>432350,04 /1,18 /1000 х 1,071 Х 19,41%=</t>
  </si>
  <si>
    <r>
      <rPr>
        <b/>
        <sz val="12"/>
        <color indexed="9"/>
        <rFont val="Times New Roman"/>
        <family val="1"/>
        <charset val="204"/>
      </rPr>
      <t>2013 г.</t>
    </r>
    <r>
      <rPr>
        <sz val="12"/>
        <color indexed="9"/>
        <rFont val="Times New Roman"/>
        <family val="1"/>
        <charset val="204"/>
      </rPr>
      <t xml:space="preserve"> = 432,5 тыс.руб. + 76,2 тыс.руб. =</t>
    </r>
  </si>
  <si>
    <r>
      <rPr>
        <b/>
        <sz val="12"/>
        <color indexed="9"/>
        <rFont val="Times New Roman"/>
        <family val="1"/>
        <charset val="204"/>
      </rPr>
      <t>2014 г.</t>
    </r>
    <r>
      <rPr>
        <sz val="12"/>
        <color indexed="9"/>
        <rFont val="Times New Roman"/>
        <family val="1"/>
        <charset val="204"/>
      </rPr>
      <t xml:space="preserve"> = 455,9 тыс.руб. + 80,3 тыс.руб. =</t>
    </r>
  </si>
  <si>
    <t>Диагностика кабельной линии ГПП 110кВ ССК - КРУ 22 ФГУП «ГНПРКЦ «ЦСКБ-Прогресс»</t>
  </si>
  <si>
    <t>Договор подряда №43/2012 от 01.08.2012 ООО "Энергостройсервис", справка о стоимости и акт вып.работ, платежное поручение № 28968 от 08.10.12, схема  электроснабжения на потребителя</t>
  </si>
  <si>
    <t>Периодические испытания трансформаторного масла силовых трансформаторов ТРДЦН-63000/220кВ Т-1 и Т-2 на ГПП</t>
  </si>
  <si>
    <t>Договор подряда № 38 от 20.11.2012 ООО "СЭРМН", акт вып.раб., справка о стоимости работ, платежное поручение № 6434 от 06.03.2013г.</t>
  </si>
  <si>
    <t>Договор №8 от 18.09.2012 г. ООО "Газпром трансгаз Самара", платежное поручение № 1723 от 21.01.2013</t>
  </si>
  <si>
    <r>
      <t xml:space="preserve">Договор № 6 от 20.04.2012г. ОАО "Самараэнерго", акт вып.раб.от 15.02.2013г., </t>
    </r>
    <r>
      <rPr>
        <b/>
        <i/>
        <sz val="10"/>
        <rFont val="Times New Roman"/>
        <family val="1"/>
        <charset val="204"/>
      </rPr>
      <t>сумма по договору всего</t>
    </r>
  </si>
  <si>
    <r>
      <rPr>
        <b/>
        <sz val="10"/>
        <rFont val="Times New Roman"/>
        <family val="1"/>
        <charset val="204"/>
      </rPr>
      <t>на электроснабжение</t>
    </r>
    <r>
      <rPr>
        <sz val="10"/>
        <rFont val="Times New Roman"/>
        <family val="1"/>
        <charset val="204"/>
      </rPr>
      <t xml:space="preserve"> в доле 33,3% (т.к. 3 вида деятельности: электроснабжение, тепло- и водоснабжение</t>
    </r>
  </si>
  <si>
    <t>в т.ч. КВ на полное восстановление ОФ</t>
  </si>
  <si>
    <t>Договор с ООО "ЦДО "Промэнергобезопасность", реестр счетов-фактур с 01.01.2012 по 31.12.2012, платежные поручения</t>
  </si>
  <si>
    <r>
      <t xml:space="preserve">Расходы на стандарты раскрытия информации организации, осуществляющей регулируемые виды деятельности </t>
    </r>
    <r>
      <rPr>
        <sz val="11"/>
        <rFont val="Times New Roman"/>
        <family val="1"/>
        <charset val="204"/>
      </rPr>
      <t>(сайт, публикация в газете Волжская коммуна  бухгалтерской отчетности)</t>
    </r>
  </si>
  <si>
    <t>Постановление правительства РФ от 30.12.2009г. № 24</t>
  </si>
  <si>
    <t>"неучтенных в предыдущем периоде регулирования,</t>
  </si>
  <si>
    <t>подлежащих включению в НВВ на 2014 г.</t>
  </si>
  <si>
    <t>Утверждено на 2012г.</t>
  </si>
  <si>
    <t>Расчет экономически обоснованных затрат в 2012 г.</t>
  </si>
  <si>
    <t>по статье "материалы" и "услуги сторонних организаций по ремонту, техническому обслуживанию оборудования" участка передачи эл.энергии ФГУП «ГНПРКЦ «ЦСКБ-Прогресс»,</t>
  </si>
  <si>
    <t>Факт 2012 г.</t>
  </si>
  <si>
    <t>предварительно на сайте</t>
  </si>
  <si>
    <r>
      <t>Страховые взносы в ПФ РФ, ФСС РФ, ФФ  ОМС и ТФ ОМС и ОС_НС (2012г.-</t>
    </r>
    <r>
      <rPr>
        <b/>
        <sz val="11"/>
        <color indexed="10"/>
        <rFont val="Arial"/>
        <family val="2"/>
        <charset val="204"/>
      </rPr>
      <t xml:space="preserve"> 1,7%, 2013 г.-1,65%</t>
    </r>
    <r>
      <rPr>
        <b/>
        <sz val="11"/>
        <rFont val="Arial"/>
        <family val="2"/>
        <charset val="204"/>
      </rPr>
      <t>)</t>
    </r>
  </si>
  <si>
    <r>
      <t>Ремонт и обслуживание злектрических сетей</t>
    </r>
    <r>
      <rPr>
        <sz val="10"/>
        <color indexed="10"/>
        <rFont val="Times New Roman"/>
        <family val="1"/>
        <charset val="204"/>
      </rPr>
      <t xml:space="preserve"> (90,0тыс.руб.)</t>
    </r>
  </si>
  <si>
    <t>корректировка</t>
  </si>
  <si>
    <t xml:space="preserve">Балансовая стоимость на 01.01.2013г.  </t>
  </si>
  <si>
    <t>Амортиза- ция за январь 2013г.</t>
  </si>
  <si>
    <t>Амортиза- ция за 2013год, руб.</t>
  </si>
  <si>
    <t>Амортизация, тыс.руб.</t>
  </si>
  <si>
    <t>Доля</t>
  </si>
  <si>
    <t>Отклонение вкл.в период регулирования в ст."недополученный по независящим  причинам доход"</t>
  </si>
  <si>
    <t>Работы и услуги производственного характера                    (в т.ч. услуги сторонних организаций по содержанию сетей и распределительных устройств)</t>
  </si>
  <si>
    <t>в т.ч. ремонт и тех.обслуживание по предписанию Ростехнадзора 2012г.</t>
  </si>
  <si>
    <r>
      <t xml:space="preserve">На </t>
    </r>
    <r>
      <rPr>
        <b/>
        <sz val="12"/>
        <rFont val="Times New Roman"/>
        <family val="1"/>
        <charset val="204"/>
      </rPr>
      <t xml:space="preserve">2014 г. </t>
    </r>
    <r>
      <rPr>
        <sz val="12"/>
        <rFont val="Times New Roman"/>
        <family val="1"/>
        <charset val="204"/>
      </rPr>
      <t xml:space="preserve">затраты по статье "вспомогательные материалы" по участку ПСХ проиндексированы </t>
    </r>
  </si>
  <si>
    <t>на Кинд.к 2013г. = 1,054 и составят =76,2 х 1,054 =</t>
  </si>
  <si>
    <t>Форма  № 5</t>
  </si>
  <si>
    <t>к приложению № 1 приказа Министерства энергетики и жилищно-коммунального хозяйства Самарской области от "___" _________2011 года № ___</t>
  </si>
  <si>
    <t>ФГУП ГНПРКЦ «ЦСКБ-Прогресс»</t>
  </si>
  <si>
    <t>Сроки предоставления: ежеквартальная - до 30 апреля, 30 июля и 30 октября. Годовая - до 1 апреля.</t>
  </si>
  <si>
    <t>форма заполняется нарастающим итогом</t>
  </si>
  <si>
    <t>Фактические показатели</t>
  </si>
  <si>
    <t>7 = 6/4</t>
  </si>
  <si>
    <t>1.1.2.1.</t>
  </si>
  <si>
    <t>численность персонала</t>
  </si>
  <si>
    <t>1.1.2.2.</t>
  </si>
  <si>
    <t>среднемесячная  заработная плата</t>
  </si>
  <si>
    <t>Налоги, всего, в том числе:</t>
  </si>
  <si>
    <t>Затраты на компенсацию потерь электрической энергии</t>
  </si>
  <si>
    <t>Платежи  компании  в адрес смежных сетевых организаций:</t>
  </si>
  <si>
    <t>…..</t>
  </si>
  <si>
    <t xml:space="preserve">Платежи в компанию от смежных организаций </t>
  </si>
  <si>
    <t>М.п. городского округа Самара "Самарский метрополитен"</t>
  </si>
  <si>
    <t>….</t>
  </si>
  <si>
    <t>Платежи в сетевую организацию по котловым тарифам</t>
  </si>
  <si>
    <t>Количество условных единиц электрооборудования, необходимых для осуществления регулируемой деятельности.</t>
  </si>
  <si>
    <t>Протяженность электрических сетей</t>
  </si>
  <si>
    <t>км.</t>
  </si>
  <si>
    <t>7.1.</t>
  </si>
  <si>
    <t>в том числе нуждающихся в замене</t>
  </si>
  <si>
    <t>Количество аварий и повреждений на сетях</t>
  </si>
  <si>
    <t>ед.</t>
  </si>
  <si>
    <t>Количество аварий и повреждений на сооружениях</t>
  </si>
  <si>
    <t>Износ сетей</t>
  </si>
  <si>
    <t>Износ оборудования</t>
  </si>
  <si>
    <t>тыс. кВт*ч</t>
  </si>
  <si>
    <t>Расход электроэнергии на хозяйственные нужды, всего</t>
  </si>
  <si>
    <t>Потери электрической энергии, всего</t>
  </si>
  <si>
    <t>отнесенные на собственное производство (потребление)</t>
  </si>
  <si>
    <t>14.2.</t>
  </si>
  <si>
    <t>технологические потери</t>
  </si>
  <si>
    <t>Полезный отпуск конечным потербителям</t>
  </si>
  <si>
    <t>Руководитель организации           _______________________</t>
  </si>
  <si>
    <t>__________________</t>
  </si>
  <si>
    <t xml:space="preserve">                   (подпись)</t>
  </si>
  <si>
    <t>(расшифровка подписи)</t>
  </si>
  <si>
    <t>Должностное лицо, ответственное за составление формы</t>
  </si>
  <si>
    <t>____________________________________________________</t>
  </si>
  <si>
    <t>______________</t>
  </si>
  <si>
    <t>(должность)</t>
  </si>
  <si>
    <t>(подпись)</t>
  </si>
  <si>
    <t>"______" _________________ 20___ год</t>
  </si>
  <si>
    <t xml:space="preserve">             (дата составления документа)</t>
  </si>
  <si>
    <t>Выпадающие доходы/экономия средств (вспомогательные материалы для выполнения ремонтов собственными силами)</t>
  </si>
  <si>
    <t>Отчет о доходах и расходах территориальной сетевой организации, регулирование тарифов на услуги которой осуществляется на основе долгосрочных параметров регулирования деятельности за  2012 год</t>
  </si>
  <si>
    <r>
      <t>Процент превышения</t>
    </r>
    <r>
      <rPr>
        <sz val="10"/>
        <rFont val="Times New Roman"/>
        <family val="1"/>
        <charset val="204"/>
      </rPr>
      <t xml:space="preserve"> (2012факт. без учета собственного потребления)/ (утверждено на 2012г.)</t>
    </r>
  </si>
  <si>
    <r>
      <t xml:space="preserve">НВВ сетевой организации ВСЕГО </t>
    </r>
    <r>
      <rPr>
        <sz val="10"/>
        <rFont val="Times New Roman"/>
        <family val="1"/>
        <charset val="204"/>
      </rPr>
      <t xml:space="preserve">(без учета расходов на оплату услуг территориальных сетевых организаций, расходов на оплату потерь электроэнергии) </t>
    </r>
  </si>
  <si>
    <t>с учетом собственного потребления</t>
  </si>
  <si>
    <t>без учета собственного потребления</t>
  </si>
  <si>
    <t>Выпадающие доходы (экономия средств) за исключением выпадающих доходов, учтенных в соответствии с п.87 Основ ценообразования</t>
  </si>
  <si>
    <t xml:space="preserve">Выпадающие доходы по п.87 Основ ценообразования </t>
  </si>
  <si>
    <t>Величина технологического расхода (потерь) электрической энергии</t>
  </si>
  <si>
    <t>2.2</t>
  </si>
  <si>
    <t>1.5.</t>
  </si>
  <si>
    <t>1.5.2.</t>
  </si>
  <si>
    <t>1.5.3.</t>
  </si>
  <si>
    <t>2.4.1.</t>
  </si>
  <si>
    <t>2.4.2.</t>
  </si>
  <si>
    <t>2.4.3.</t>
  </si>
  <si>
    <t xml:space="preserve">Расходы на покупку технологического расхода (потерь) электрической энергии </t>
  </si>
  <si>
    <t>2016 год</t>
  </si>
  <si>
    <t>2017 год</t>
  </si>
  <si>
    <t>2018 год</t>
  </si>
  <si>
    <t>2019 год</t>
  </si>
  <si>
    <t>плат.сск авг.-сент.=</t>
  </si>
  <si>
    <t>с ндс</t>
  </si>
  <si>
    <t>2013г.</t>
  </si>
  <si>
    <t xml:space="preserve">итого </t>
  </si>
  <si>
    <t xml:space="preserve"> =467,94+901,42=</t>
  </si>
  <si>
    <t xml:space="preserve">2014 г. - ближе к концу года </t>
  </si>
  <si>
    <t>1) из-за неправильного планирования ПО - объемы Энерго в НАС.И ПРОЧ.(СН2 И НН)= 9957,6</t>
  </si>
  <si>
    <t xml:space="preserve">1. ПОЛЕЗНЫЙ ОТПУСК КОНЕЧНЫМ ПОТРЕБИТЕЛЯМ * </t>
  </si>
  <si>
    <t>было согласовано</t>
  </si>
  <si>
    <t>1. ПРОЧИЕ ПОТРЕБИТЕЛИ</t>
  </si>
  <si>
    <t>прочие</t>
  </si>
  <si>
    <t>1.1. Монопотребитель (Наименование организации)</t>
  </si>
  <si>
    <t>2.  НАСЕЛЕНИЕ</t>
  </si>
  <si>
    <t>насел.</t>
  </si>
  <si>
    <t>в пределах социальной нормы</t>
  </si>
  <si>
    <t>сверх социальной нормы</t>
  </si>
  <si>
    <t>2.1.  Население, проживающее в городских населенных пунктах в домах, оборудованных в установленном порядке стационарными электроплитами и (или) электроотопительными установками и приравненные к нему категории потребителей</t>
  </si>
  <si>
    <t>2.1.1. в пределах социальной нормы</t>
  </si>
  <si>
    <t>2.1.2. сверх социальной нормы</t>
  </si>
  <si>
    <t>2.2.  Население, проживающее в сельских населенных пунктах и приравненные к нему категории потребителей</t>
  </si>
  <si>
    <t>2.2.1. в пределах социальной нормы</t>
  </si>
  <si>
    <t>2.2.2. сверх социальной нормы</t>
  </si>
  <si>
    <t>2.3.  Население и приравненные к нему категории потребителей за исключением указанных в пунктах 2.1. и 2.2.</t>
  </si>
  <si>
    <t>2.3.1 в пределах социальной нормы</t>
  </si>
  <si>
    <t>2.3.2 сверх социальной нормы</t>
  </si>
  <si>
    <t xml:space="preserve">2. СОБСТВЕННОЕ ПОТРЕБЛЕНИЕ (в целом по юридическому лицу) ** </t>
  </si>
  <si>
    <t>№ 20-2491к от 01.01.2013 - это договор покупки потерь эл.эн.на потребителя</t>
  </si>
  <si>
    <t>??? уровень СН1</t>
  </si>
  <si>
    <t>Примечание: * -  действующий договор оказания услуг по передаче электрической энергии № 3 от 01.01.2011г.;</t>
  </si>
  <si>
    <t xml:space="preserve">                        ** -   действующие договора энергоснабжения № 20-1001э от 01.01.2013г. , № 20-1001к от 01.01.2013г..</t>
  </si>
  <si>
    <t>Руководитель энергосбытовой организации___________</t>
  </si>
  <si>
    <t>_______________________________________________</t>
  </si>
  <si>
    <t>(ФИО, подпись)</t>
  </si>
  <si>
    <t>Дата согласования______________________</t>
  </si>
  <si>
    <t>по актам г.о.дог.2013г. ССК СН2 будет в 2014г.</t>
  </si>
  <si>
    <t>1 п-е</t>
  </si>
  <si>
    <t>2 п-е</t>
  </si>
  <si>
    <t>Наименование показателя</t>
  </si>
  <si>
    <t xml:space="preserve">1 ПОЛУГОДИЕ </t>
  </si>
  <si>
    <t xml:space="preserve">2 ПОЛУГОДИЕ </t>
  </si>
  <si>
    <t>Присоеди- ненная мощность, МВА</t>
  </si>
  <si>
    <t>добавить</t>
  </si>
  <si>
    <t>ОАО "ФСК ЕЭС"</t>
  </si>
  <si>
    <t>1.2.3</t>
  </si>
  <si>
    <t>МРСК от ТП 2101, конечный потребитель ООО "Атлант", от ТП 1601 (ССК)</t>
  </si>
  <si>
    <t>ЗАО "СГЭС"</t>
  </si>
  <si>
    <t>по заявке ЭНС 2014г.</t>
  </si>
  <si>
    <t>технологический расход электроэнергии на транспортировку</t>
  </si>
  <si>
    <t>на содержание сетей</t>
  </si>
  <si>
    <t>Сумма платы за услуги</t>
  </si>
  <si>
    <t>плановый объем отпуска  220 кВ и ниже</t>
  </si>
  <si>
    <t>норматив потерь</t>
  </si>
  <si>
    <t>объем потерь</t>
  </si>
  <si>
    <t>тариф на оплату</t>
  </si>
  <si>
    <t>заявленная мощность</t>
  </si>
  <si>
    <t>МВтч</t>
  </si>
  <si>
    <t>руб./Мвтч</t>
  </si>
  <si>
    <t>руб./Мвт</t>
  </si>
  <si>
    <t xml:space="preserve">Базовый период         </t>
  </si>
  <si>
    <t>за услуги по организации функционирования и развитию ЕЭС России,</t>
  </si>
  <si>
    <t>1 полугодие 2015 г.</t>
  </si>
  <si>
    <t>2 полугодие 2015 г.</t>
  </si>
  <si>
    <t>выпад.2013</t>
  </si>
  <si>
    <t>фск 2014</t>
  </si>
  <si>
    <t xml:space="preserve"> +10255,5 =</t>
  </si>
  <si>
    <t>посм.рез.раб.</t>
  </si>
  <si>
    <t>преобразован с 01.07.2014г. в ОАО "РКЦ "Прогресс"</t>
  </si>
  <si>
    <t>2015г.</t>
  </si>
  <si>
    <t>по ф.5 за 2013 г.</t>
  </si>
  <si>
    <t xml:space="preserve">Проведение энергоаудита энергохозяйства ФГУП «ГНПРКЦ «ЦСКБ-Прогресс»,выдача энергетического паспорта предприятия, разработка программы в области энергосбережения и повышения энергетической эффективности </t>
  </si>
  <si>
    <t>Ремонт и обслуживание злектрических сетей (90,0тыс.руб.)</t>
  </si>
  <si>
    <t>Расходы на стандарты раскрытия информации организации, осуществляющей регулируемые виды деятельности (сайт, публикация в газете Волжская коммуна  бухгалтерской отчетности)</t>
  </si>
  <si>
    <t xml:space="preserve">Измерение показателей качества эл.энергии для сертификации </t>
  </si>
  <si>
    <t>ООО "УПЦ Самарагосэнерго- надзора"</t>
  </si>
  <si>
    <t xml:space="preserve">Проверка пакета документации, предъявляемого для сертификации качества эл.энергии в сертификационный орган </t>
  </si>
  <si>
    <t>Проведение контрольных испытаний качества электрической энергии</t>
  </si>
  <si>
    <t>Проведение обязательной сертификации электрической энергии, отпускаемой потребителям от центров питания на соответствие требованиям ГОСТ Р-13109-97</t>
  </si>
  <si>
    <t>ООО ""Региональный орган оценки соответствия"</t>
  </si>
  <si>
    <t>2014 г.затраты на потребителя d = 14,74%</t>
  </si>
  <si>
    <t>по факту 2012 г.</t>
  </si>
  <si>
    <t>2014г.-689,2т.р.</t>
  </si>
  <si>
    <t>2015г.-726,4т.р.</t>
  </si>
  <si>
    <t>Расчет доли на потребителя по факту 2012г.</t>
  </si>
  <si>
    <t>Цех 2426 (пром.площадка)</t>
  </si>
  <si>
    <r>
      <t xml:space="preserve">Сумма,                               </t>
    </r>
    <r>
      <rPr>
        <b/>
        <sz val="10"/>
        <rFont val="Times New Roman"/>
        <family val="1"/>
        <charset val="204"/>
      </rPr>
      <t xml:space="preserve">руб.  </t>
    </r>
    <r>
      <rPr>
        <sz val="12"/>
        <rFont val="Times New Roman"/>
        <family val="1"/>
        <charset val="204"/>
      </rPr>
      <t xml:space="preserve">       </t>
    </r>
    <r>
      <rPr>
        <sz val="10"/>
        <rFont val="Times New Roman"/>
        <family val="1"/>
        <charset val="204"/>
      </rPr>
      <t xml:space="preserve">                                        с НДС</t>
    </r>
  </si>
  <si>
    <t>Техническое обслуживание, капитальный и текущий ремонт обрудования участка электроснабжения организации выполняется хоз.способом.</t>
  </si>
  <si>
    <t>капитального ремонта оборудования  (ТП, КРУ, кабель), участвующего в передаче электрической энергии потребителям.</t>
  </si>
  <si>
    <t>Дефектные ведомости и акты вып.работ к сметам с расшифровкой номеклатуры и стоимости израсходованных материалов на ремонт прилагаются.</t>
  </si>
  <si>
    <t xml:space="preserve"> 2013 год</t>
  </si>
  <si>
    <t>ООО "Региональная кабельная компания"</t>
  </si>
  <si>
    <t>№ СРК 0000017</t>
  </si>
  <si>
    <t>Номенклатура</t>
  </si>
  <si>
    <t>Кабель, провод, наконечник медный</t>
  </si>
  <si>
    <t>№ КРК 0000082</t>
  </si>
  <si>
    <t>Муфта соединительная</t>
  </si>
  <si>
    <t>№ СРК 0000050</t>
  </si>
  <si>
    <t>Кабель</t>
  </si>
  <si>
    <t>№ КРК 0000112</t>
  </si>
  <si>
    <t>Провод</t>
  </si>
  <si>
    <t>№ 2.2-1.35493/2</t>
  </si>
  <si>
    <t xml:space="preserve">Трансформатор тока </t>
  </si>
  <si>
    <t>ООО "Научно Производственное Предприятие "ПромТЭК"</t>
  </si>
  <si>
    <t>№ 88</t>
  </si>
  <si>
    <t>№ 9710</t>
  </si>
  <si>
    <t>№ 23851</t>
  </si>
  <si>
    <t>№ 27495</t>
  </si>
  <si>
    <t>№ 30268</t>
  </si>
  <si>
    <t>№ 37616</t>
  </si>
  <si>
    <t xml:space="preserve">Накладные расходы предприятия в тыс.руб. за январь-декабрь 2013 г. представлены в деле вх.№ 565/Р от 30.04.2014г. на стр.415-417. </t>
  </si>
  <si>
    <t xml:space="preserve">В материалах дела вх.№ 565/Р от 30.04.2014г. на стр.395-413 представлены технические сметы за 2013 г.на работы по выполнению </t>
  </si>
  <si>
    <t>2014г. от бюджетного отдела</t>
  </si>
  <si>
    <t>с июля 2015 г.</t>
  </si>
  <si>
    <t>К= 1,063</t>
  </si>
  <si>
    <t>Количество активов  ОАО "РКЦ "Прогресс"</t>
  </si>
  <si>
    <t>факт 2011 год</t>
  </si>
  <si>
    <t>факт 2012 год</t>
  </si>
  <si>
    <t>факт 2013 год</t>
  </si>
  <si>
    <t xml:space="preserve">Счета на оплату от 20.05.2013 г., от 24.06.2013 г.,от 15.11.2013 г. </t>
  </si>
  <si>
    <t>№ 26345</t>
  </si>
  <si>
    <t>№ 26290</t>
  </si>
  <si>
    <t>№ 26291</t>
  </si>
  <si>
    <t xml:space="preserve">Муфта </t>
  </si>
  <si>
    <t>Муфты концевые</t>
  </si>
  <si>
    <t>№ 25631</t>
  </si>
  <si>
    <r>
      <t xml:space="preserve">Затраты на электротехнические материалы </t>
    </r>
    <r>
      <rPr>
        <b/>
        <sz val="12"/>
        <rFont val="Times New Roman"/>
        <family val="1"/>
        <charset val="204"/>
      </rPr>
      <t>на 2014 г.</t>
    </r>
    <r>
      <rPr>
        <sz val="12"/>
        <rFont val="Times New Roman"/>
        <family val="1"/>
        <charset val="204"/>
      </rPr>
      <t xml:space="preserve"> взяты на уровне факта 2013г. и составят:</t>
    </r>
  </si>
  <si>
    <t>факт 2012</t>
  </si>
  <si>
    <t>тариф был пересмотрен</t>
  </si>
  <si>
    <t>протокол разногласий 5,05 МВт</t>
  </si>
  <si>
    <t>17,604 МВт</t>
  </si>
  <si>
    <t>в дог.ФСК</t>
  </si>
  <si>
    <t xml:space="preserve"> = 954,4</t>
  </si>
  <si>
    <t>ЗАО "Волгаэнергосервис"</t>
  </si>
  <si>
    <t>Договор  №01-2014АЧР на выполнение подрядных работ</t>
  </si>
  <si>
    <t>Ремонт изоляторов на линии "Зубчаниновская-2" ОРУ 220/10/10</t>
  </si>
  <si>
    <t>ООО СК "Спецмонтажавтоматика"</t>
  </si>
  <si>
    <t xml:space="preserve">Услуги сторонних организаций по ремонту </t>
  </si>
  <si>
    <r>
      <t>Договор подряда №016 от 25.10.2014</t>
    </r>
    <r>
      <rPr>
        <b/>
        <i/>
        <sz val="10"/>
        <rFont val="Arial"/>
        <family val="2"/>
        <charset val="204"/>
      </rPr>
      <t xml:space="preserve"> </t>
    </r>
    <r>
      <rPr>
        <i/>
        <sz val="9"/>
        <rFont val="Arial"/>
        <family val="2"/>
        <charset val="204"/>
      </rPr>
      <t>(согласно п.7 Предписания № 10-412-09-13-413-В от 27.09.2013 г. Средне-Поволжского управления Ростехнадзора - стр.391-393 дела вх.№ 565/Р от 30.04.2014г.)</t>
    </r>
  </si>
  <si>
    <t>в т.ч. Итого ремонт п.1</t>
  </si>
  <si>
    <t>2 п-е 2014г. был</t>
  </si>
  <si>
    <t>Договора, акты выполненных работ, платежные поручения представлены в деле по расчету тарифов на 2014 г. вх.№574/Р стр.238-280.</t>
  </si>
  <si>
    <t>Ремонт вакуумного выключателя на КРУ-2А</t>
  </si>
  <si>
    <t>ООО "Таврида Электрик Самара"</t>
  </si>
  <si>
    <t>Договор подряда №029 от 16.12.2013 г.</t>
  </si>
  <si>
    <t xml:space="preserve">Реестр договоров, подтверждающих затраты по статье "Работы и услуги производственного характера" </t>
  </si>
  <si>
    <t>Услуги сторонних организаций по техническому обслуживанию</t>
  </si>
  <si>
    <t xml:space="preserve"> + усл.ФСК</t>
  </si>
  <si>
    <t>Проверка устройств автоматики частотной разгрузки (АЧР) на ПС 220/10/10кВ "Зубчаниновская"</t>
  </si>
  <si>
    <t>ОАО "РКЦ "Прогресс"</t>
  </si>
  <si>
    <t xml:space="preserve"> по участку электроснабжения  ФГУП «ГНПРКЦ «ЦСКБ-Прогресс»  за 2012г. </t>
  </si>
  <si>
    <t>Реестр документов, подтверждающих поступление электротехнических материалов на обслуживание и ремонт оборудования участка электроснабжения потребителей ФГУП «ГНПРКЦ «ЦСКБ-Прогресс» за 2013 г.</t>
  </si>
  <si>
    <t>на передачу электрической энергии сторонним потребителям ФГУП «ГНПРКЦ «ЦСКБ-Прогресс» в 2013г.</t>
  </si>
  <si>
    <t>СК "Спецмонтажавтоматика"</t>
  </si>
  <si>
    <t>Монтаж и пусконаладка электрооборудования КРУ-22</t>
  </si>
  <si>
    <t xml:space="preserve">2013 г.затраты на потребителя                                        </t>
  </si>
  <si>
    <t>Договор, РС №853</t>
  </si>
  <si>
    <t>Ремонт изоляторов ПС-70 на ОРУ-220/10/10</t>
  </si>
  <si>
    <t>ООО "Энергостройсервис"</t>
  </si>
  <si>
    <t>Договор №26/2013 от 11.07.ю2013, РС№346</t>
  </si>
  <si>
    <t>ООО "Энергогазстрой"</t>
  </si>
  <si>
    <t>Договор №02/ИГИ-13 от 07.08.2013</t>
  </si>
  <si>
    <t>Проверка устройств автоматики частотной разгрузки (АЧР) на ПС 220/10/10</t>
  </si>
  <si>
    <t>Договор № 01-2013 от 26.07.2013, ЛС-950</t>
  </si>
  <si>
    <t>Капитальный ремонт редуктора РПН РС-3 силового трансформатора ТРДЦН-63000/220кВ</t>
  </si>
  <si>
    <t>ООО "Самараэлектрореммонтаж- наладка"</t>
  </si>
  <si>
    <t>Договор № 29 от 29.08.2013</t>
  </si>
  <si>
    <t>Каитальный ремонт шкафов на КРУ-26-10кВ</t>
  </si>
  <si>
    <t>ООО "Энергостройпроект"</t>
  </si>
  <si>
    <t>Договор №04/Э-13 от 09.08.2013</t>
  </si>
  <si>
    <t>Пуско-наладка и проверка релейной защиты трансформатора Т-1 на ГПП-220/10/10</t>
  </si>
  <si>
    <t>Договор подряда №12 от 23.07.2013г., РС№378</t>
  </si>
  <si>
    <t xml:space="preserve">Итого </t>
  </si>
  <si>
    <t>Инженерно-геодезические изыскания для капитального ремонта кабельной линии 10кВ от ГПП 110/10кВ "АВИС" до РУ-3В, РУ-30, РУ-22</t>
  </si>
  <si>
    <t>газ</t>
  </si>
  <si>
    <t>по данным документа "Выписка из штатного расписания электротехнического персонала цеха, участвующего в процессе передачи эл.энергии с 01.01.2014г. (366-368 дела вх.№ 565/Р от 30.04.2014г.)</t>
  </si>
  <si>
    <t xml:space="preserve">Расчет среднемесячной тарифной ставки, процентов выплат и премии работников, </t>
  </si>
  <si>
    <t>Должность</t>
  </si>
  <si>
    <t>Группа</t>
  </si>
  <si>
    <t>Оклад, тариф</t>
  </si>
  <si>
    <t>Доплаты</t>
  </si>
  <si>
    <t>Премия</t>
  </si>
  <si>
    <t>КТУ</t>
  </si>
  <si>
    <t>выслуга</t>
  </si>
  <si>
    <t>Итого ФОТ в месяц</t>
  </si>
  <si>
    <t>ночные</t>
  </si>
  <si>
    <t>проф.     маст.</t>
  </si>
  <si>
    <t>совмещ.</t>
  </si>
  <si>
    <t>резерв</t>
  </si>
  <si>
    <t>секр.</t>
  </si>
  <si>
    <t>Рабочие производственные</t>
  </si>
  <si>
    <t>Разряд</t>
  </si>
  <si>
    <t>экспл.</t>
  </si>
  <si>
    <t>монт</t>
  </si>
  <si>
    <t>слес</t>
  </si>
  <si>
    <t>Электрогазосварщик</t>
  </si>
  <si>
    <t>Обмотчик элемен.эл.машин</t>
  </si>
  <si>
    <t>обм.</t>
  </si>
  <si>
    <t>н/в</t>
  </si>
  <si>
    <t>ппр</t>
  </si>
  <si>
    <t>лаб.</t>
  </si>
  <si>
    <t>РСС + Рабочие вспомогательные</t>
  </si>
  <si>
    <t>Начальник цеха</t>
  </si>
  <si>
    <t>Зам.нач.цеха</t>
  </si>
  <si>
    <t>Нач.уч.1 гр.</t>
  </si>
  <si>
    <t>ГПП</t>
  </si>
  <si>
    <t>Ст.мастер уч.1 гр.</t>
  </si>
  <si>
    <t>Мастер уч.1 гр.</t>
  </si>
  <si>
    <t>Мастер уч.1 гр.см</t>
  </si>
  <si>
    <t>Инженер-энерг.см</t>
  </si>
  <si>
    <t>ППР</t>
  </si>
  <si>
    <t>Мастер уч.2 гр.</t>
  </si>
  <si>
    <t>Нач.лаборатории</t>
  </si>
  <si>
    <t>Вед.инж.по нал.и исп.</t>
  </si>
  <si>
    <t>Инж.по нал.и исп.1 кат.</t>
  </si>
  <si>
    <t>Инж.по нал.и исп.2 кат.</t>
  </si>
  <si>
    <t>Экономист</t>
  </si>
  <si>
    <t>Начальник ПДБ</t>
  </si>
  <si>
    <t>Старший диспетч.</t>
  </si>
  <si>
    <t>Диспетчер</t>
  </si>
  <si>
    <t>Инженер по подг.произ.</t>
  </si>
  <si>
    <t>Вед.инженер по нормир.</t>
  </si>
  <si>
    <t>Нач.тех.бюро</t>
  </si>
  <si>
    <t>Инженер-техн.1 кат.</t>
  </si>
  <si>
    <t>Механик цеха</t>
  </si>
  <si>
    <t>Слесарь по рем.и обсл.сист.вентил.</t>
  </si>
  <si>
    <t>Слесарь-ремонтн.</t>
  </si>
  <si>
    <t>Сторож</t>
  </si>
  <si>
    <t>Токарь</t>
  </si>
  <si>
    <t>Секретарь-машинист</t>
  </si>
  <si>
    <t>Кладовщик ИРК</t>
  </si>
  <si>
    <t>Заведующий хоз.</t>
  </si>
  <si>
    <t>Распред.раб.</t>
  </si>
  <si>
    <t>Ст.кладовщик</t>
  </si>
  <si>
    <t>Кладовщик</t>
  </si>
  <si>
    <t>Транспортировщ.</t>
  </si>
  <si>
    <t>Контролер эл.монт.работ</t>
  </si>
  <si>
    <t>Маляр</t>
  </si>
  <si>
    <t>Уборщица</t>
  </si>
  <si>
    <t>ФОТ в месяц, руб.</t>
  </si>
  <si>
    <t xml:space="preserve">Премия </t>
  </si>
  <si>
    <t xml:space="preserve">Доплаты </t>
  </si>
  <si>
    <t>Итого ФОТ в год</t>
  </si>
  <si>
    <t>ИТОГО произв.раб.</t>
  </si>
  <si>
    <t>ИТОГО РСС+вспомог.раб.</t>
  </si>
  <si>
    <t>вред- ность</t>
  </si>
  <si>
    <t>перер. по гр.</t>
  </si>
  <si>
    <t>Эл.монт.по рем. и обсл.</t>
  </si>
  <si>
    <t>Слесарь-эл.монт.</t>
  </si>
  <si>
    <t>Кол- во</t>
  </si>
  <si>
    <t>доп. лин. рук.</t>
  </si>
  <si>
    <t>бриг.</t>
  </si>
  <si>
    <t>ИТОГО работников</t>
  </si>
  <si>
    <t>ФОТ на 2014 год, тыс.руб.</t>
  </si>
  <si>
    <t>Премия (год)</t>
  </si>
  <si>
    <t xml:space="preserve"> Премия  1-ого ППП</t>
  </si>
  <si>
    <t>По цеху 2426 на передачу эл.энергии субабонентам  принята численность: рабочих в количестве 15 чел.; РСС + вспомог.раб. - 9 чел.</t>
  </si>
  <si>
    <t>по расч.норм.числ.</t>
  </si>
  <si>
    <t>раб.</t>
  </si>
  <si>
    <t>РСС+всп.раб.</t>
  </si>
  <si>
    <t>18 чел.</t>
  </si>
  <si>
    <t>14 чел.</t>
  </si>
  <si>
    <t>ПОДАЛИ К 1-МАЯ выпад.дох.</t>
  </si>
  <si>
    <t>в договоре ФСК</t>
  </si>
  <si>
    <t>не хватает</t>
  </si>
  <si>
    <t>д.заплатить  по тарифам с МРСК на пл.объем 2014 г.</t>
  </si>
  <si>
    <t>Расчет выпадающих по независящим причинам доходов от оказания услуг по передаче электрической энергии</t>
  </si>
  <si>
    <t>доход</t>
  </si>
  <si>
    <t>расход</t>
  </si>
  <si>
    <t>Д.Б.</t>
  </si>
  <si>
    <t>Сумма,                                                                     тыс.руб. (без НДС)</t>
  </si>
  <si>
    <t>по ф.5 2013г.</t>
  </si>
  <si>
    <t>только авг-сент.</t>
  </si>
  <si>
    <t>нет</t>
  </si>
  <si>
    <t>утв.потери 2013г.</t>
  </si>
  <si>
    <t>№ КРК 0000070</t>
  </si>
  <si>
    <t>№ КРК 0000071</t>
  </si>
  <si>
    <t>№ КРК 0000068</t>
  </si>
  <si>
    <t>№ КРК 0000033</t>
  </si>
  <si>
    <t>ООО "Энергобытобслуживание"</t>
  </si>
  <si>
    <t>также в сальдированном выражении (п. 3.2.5 - п. 1.2.5)</t>
  </si>
  <si>
    <t>3.2.6.1</t>
  </si>
  <si>
    <t>3.2.1.</t>
  </si>
  <si>
    <t>также в сальдированном выражении (п. 3.2.6 - п. 1.2.6)</t>
  </si>
  <si>
    <t>3.2.6</t>
  </si>
  <si>
    <t>3.2.7</t>
  </si>
  <si>
    <t>3.2.7.1</t>
  </si>
  <si>
    <t>также в сальдированном выражении (п. 3.2.7 - п. 1.2.7)</t>
  </si>
  <si>
    <t>14.2.5</t>
  </si>
  <si>
    <t>14.2.5.1</t>
  </si>
  <si>
    <t>также в сальдированном выражении (п. 14.2.5 - п. 12.2.5)</t>
  </si>
  <si>
    <t>14.2.6</t>
  </si>
  <si>
    <t>14.2.6.1</t>
  </si>
  <si>
    <t>также в сальдированном выражении (п. 14.2.6 - п. 12.2.6)</t>
  </si>
  <si>
    <t>14.2.7</t>
  </si>
  <si>
    <t>14.2.7.1</t>
  </si>
  <si>
    <t>также в сальдированном выражении (п. 14.2.7 - п. 12.2.7)</t>
  </si>
  <si>
    <t>сетевой организации ..</t>
  </si>
  <si>
    <t>25.2.3</t>
  </si>
  <si>
    <t>также в сальдированном выражении (п. 27.2.5 - п. 25.2.5)</t>
  </si>
  <si>
    <t>ФСК</t>
  </si>
  <si>
    <t>25.2.4</t>
  </si>
  <si>
    <t>сетевой организации ООО "Энергобытобслуживание"</t>
  </si>
  <si>
    <t xml:space="preserve"> + ЛОЦ "Космос"</t>
  </si>
  <si>
    <t>без ЛОЦ</t>
  </si>
  <si>
    <t>на передачу сторонним потребителям п. Прибрежный</t>
  </si>
  <si>
    <t>ЛОЦ</t>
  </si>
  <si>
    <t>на передачу сторонним потребителям (пром.площадка + ПСХ + ЛОЦ "Космос")</t>
  </si>
  <si>
    <t>С. С. Давидчук</t>
  </si>
  <si>
    <t>Директор ЛОЦ "Космос"</t>
  </si>
  <si>
    <t>утв.2014</t>
  </si>
  <si>
    <t>бех ВН</t>
  </si>
  <si>
    <t>пром.площадка + ПСХ + ЛОЦ "Космос"</t>
  </si>
  <si>
    <t>План 2015г.                          отпуск ээ,</t>
  </si>
  <si>
    <t>Процент премирования                                                    (к тарифной ставке)</t>
  </si>
  <si>
    <t>По цеху 2452                                        (ЛОЦ "Космос")</t>
  </si>
  <si>
    <r>
      <t>Итого</t>
    </r>
    <r>
      <rPr>
        <b/>
        <sz val="11"/>
        <rFont val="Times New Roman"/>
        <family val="1"/>
        <charset val="204"/>
      </rPr>
      <t xml:space="preserve">                                                                    (цех2426 + цех2496 + цех2452)</t>
    </r>
  </si>
  <si>
    <t>Заработная плата на 1-ого работника в месяц с 01.09.2014г., руб.</t>
  </si>
  <si>
    <t xml:space="preserve">Мастер участка </t>
  </si>
  <si>
    <t>Цех 2452 (ЛОЦ "Космос")</t>
  </si>
  <si>
    <t>ООО "ПТК"</t>
  </si>
  <si>
    <t xml:space="preserve">1. ПОЛЕЗНЫЙ ОТПУСК КОНЕЧНЫМ ПОТРЕБИТЕЛЯМ *  </t>
  </si>
  <si>
    <t>Примечание: * -  указать дату и № действующего договора оказания услуг по передаче электрической энергии;</t>
  </si>
  <si>
    <t xml:space="preserve">                        ** -  действующий договор энергоснабжения №58 от 01.01.2013г.</t>
  </si>
  <si>
    <t>час</t>
  </si>
  <si>
    <t>по данным документа "Расчет фонда заработной платы вспомогательных рабочих по цеху 2452" стр.________</t>
  </si>
  <si>
    <t>Расчет среднемесячной тарифной ставки, процентов выплат и премии работников</t>
  </si>
  <si>
    <t>электротехнического персонала цеха (2452), участвующего в передаче эл.энергии ОАО "РКЦ "Прогресс" ЛОЦ "Космос"</t>
  </si>
  <si>
    <t>Сведения о численности и заработной плате электротехнического персонала</t>
  </si>
  <si>
    <t>в т.ч. на передачу электроэнергии потребителям по расчету нормативной численности</t>
  </si>
  <si>
    <t>Выплаты, связанные с режимом работы с условиями труда (год)</t>
  </si>
  <si>
    <t>Проценты выплат</t>
  </si>
  <si>
    <t xml:space="preserve">Расчет ФОТ электротехнического персонала цеха 2426 (пром.площадка) и цеха 2496 (подсобное сельское хозяйство) и обосновывающие документы </t>
  </si>
  <si>
    <t>представлены в дополнительных документах к материалам тарифного дела вх.№7720 от 01.08.2014г. на стр. 422-430.</t>
  </si>
  <si>
    <t xml:space="preserve">Первоначальная, остаточная стоимость на 01.01.2014г., амортизация за январь 2014 г. по инвентарным номерам объектов ОС (ТП, линий электропередач) </t>
  </si>
  <si>
    <t>представлены на стр._______.</t>
  </si>
  <si>
    <t xml:space="preserve">Первоначальная, остаточная стоимость на 01.04.2013г., амортизация за месяц по подстанции 1 инв.№ 971029, подстанции 2 инв.№ 970004 цеха 2452 (ЛОЦ "Космос") </t>
  </si>
  <si>
    <t>Подстанции ТП 1 инв.№ 971029 , ТП 2 инв.№ 970004 цех 2452 (ЛОЦ "Космос")</t>
  </si>
  <si>
    <t>ср.сл., год</t>
  </si>
  <si>
    <t>Объем отпуска эл.эн., тыс.квтч</t>
  </si>
  <si>
    <t>по структуре ПО</t>
  </si>
  <si>
    <t>ООО "НК-Энергосбыт"</t>
  </si>
  <si>
    <t xml:space="preserve">в целом по предприятию (пром.площадка + ПСХ + ЛОЦ "Космос") </t>
  </si>
  <si>
    <t>по отделу 2680 (цех 2426 пром.площадка) представлены в дополнительных материалах тарифного дела вх.№7720 от 01.08.2014г.на стр.433-434.</t>
  </si>
  <si>
    <t>на восстановление основных производственных фондов общехозяйственного назначения</t>
  </si>
  <si>
    <t>ООО "Кронос-Строй"</t>
  </si>
  <si>
    <t>в т.ч. итого ремонт п.1-п.5</t>
  </si>
  <si>
    <t xml:space="preserve">2014 г. затраты на потребителя                                        </t>
  </si>
  <si>
    <t>Договор подряда № 10 от 24.07.2012г., РС-475, акт вып.раб., справка о стоимости вып.раб.и затрат, счет на оплату, счет-фактура</t>
  </si>
  <si>
    <t>Договор подряда № 13 от 03.09.2012 г., РС-562, акт вып.раб., сравка о стоимости вып.раб. и затрат, счет на оплату, счет-фактура</t>
  </si>
  <si>
    <r>
      <t>Работы по замене второго питающего кабеля 10кВ от ТП-11 до ТП-1 в ДОЛ "Орлёнок"</t>
    </r>
    <r>
      <rPr>
        <b/>
        <i/>
        <sz val="10"/>
        <color rgb="FFFF0000"/>
        <rFont val="Arial"/>
        <family val="2"/>
        <charset val="204"/>
      </rPr>
      <t xml:space="preserve"> </t>
    </r>
    <r>
      <rPr>
        <i/>
        <sz val="10"/>
        <color rgb="FFFF0000"/>
        <rFont val="Arial"/>
        <family val="2"/>
        <charset val="204"/>
      </rPr>
      <t xml:space="preserve">(из материалов заказчика) </t>
    </r>
  </si>
  <si>
    <r>
      <t xml:space="preserve">Монтаж эстакады перехода через овраг 2-ого питающего кабеля 10кВ от ТП-11 до ТП-1 в ДОЛ "Орленок" </t>
    </r>
    <r>
      <rPr>
        <i/>
        <sz val="10"/>
        <color rgb="FFFF0000"/>
        <rFont val="Arial"/>
        <family val="2"/>
        <charset val="204"/>
      </rPr>
      <t xml:space="preserve">(из материалов заказчика) </t>
    </r>
  </si>
  <si>
    <r>
      <rPr>
        <b/>
        <sz val="10"/>
        <rFont val="Arial"/>
        <family val="2"/>
        <charset val="204"/>
      </rPr>
      <t xml:space="preserve">На 2015 год </t>
    </r>
    <r>
      <rPr>
        <sz val="10"/>
        <rFont val="Arial"/>
        <family val="2"/>
        <charset val="204"/>
      </rPr>
      <t xml:space="preserve">затраты по статье "Работы и услуги производственного характера" по участку передачи эл.энергии потребителям запланированы С Кинд.к 2014 г. =1,049 и составят 1624,6 х1,049 = </t>
    </r>
    <r>
      <rPr>
        <b/>
        <sz val="10"/>
        <rFont val="Arial"/>
        <family val="2"/>
        <charset val="204"/>
      </rPr>
      <t>1704,2тыс.руб.</t>
    </r>
  </si>
  <si>
    <t xml:space="preserve">В материалах дела вх.№ 565/Р от 30.04.2014г. на стр.395-413 представлены технические сметы за 2013 г.на работы по выполнению капитального </t>
  </si>
  <si>
    <t>Перчатки диэлектрические</t>
  </si>
  <si>
    <t>Подтверждающий документ</t>
  </si>
  <si>
    <t xml:space="preserve"> 1 полугодие 2014 год </t>
  </si>
  <si>
    <t xml:space="preserve"> 2013 год </t>
  </si>
  <si>
    <t>накладная на отпуск материалов</t>
  </si>
  <si>
    <t>Электротехнические материалы (по акту сверки)</t>
  </si>
  <si>
    <t xml:space="preserve"> 2012 год для выполнения работ по замене второго питающего кабеля 10кВ от ТП-11 до ТП-1 в ДОЛ "Орлёнок"</t>
  </si>
  <si>
    <t>накладнаые на отпуск материалов на сторону представлены в разделе "Работы и услуги производственного характера" на стр. __________,</t>
  </si>
  <si>
    <t>Наконечник кабельный ТАМ-185</t>
  </si>
  <si>
    <t>Муфта Стп-10-150/240 3100,00</t>
  </si>
  <si>
    <t>Муфты эл. 1031,64</t>
  </si>
  <si>
    <t>Кабель АСБу 10-3х185 648,82</t>
  </si>
  <si>
    <t>Кабель АСБп 10-3х185 572,08</t>
  </si>
  <si>
    <t>Доля затрат на передачу эл.энергии потребителям определена в разделе "Амортизация" на стр. ______ и составляет d = 13,48%.</t>
  </si>
  <si>
    <t xml:space="preserve">Доля затрат на передачу эл.энергии потребителям определена в разделе "Амортизация" на стр. ______ и составляет d = 13,48% </t>
  </si>
  <si>
    <t>(22 941,249 тыс.кВтч/(145 878,360 + 1 416,130 +22 941,249) тыс.кВтч= 22 941,249тыс.кВтч/170 235,739тыс.кВтч=13,48%).</t>
  </si>
  <si>
    <t>3. Ремонтные работы по п.4 и п.5 таблицы проводились из материалов заказчика (ФГУП ГНПРКЦ "ЦСКБ-Прогресс"), затраты на материалы на прокладку кабеля сведены в разделе "Материалы" на стр._____.</t>
  </si>
  <si>
    <r>
      <t xml:space="preserve">Сумма, </t>
    </r>
    <r>
      <rPr>
        <b/>
        <sz val="10"/>
        <rFont val="Times New Roman"/>
        <family val="1"/>
        <charset val="204"/>
      </rPr>
      <t>руб.,</t>
    </r>
    <r>
      <rPr>
        <sz val="10"/>
        <rFont val="Times New Roman"/>
        <family val="1"/>
        <charset val="204"/>
      </rPr>
      <t xml:space="preserve"> без НДС</t>
    </r>
  </si>
  <si>
    <t>цех 2426 (пром.площадка)</t>
  </si>
  <si>
    <t>цех 2452 (ЛОЦ "Космос")</t>
  </si>
  <si>
    <t>Наименование подразделение</t>
  </si>
  <si>
    <t>Итого затраты по статье "Материалы" для оказания услуг по передаче эл.энергии потребителям ОАО "РКЦ "Прогресс" составили:</t>
  </si>
  <si>
    <t>ремонта оборудования (ТП, КРУ, кабель), участвующего в передаче электрической энергии потребителям подразделения 2426 (промплощадка).</t>
  </si>
  <si>
    <t>с приложением подтверждающих документов представлен в дополнительных материалах тарифного дела вх.№ 7720 от 01.08.2014 г. на стр.293-346.</t>
  </si>
  <si>
    <t xml:space="preserve">Расчет затрат на электротехнические материалы на обслуживание и ремонт оборудования участка электроснабжения потребителей  по пром.площадке </t>
  </si>
  <si>
    <t xml:space="preserve">Затраты на электротехнические материалы для оказания услуг по передаче электрической энергии по цеху 2452 (ЛОЦ "Космос") на 2014 г. взяты </t>
  </si>
  <si>
    <r>
      <t>Затраты по статье "Материалы" на передачу эл.энергии</t>
    </r>
    <r>
      <rPr>
        <b/>
        <sz val="12"/>
        <rFont val="Times New Roman"/>
        <family val="1"/>
        <charset val="204"/>
      </rPr>
      <t xml:space="preserve"> потребителям </t>
    </r>
    <r>
      <rPr>
        <sz val="12"/>
        <rFont val="Times New Roman"/>
        <family val="1"/>
        <charset val="204"/>
      </rPr>
      <t xml:space="preserve">ЛОЦ "Космос" взяты в доле пропорционально переданным кВтч </t>
    </r>
  </si>
  <si>
    <t xml:space="preserve">Затраты по  статье матриалы на потребителя, тыс.руб. </t>
  </si>
  <si>
    <r>
      <t xml:space="preserve">На </t>
    </r>
    <r>
      <rPr>
        <b/>
        <sz val="12"/>
        <rFont val="Times New Roman"/>
        <family val="1"/>
        <charset val="204"/>
      </rPr>
      <t xml:space="preserve">2014 г. </t>
    </r>
    <r>
      <rPr>
        <sz val="12"/>
        <rFont val="Times New Roman"/>
        <family val="1"/>
        <charset val="204"/>
      </rPr>
      <t xml:space="preserve">затраты по статье "вспомогательные материалы" для оказания услуг по передачe эл.энергии потребителям по цеху 2426 (пром.площадка) </t>
    </r>
  </si>
  <si>
    <t>взяты на уровне факта 2013г.и составляют  1 157,3 тыс.руб.</t>
  </si>
  <si>
    <t>Расчет стоимости затрат по статье «Материалы» на передачу электрической энергии потребителям ОАО "РКЦ "Прогресс" на 2015 г.  (с учетом участка ЛОЦ «Космос», г. Самара, Красноглинский район, п. Прибрежный)</t>
  </si>
  <si>
    <t>24.04.2014, 30.04.2014,  30.06.2014</t>
  </si>
  <si>
    <t>ООО "ТД"УНКОМТЕКС"</t>
  </si>
  <si>
    <t>09.06.2014г.</t>
  </si>
  <si>
    <t>счт-фактура</t>
  </si>
  <si>
    <t>ООО "Эл-Пром-С</t>
  </si>
  <si>
    <t>Светильники</t>
  </si>
  <si>
    <t>товарная накладные</t>
  </si>
  <si>
    <t>№ 306 29.04.2014</t>
  </si>
  <si>
    <t>№ 308 29.04.2014</t>
  </si>
  <si>
    <t>№ 307 29.04.2014</t>
  </si>
  <si>
    <t>Светильники, выключатели</t>
  </si>
  <si>
    <t>№ 168 24.04.2014</t>
  </si>
  <si>
    <r>
      <t xml:space="preserve">на уровне затрат за 1 полугодие 2014г., умноженного на 2, и составят 782 715,49 руб./ 1000 х 2  = </t>
    </r>
    <r>
      <rPr>
        <b/>
        <sz val="12"/>
        <rFont val="Times New Roman"/>
        <family val="1"/>
        <charset val="204"/>
      </rPr>
      <t>1 565,4 тыс.руб.</t>
    </r>
  </si>
  <si>
    <r>
      <t xml:space="preserve">На </t>
    </r>
    <r>
      <rPr>
        <b/>
        <sz val="12"/>
        <rFont val="Times New Roman"/>
        <family val="1"/>
        <charset val="204"/>
      </rPr>
      <t xml:space="preserve">2015 г. </t>
    </r>
    <r>
      <rPr>
        <sz val="12"/>
        <rFont val="Times New Roman"/>
        <family val="1"/>
        <charset val="204"/>
      </rPr>
      <t>затраты по статье "материалы" проиндексированы на К</t>
    </r>
    <r>
      <rPr>
        <vertAlign val="subscript"/>
        <sz val="12"/>
        <rFont val="Times New Roman"/>
        <family val="1"/>
        <charset val="204"/>
      </rPr>
      <t xml:space="preserve">инд.к 2014г. </t>
    </r>
    <r>
      <rPr>
        <sz val="12"/>
        <rFont val="Times New Roman"/>
        <family val="1"/>
        <charset val="204"/>
      </rPr>
      <t xml:space="preserve">= 1,049 и составят </t>
    </r>
    <r>
      <rPr>
        <b/>
        <sz val="12"/>
        <rFont val="Times New Roman"/>
        <family val="1"/>
        <charset val="204"/>
      </rPr>
      <t xml:space="preserve">1 642,1 тыс.руб. </t>
    </r>
    <r>
      <rPr>
        <sz val="12"/>
        <rFont val="Times New Roman"/>
        <family val="1"/>
        <charset val="204"/>
      </rPr>
      <t>(1 565,4 тыс.руб. х 1,049 = 1 642,1 тыс.руб.)</t>
    </r>
  </si>
  <si>
    <r>
      <t xml:space="preserve">на собственное потребление и потребителям и составят </t>
    </r>
    <r>
      <rPr>
        <b/>
        <sz val="12"/>
        <rFont val="Times New Roman"/>
        <family val="1"/>
        <charset val="204"/>
      </rPr>
      <t>на 2014 год</t>
    </r>
    <r>
      <rPr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211,0 тыс.руб. (</t>
    </r>
    <r>
      <rPr>
        <sz val="12"/>
        <rFont val="Times New Roman"/>
        <family val="1"/>
        <charset val="204"/>
      </rPr>
      <t>1 565,4 тыс.руб.х 13,48% = 211,0 тыс.руб.),</t>
    </r>
  </si>
  <si>
    <r>
      <rPr>
        <b/>
        <sz val="12"/>
        <rFont val="Times New Roman"/>
        <family val="1"/>
        <charset val="204"/>
      </rPr>
      <t xml:space="preserve">на 2015 г. </t>
    </r>
    <r>
      <rPr>
        <sz val="12"/>
        <rFont val="Times New Roman"/>
        <family val="1"/>
        <charset val="204"/>
      </rPr>
      <t xml:space="preserve">затраты проиндексированы на Кинд.к 2014г. = 1,049 и составят </t>
    </r>
    <r>
      <rPr>
        <b/>
        <sz val="12"/>
        <rFont val="Times New Roman"/>
        <family val="1"/>
        <charset val="204"/>
      </rPr>
      <t>221,4 тыс.руб.</t>
    </r>
    <r>
      <rPr>
        <sz val="12"/>
        <rFont val="Times New Roman"/>
        <family val="1"/>
        <charset val="204"/>
      </rPr>
      <t xml:space="preserve"> (211,0 тыс.руб. х 1,049 = 221,4 тыс.руб.)</t>
    </r>
  </si>
  <si>
    <t>на передачу сторонним потребителям (пром.площадка + ПСХ)</t>
  </si>
  <si>
    <t>по предлож.ФСК на 2015г.</t>
  </si>
  <si>
    <t>рост с июля</t>
  </si>
  <si>
    <t>исправить</t>
  </si>
  <si>
    <t>АО "РКЦ "Прогресс"</t>
  </si>
  <si>
    <t>преобразован с 01.01.2015г. в АО "РКЦ "Прогресс"</t>
  </si>
  <si>
    <t xml:space="preserve">Структура полезного отпуска электрической энергии (мощности) на 2016 год         </t>
  </si>
  <si>
    <t xml:space="preserve">Структура полезного отпуска электрической энергии (мощности) на 1 полугодие 2016 года         </t>
  </si>
  <si>
    <t xml:space="preserve">АО "РКЦ "Прогресс" </t>
  </si>
  <si>
    <t xml:space="preserve">Структура полезного отпуска электрической энергии (мощности) на 2 полугодие 2016 года         </t>
  </si>
  <si>
    <t>Руководитель сетевой организации АО "РКЦ "Прогресс"</t>
  </si>
  <si>
    <t>ФСК 2015</t>
  </si>
  <si>
    <t>1 полугодие 2016 г.</t>
  </si>
  <si>
    <t>Итого 2016 г.</t>
  </si>
  <si>
    <t>2 полугодие 2016 г.</t>
  </si>
  <si>
    <t>Итого 2015 г.</t>
  </si>
  <si>
    <t>2016 г. расчет АО "РКЦ "Прогресс"</t>
  </si>
  <si>
    <t xml:space="preserve">1. Доля затрат на потребителя по п.2-п.7 отнесена на передачу эл.энергии сторонним потребителям пропорционально фактическим объемам передачи кВтч по данным формы 5 за 2014г.) </t>
  </si>
  <si>
    <t>2014г.</t>
  </si>
  <si>
    <t>d = 13,52% (21287,1тыс.кВтч/172043,17тыс.кВтч).</t>
  </si>
  <si>
    <t>2016г.</t>
  </si>
  <si>
    <r>
      <t xml:space="preserve">На </t>
    </r>
    <r>
      <rPr>
        <b/>
        <sz val="12"/>
        <rFont val="Times New Roman"/>
        <family val="1"/>
        <charset val="204"/>
      </rPr>
      <t xml:space="preserve">2016 г. </t>
    </r>
    <r>
      <rPr>
        <sz val="12"/>
        <rFont val="Times New Roman"/>
        <family val="1"/>
        <charset val="204"/>
      </rPr>
      <t>затраты по статье "вспомогательные материалы" проиндексированы на К</t>
    </r>
    <r>
      <rPr>
        <vertAlign val="subscript"/>
        <sz val="12"/>
        <rFont val="Times New Roman"/>
        <family val="1"/>
        <charset val="204"/>
      </rPr>
      <t xml:space="preserve">инд.к 2015г. </t>
    </r>
    <r>
      <rPr>
        <sz val="12"/>
        <rFont val="Times New Roman"/>
        <family val="1"/>
        <charset val="204"/>
      </rPr>
      <t>= 1,079</t>
    </r>
  </si>
  <si>
    <t>и составят = 1 157,3 х 1,079=</t>
  </si>
  <si>
    <r>
      <t xml:space="preserve">На </t>
    </r>
    <r>
      <rPr>
        <b/>
        <sz val="12"/>
        <rFont val="Times New Roman"/>
        <family val="1"/>
        <charset val="204"/>
      </rPr>
      <t xml:space="preserve">2016 г. </t>
    </r>
    <r>
      <rPr>
        <sz val="12"/>
        <rFont val="Times New Roman"/>
        <family val="1"/>
        <charset val="204"/>
      </rPr>
      <t>затраты по статье "материалы" проиндексированы на К</t>
    </r>
    <r>
      <rPr>
        <vertAlign val="subscript"/>
        <sz val="12"/>
        <rFont val="Times New Roman"/>
        <family val="1"/>
        <charset val="204"/>
      </rPr>
      <t xml:space="preserve">инд.к 2015г. </t>
    </r>
    <r>
      <rPr>
        <sz val="12"/>
        <rFont val="Times New Roman"/>
        <family val="1"/>
        <charset val="204"/>
      </rPr>
      <t>= 1,079 и составят 1248,7 тыс.руб.</t>
    </r>
  </si>
  <si>
    <t xml:space="preserve"> =2ПРОМ.+3ПСХ</t>
  </si>
  <si>
    <t xml:space="preserve"> +</t>
  </si>
  <si>
    <t>2015 год утв.</t>
  </si>
  <si>
    <t>утв.2015</t>
  </si>
  <si>
    <t>факт 2014г.</t>
  </si>
  <si>
    <t>факт 2014 х1,1х1,075</t>
  </si>
  <si>
    <t xml:space="preserve"> 2013год</t>
  </si>
  <si>
    <t>Реестр документов, подтверждающих поступление электротехнических материалов на обслуживание и ремонт оборудования участка электроснабжения потребителей АО "РКЦ "Прогресс" за 2013 г.</t>
  </si>
  <si>
    <t>Сумма, тыс.руб.                                                         без НДС</t>
  </si>
  <si>
    <t xml:space="preserve">Итого 2014г. </t>
  </si>
  <si>
    <t>Расчет затрат на электротехнические материалы на обслуживание и ремонт оборудования участка электроснабжения потребителей</t>
  </si>
  <si>
    <t>Наименование подразделения</t>
  </si>
  <si>
    <t>Сумма 2014 г.,     без НДС</t>
  </si>
  <si>
    <t>Договор подряда №0000052156 от 18.03.2014 , пп № 9683 от 03.10.2014</t>
  </si>
  <si>
    <t>Договор подряда №0000052160 от 18.03.2014, пп № 9684 от 03.10.2014</t>
  </si>
  <si>
    <t>Договор подряда №0000052355 от 18.03.2014, пп № 9685 от 03.10.2014</t>
  </si>
  <si>
    <t>Договор подряда №0000052157 от 18.03.2014, пп № 5434 от 03.03.15</t>
  </si>
  <si>
    <t>Обучение специалистов по программе "Электроэнергетика", предэкзаменационная подготовка электротехнического персонала по Правилам по охране труда при эксплуатации электроустановок</t>
  </si>
  <si>
    <t>НОУ "ЦДО "Промэнергобезопасность"</t>
  </si>
  <si>
    <t>Договор , счета</t>
  </si>
  <si>
    <t>2. Затраты на потребителя по п.5  отнесены на передачу эл.энергии сторонним потребителям пропорционально объемам передачи в тыс.кВтч в 2014 г. (по данным формы 5).</t>
  </si>
  <si>
    <t>Экспертиза технологических потерь электрической энергии, расчет и обоснование тарифов на услуги по передаче электроэнергии</t>
  </si>
  <si>
    <r>
      <t xml:space="preserve">Договора № 179/14 от 26.02.2014, № 177/14 от 26.02.2014, </t>
    </r>
    <r>
      <rPr>
        <sz val="10"/>
        <color rgb="FFFF0000"/>
        <rFont val="Arial"/>
        <family val="2"/>
        <charset val="204"/>
      </rPr>
      <t>№ 286/14 от 23.04.2014г., № 287/14 от 23.04.2014г.</t>
    </r>
  </si>
  <si>
    <t>по линиям электропередач  и подстанциям АО "РКЦ "Прогресс"</t>
  </si>
  <si>
    <t>Количество активов  АО "РКЦ "Прогресс" ЛОЦ "Космос"</t>
  </si>
  <si>
    <t>АО "РКЦ "Прогресс" ЛОЦ "Космос"</t>
  </si>
  <si>
    <t>Количество активов  АО "РКЦ "Прогресс"</t>
  </si>
  <si>
    <t>Расчет суммы платы АО "РКЦ "Прогресс"</t>
  </si>
  <si>
    <t>по линиям электропередач и подстанциям АО "РКЦ "Прогресс"</t>
  </si>
  <si>
    <t>по участку передачи электрической энергии потребителям АО "РКЦ "Прогресс"</t>
  </si>
  <si>
    <t>6266,23 утверд.МЭ 2016</t>
  </si>
  <si>
    <t>утв.2016</t>
  </si>
  <si>
    <t>2016 г. утв.</t>
  </si>
  <si>
    <t>данные ССК, Метро, РЖД</t>
  </si>
  <si>
    <t>конечные потребители по стр-ре 2016г., утв.мэ</t>
  </si>
  <si>
    <t>ПАО "ФСК ЕЭС"</t>
  </si>
  <si>
    <t>АО "Самаранефтегаз"</t>
  </si>
  <si>
    <t>ПАО "МРСК Волги"</t>
  </si>
  <si>
    <t>фск 2016г.</t>
  </si>
  <si>
    <t>РЖД+Метро</t>
  </si>
  <si>
    <t>было к 01.05.2015</t>
  </si>
  <si>
    <t>было 02.11.15</t>
  </si>
  <si>
    <t>также в сальдированном выражении (п. 27.2.7 - п. 25.2.7)</t>
  </si>
  <si>
    <t>главный инженер АО "РКЦ "Прогресс"</t>
  </si>
  <si>
    <t>Руководитель  ПАО "ФСК ЕЭС"   _________________________________</t>
  </si>
  <si>
    <t>Руководитель  АО "Самаранефтегаз"   ____________________________________</t>
  </si>
  <si>
    <t>П-4 декабрь 2015 г.</t>
  </si>
  <si>
    <t>Страховые взносы в ПФ РФ, ФСС РФ, ФФ  ОМС и ТФ ОМС и ОС_НС (31,7%)</t>
  </si>
  <si>
    <r>
      <t>Страховые взносы в ПФ РФ, ФСС РФ, ФФ  ОМС и ТФ ОМС и ОС_НС</t>
    </r>
    <r>
      <rPr>
        <sz val="11"/>
        <rFont val="Times New Roman"/>
        <family val="1"/>
        <charset val="204"/>
      </rPr>
      <t xml:space="preserve">  (31,7%)</t>
    </r>
  </si>
  <si>
    <t xml:space="preserve">сетевой организации АО «РКЦ «Прогресс» за 2015 г., </t>
  </si>
  <si>
    <t>Покупка потерь на потребителя в ОАО "Самараэнерго" за 2015 г.</t>
  </si>
  <si>
    <t xml:space="preserve">Доход АО "РКЦ "Прогресс" от ОАО "Самараэнерго" за услуги по передаче за 2015 г. (по котловым тарифам) - </t>
  </si>
  <si>
    <t>подлежащих включению в НВВ на передачу электрической энергии в 2017 г.</t>
  </si>
  <si>
    <t xml:space="preserve">Платежи АО "РКЦ "Прогресс" в адрес ОАО "РЖД" КДЭ СП Трансэнерго за услуги по передаче эл.энергии за 2015 г.- </t>
  </si>
  <si>
    <t xml:space="preserve">Платежи АО "РКЦ "Прогресс" в адрес ОАО "МРСК Волги" за услуги по передаче эл.энергии за 2015 г.- </t>
  </si>
  <si>
    <t xml:space="preserve">Платежи АО "РКЦ "Прогресс" в адрес ЗАО "ССК"(подсобное хозяйство Борское) за услуги по передаче эл.энергии за 2015 г.- </t>
  </si>
  <si>
    <t xml:space="preserve">Платежи АО "РКЦ "Прогресс" в адрес ЗАО "ССК"(промплощадка) за услуги по передаче эл.энергии за 2015 г.- </t>
  </si>
  <si>
    <t xml:space="preserve">Платежи АО "РКЦ "Прогресс" в адрес АО "Самаранефтегаз" за услуги по передаче эл.энергии за 2015 г.- </t>
  </si>
  <si>
    <t>в т.ч. Оплата услуг ПАО "ФСК ЕЭС"</t>
  </si>
  <si>
    <t>Утвержденная НВВ АО "РКЦ "Прогресс" (с учетом оплаты услуг ПАО "ФСК ЕЭС" и без уч.оплаты потерь на потребителя) на 2015 г. -</t>
  </si>
  <si>
    <t xml:space="preserve"> в т.ч. Утвержденная НВВ АО "РКЦ "Прогресс" на 2015 г. (без оплаты услуг ПАО "ФСК ЕЭС" и оплаты потерь) - </t>
  </si>
  <si>
    <t>Утвержденнная выручка АО "РКЦ "Прогресс" на 2015 год</t>
  </si>
  <si>
    <t>Фактическая выручка АО "РКЦ "Прогресс" за 2015 год</t>
  </si>
  <si>
    <t>Платежи АО "РКЦ "Прогресс"</t>
  </si>
  <si>
    <t xml:space="preserve">в т.ч. Доход АО "РКЦ "Прогресс" от МП г.о.Самара "Самарский метрополитен" за услуги по передаче за 2015 г.- </t>
  </si>
  <si>
    <t xml:space="preserve">в т.ч. Доход АО "РКЦ "Прогресс" от ЗАО "СГЭС" за услуги по передаче эл.энергии за 2015 г.- </t>
  </si>
  <si>
    <t>Оплата услуг  ПАО "ФСК ЕЭС"</t>
  </si>
  <si>
    <t>Доход АО "РКЦ "Прогресс" всего</t>
  </si>
  <si>
    <t>3.4.</t>
  </si>
  <si>
    <t>3.5.</t>
  </si>
  <si>
    <t>3.6.</t>
  </si>
  <si>
    <t>3.7.</t>
  </si>
  <si>
    <t>Выпадающие доходы (убытки) АО "РКЦ "Прогресс" от осуществления деятельности по передаче электрической энергии за 2015г.</t>
  </si>
  <si>
    <t>Фактическая выручка АО "РКЦ "Прогресс" на осуществления деятельности по передаче электрической энергии за 2015г.(на содержание сетей)</t>
  </si>
  <si>
    <r>
      <t xml:space="preserve">В связи со сложившейся ситуацией в 2015 г., прошу учесть </t>
    </r>
    <r>
      <rPr>
        <b/>
        <sz val="10"/>
        <rFont val="Arial CYR"/>
        <charset val="204"/>
      </rPr>
      <t>выпадающие доходы</t>
    </r>
    <r>
      <rPr>
        <sz val="10"/>
        <rFont val="Arial CYR"/>
        <charset val="204"/>
      </rPr>
      <t xml:space="preserve">  (убытки) АО "РКЦ "Прогресс" от осуществления деятельности по передаче электрической энергии</t>
    </r>
    <r>
      <rPr>
        <b/>
        <sz val="10"/>
        <rFont val="Arial CYR"/>
        <charset val="204"/>
      </rPr>
      <t xml:space="preserve"> за 2015 г.</t>
    </r>
  </si>
  <si>
    <t>16584,20-16040,47 = +543,73 тыс.руб.</t>
  </si>
  <si>
    <t>2854,92 - 543,73 = +2311,19 тыс.руб.</t>
  </si>
  <si>
    <t>от   ПАО "ФСК ЕЭС"</t>
  </si>
  <si>
    <t>от АО "Самаранефтегаз"</t>
  </si>
  <si>
    <t>I. ПОЛЕЗНЫЙ ОТПУСК КОНЕЧНЫМ ПОТРЕБИТЕЛЯМ *</t>
  </si>
  <si>
    <t>1.1 Монопотребитель** (Наименование организации)</t>
  </si>
  <si>
    <t>2. НАСЕЛЕНИЕ</t>
  </si>
  <si>
    <t>II. СОБСТВЕННОЕ ПОТРЕБЛЕНИЕ (в целом по юридическому лицу) ***</t>
  </si>
  <si>
    <t xml:space="preserve">                         ** - в соответствии с критериями, определенными постановлением Правительства Российской Федерации от 29.12.2011 № 1178;</t>
  </si>
  <si>
    <t>_____________________ ПАО "Самараэнерго"</t>
  </si>
  <si>
    <r>
      <t>в размере -</t>
    </r>
    <r>
      <rPr>
        <b/>
        <sz val="10"/>
        <rFont val="Arial CYR"/>
        <charset val="204"/>
      </rPr>
      <t xml:space="preserve"> 2311,19 тыс.руб. </t>
    </r>
    <r>
      <rPr>
        <sz val="10"/>
        <rFont val="Arial CYR"/>
        <charset val="204"/>
      </rPr>
      <t>при  утверждении необходимой валовой выручки на 2017 г.</t>
    </r>
  </si>
  <si>
    <r>
      <t xml:space="preserve"> ???+доход от нк энергосбыт+ энергобытобслуживание </t>
    </r>
    <r>
      <rPr>
        <b/>
        <sz val="10"/>
        <color rgb="FFFF0000"/>
        <rFont val="Calibri"/>
        <family val="2"/>
        <charset val="204"/>
      </rPr>
      <t>≈</t>
    </r>
    <r>
      <rPr>
        <b/>
        <sz val="10"/>
        <color rgb="FFFF0000"/>
        <rFont val="Arial Cyr"/>
        <charset val="204"/>
      </rPr>
      <t>6,0+27,0=33,0т.р.</t>
    </r>
  </si>
  <si>
    <t>2015 год факт</t>
  </si>
  <si>
    <t>2015 год утверждено</t>
  </si>
  <si>
    <t>Экономия средств</t>
  </si>
  <si>
    <t xml:space="preserve">Справочно: </t>
  </si>
  <si>
    <t xml:space="preserve">5.1.2. </t>
  </si>
  <si>
    <r>
      <t>Корректировка неподконтрольных расходов                                              (ΔНР</t>
    </r>
    <r>
      <rPr>
        <vertAlign val="subscript"/>
        <sz val="13"/>
        <rFont val="Arial"/>
        <family val="2"/>
        <charset val="204"/>
      </rPr>
      <t xml:space="preserve">i </t>
    </r>
    <r>
      <rPr>
        <sz val="11"/>
        <rFont val="Arial"/>
        <family val="2"/>
        <charset val="204"/>
      </rPr>
      <t>= Н</t>
    </r>
    <r>
      <rPr>
        <vertAlign val="subscript"/>
        <sz val="13"/>
        <rFont val="Arial"/>
        <family val="2"/>
        <charset val="204"/>
      </rPr>
      <t>рi-2</t>
    </r>
    <r>
      <rPr>
        <vertAlign val="superscript"/>
        <sz val="13"/>
        <rFont val="Arial"/>
        <family val="2"/>
        <charset val="204"/>
      </rPr>
      <t>факт</t>
    </r>
    <r>
      <rPr>
        <sz val="11"/>
        <rFont val="Arial"/>
        <family val="2"/>
        <charset val="204"/>
      </rPr>
      <t xml:space="preserve"> - Н</t>
    </r>
    <r>
      <rPr>
        <vertAlign val="subscript"/>
        <sz val="13"/>
        <rFont val="Arial"/>
        <family val="2"/>
        <charset val="204"/>
      </rPr>
      <t>i-2</t>
    </r>
    <r>
      <rPr>
        <vertAlign val="superscript"/>
        <sz val="13"/>
        <rFont val="Arial"/>
        <family val="2"/>
        <charset val="204"/>
      </rPr>
      <t>план</t>
    </r>
    <r>
      <rPr>
        <sz val="13"/>
        <rFont val="Arial"/>
        <family val="2"/>
        <charset val="204"/>
      </rPr>
      <t>)</t>
    </r>
  </si>
  <si>
    <t>факт 2015г.</t>
  </si>
  <si>
    <t>с коэфф. от утв.</t>
  </si>
  <si>
    <t>матер.</t>
  </si>
  <si>
    <r>
      <t xml:space="preserve">в т.ч. на передачу электроэнергии субабонентам </t>
    </r>
    <r>
      <rPr>
        <sz val="11"/>
        <rFont val="Times New Roman"/>
        <family val="1"/>
        <charset val="204"/>
      </rPr>
      <t xml:space="preserve"> в доле </t>
    </r>
    <r>
      <rPr>
        <sz val="11"/>
        <color rgb="FFFF0000"/>
        <rFont val="Times New Roman"/>
        <family val="1"/>
        <charset val="204"/>
      </rPr>
      <t>17,31</t>
    </r>
    <r>
      <rPr>
        <b/>
        <sz val="11"/>
        <color rgb="FFFF0000"/>
        <rFont val="Times New Roman"/>
        <family val="1"/>
        <charset val="204"/>
      </rPr>
      <t xml:space="preserve"> %</t>
    </r>
  </si>
  <si>
    <t xml:space="preserve">по данным документа "Выписка из штатного расписания электротехнического персонала цеха, участвующего в процессе передачи эл.энергии с 01.09.2015г. </t>
  </si>
  <si>
    <t>по сч-ф</t>
  </si>
  <si>
    <t xml:space="preserve"> + псх</t>
  </si>
  <si>
    <t>2017 г. утверждено</t>
  </si>
  <si>
    <t>Уменьшение у.е. для передачи эл.энергии потребителям  АО "РКЦ "Прогресс" в 2018 г. объясняется тем, что на период регулирования</t>
  </si>
  <si>
    <t>не планируется использование 3-х подстанций для осуществления регулируемого вида деятельности.</t>
  </si>
  <si>
    <t>А. В. Кочетков</t>
  </si>
  <si>
    <t>Корректировка (оптимизация)</t>
  </si>
  <si>
    <t>по факту 2016 г.</t>
  </si>
  <si>
    <t>нас.СН2</t>
  </si>
  <si>
    <t>нас.НН</t>
  </si>
  <si>
    <t>++++</t>
  </si>
  <si>
    <t>ССК</t>
  </si>
  <si>
    <t>ЭБО</t>
  </si>
  <si>
    <t>уточнить</t>
  </si>
  <si>
    <t>мрск</t>
  </si>
  <si>
    <t>потери всего</t>
  </si>
  <si>
    <t xml:space="preserve"> АО "ССК" </t>
  </si>
  <si>
    <t>факт 2016г.</t>
  </si>
  <si>
    <t>+</t>
  </si>
  <si>
    <t>?</t>
  </si>
  <si>
    <t>НА 1 КВТЧ</t>
  </si>
  <si>
    <t>НА 2018 Г.</t>
  </si>
  <si>
    <t>0,14581Х14635,371х1,0296Х0,876 = 1924,7</t>
  </si>
  <si>
    <t>Оплата услуг ПАО "ФСК ЕЭС"</t>
  </si>
  <si>
    <t>Полезный отпуск, тыс.кВтч</t>
  </si>
  <si>
    <t xml:space="preserve"> Затраты на материалы факт на потребителя по ф.5.2.63, тыс.руб.</t>
  </si>
  <si>
    <t>Фактические затраты материалов  на 1кВтч полезного отпуска, руб.</t>
  </si>
  <si>
    <t>НВВ на передачу электрической энергии АО "РКЦ"Прогресс"</t>
  </si>
  <si>
    <t>Расшифровка и обоснование статьи 2018 г.</t>
  </si>
  <si>
    <t>Расходы из прибыли (расходы по коллективным договорам)</t>
  </si>
  <si>
    <t>Отчисления на социальные нужды  (31,7%)</t>
  </si>
  <si>
    <t>Итого неподконтрольные расходы</t>
  </si>
  <si>
    <t xml:space="preserve">Итого НВВ на содержание                </t>
  </si>
  <si>
    <t>Корректировка НВВ на 2018 г.на содержание с учетом достижения плановых показателей уровня надежности и качества оказываемых услуг</t>
  </si>
  <si>
    <t>Период регули- рования i= 2018 г.</t>
  </si>
  <si>
    <t xml:space="preserve"> Корр.НВВ = (НВВ сод.i-2 х Коб х Пкор)= 9706,37 тыс.руб.х 0,65 х 2 % = 143,3тыс.руб.</t>
  </si>
  <si>
    <t xml:space="preserve"> Копии первичных документов (счетов-фактур, платежных поручений по оплате электротехнических материалов на обслуживание и ремонт оборудования участка электроснабжения в целом по организации) за 2016 год прилагаются с сопроводительным письмом.                                               </t>
  </si>
  <si>
    <t>Электротехнические материалы на выполнение работ по ремонту и тех.обслуживанию собственными силами ТП и сетей, обслуживающих потребителя, взяты по факту 2016г. (по ф.5.2.63) с учетом изменения полезного отпуска потребителям и с учетом коээфициента индексации по годам, учитывающего ИПЦ и индекс изменения активов Кинд.на 2017г. =1,0296 и Кинд.на 2018г. =0,876.</t>
  </si>
  <si>
    <t xml:space="preserve">Расчет стоимости на материалы произведен на стр.174 дела вх.№359/Р от 27.04.17 г.                                    </t>
  </si>
  <si>
    <t>Затраты на 2018 год составляют:</t>
  </si>
  <si>
    <t>Фактические затраты материалов за 2016год  на 1кВтч полезного отпуска, руб. = 2173,5 тыс.руб. (по ф.5.2.63) / 14906,146тыс.квтч = 0,14581руб./кВтч;</t>
  </si>
  <si>
    <t>Планируемый полезный отпуск эл.энергии потребителям на 2018 год = 14635,4 тыс.кВтч;</t>
  </si>
  <si>
    <r>
      <rPr>
        <b/>
        <sz val="10"/>
        <rFont val="Times New Roman"/>
        <family val="1"/>
        <charset val="204"/>
      </rPr>
      <t>Прочие расходы</t>
    </r>
    <r>
      <rPr>
        <sz val="10"/>
        <rFont val="Times New Roman"/>
        <family val="1"/>
        <charset val="204"/>
      </rPr>
      <t xml:space="preserve"> включают ОХР, размер которых рассчитан по формуле 2 методических указаний № 98-э от 17.02.2012 г. путем умножения утвержденных подконтрольных расходов организации на 2017 год по протоколу министерства энергетики и ЖКХ СО от 28.12.2016г. №14-э на коэффициент индексации на 2018 год, рассчитанный с учетом индекса эффективности ПР, индекса изменения активов, индекса эффективности затрат по росту активов (69,6 тыс.руб. х 0,876 =</t>
    </r>
    <r>
      <rPr>
        <b/>
        <sz val="10"/>
        <rFont val="Times New Roman"/>
        <family val="1"/>
        <charset val="204"/>
      </rPr>
      <t xml:space="preserve"> 61,0 тыс.руб.).</t>
    </r>
  </si>
  <si>
    <t xml:space="preserve">Общехозяйственные расходы на передачу эл.энергии составляют 0,002 % от общей суммы ОХР (стр. 186-188 дела вх.№ 359/Р от 27.04.2017г.). </t>
  </si>
  <si>
    <t>По данной статье запланированы премии к праздничным датами, поощрения к юбилеям, прочие премии из прибыли. Затраты запланированы с Кинд.на 2018г.=0,876 к утвержденным затратам на 2017 год Расходы по кол.дог.на 2018 год = 69,6 тыс.руб. х 0,876 = 61,0тыс.руб.</t>
  </si>
  <si>
    <t xml:space="preserve">Базовый период -                   2017г. (утверждено) </t>
  </si>
  <si>
    <r>
      <t xml:space="preserve">Налог на прибыль - как 20% от налогооблагаемой базы. Налогооблагаемая база = 61,0 тыс.руб. / 0,8 = 76,25 тыс.руб. </t>
    </r>
    <r>
      <rPr>
        <b/>
        <sz val="10"/>
        <rFont val="Times New Roman"/>
        <family val="1"/>
        <charset val="204"/>
      </rPr>
      <t xml:space="preserve">Налог на прибыль </t>
    </r>
    <r>
      <rPr>
        <sz val="10"/>
        <rFont val="Times New Roman"/>
        <family val="1"/>
        <charset val="204"/>
      </rPr>
      <t xml:space="preserve">= 76,25 тыс.руб. х 20% = </t>
    </r>
    <r>
      <rPr>
        <b/>
        <sz val="10"/>
        <rFont val="Times New Roman"/>
        <family val="1"/>
        <charset val="204"/>
      </rPr>
      <t>15,3 тыс.руб.</t>
    </r>
  </si>
  <si>
    <r>
      <t xml:space="preserve">ЕСН - 30,0 %; Обязательное страхование от несчастных случаев на производстве - </t>
    </r>
    <r>
      <rPr>
        <b/>
        <sz val="10"/>
        <rFont val="Times New Roman"/>
        <family val="1"/>
        <charset val="204"/>
      </rPr>
      <t xml:space="preserve">1,7 % </t>
    </r>
    <r>
      <rPr>
        <sz val="10"/>
        <rFont val="Times New Roman"/>
        <family val="1"/>
        <charset val="204"/>
      </rPr>
      <t>(уведомление прилагается стр.)</t>
    </r>
  </si>
  <si>
    <t>Расчет стоимости услуг ПАО "ФСК ЕЭС" произведен в таблице П1.13 (стр.65) на плановый отпуск в сеть в МВтч и МВт по утвержденным тарифам на 2018 год (стр.280-286)</t>
  </si>
  <si>
    <r>
      <t xml:space="preserve">1)  Расчет амортизационных отчислений по линиям электропередач  и подстанциям в целом по участку электроснабжения составит в 2017 г. 28,690тыс.руб. х 12 мес. = 852,0 тыс.руб. Расчет амортизационных отчислений по линиям электропередач  и подстанциям, отнесенных на передачу эл.энергии субабонентам  произведен пропорционально полезному отпуску в доле 9,51% (пром.площадка+участок ПСХ) - </t>
    </r>
    <r>
      <rPr>
        <b/>
        <sz val="10"/>
        <rFont val="Times New Roman"/>
        <family val="1"/>
        <charset val="204"/>
      </rPr>
      <t xml:space="preserve">81,0 тыс.руб. </t>
    </r>
    <r>
      <rPr>
        <sz val="10"/>
        <rFont val="Times New Roman"/>
        <family val="1"/>
        <charset val="204"/>
      </rPr>
      <t>(стр.288-289 дела Вх.№ 359/Р от 27.04.2017г.)</t>
    </r>
  </si>
  <si>
    <r>
      <t xml:space="preserve">Итого амортизация ОС на 2018 год запланирована в размере </t>
    </r>
    <r>
      <rPr>
        <b/>
        <sz val="10"/>
        <rFont val="Times New Roman"/>
        <family val="1"/>
        <charset val="204"/>
      </rPr>
      <t>115,6 тыс.руб.</t>
    </r>
    <r>
      <rPr>
        <sz val="10"/>
        <rFont val="Times New Roman"/>
        <family val="1"/>
        <charset val="204"/>
      </rPr>
      <t xml:space="preserve"> (81,0 тыс.руб. + 34,6 тыс.руб. =115,6 тыс.руб.).</t>
    </r>
  </si>
  <si>
    <r>
      <t xml:space="preserve">2) Амортизационные отчисления общехозяйственного назначения составляют </t>
    </r>
    <r>
      <rPr>
        <b/>
        <sz val="10"/>
        <rFont val="Times New Roman"/>
        <family val="1"/>
        <charset val="204"/>
      </rPr>
      <t>34,6тыс.руб.</t>
    </r>
    <r>
      <rPr>
        <sz val="10"/>
        <rFont val="Times New Roman"/>
        <family val="1"/>
        <charset val="204"/>
      </rPr>
      <t xml:space="preserve"> (0,02% от амортизационных отчислений общехозяйственного назначения).</t>
    </r>
  </si>
  <si>
    <t>Справочно: расчетная величина налога на прибыль за 2016 год в целом по предприятию составила 520866,689 тыс.руб. (согласно НД стр.343 дела).</t>
  </si>
  <si>
    <t>Налог на имущество рассчитан как 2,2% от среднегодовой остаточной стоимости.</t>
  </si>
  <si>
    <t>Среднегодовая остаточная стоимость ОС участка электроснабжения за 2018 год составила 5 529 291,0 руб. (стр.291 дела).</t>
  </si>
  <si>
    <t>Налог на имущество по ОС участка электроснабжения на 2018 год составит 5529291,0х2,2%/1000 = 121644руб.</t>
  </si>
  <si>
    <t>Налог на имущество по линиям электропередач и подстанциям, отнесенный на потребителя на 2018 год составит 121644руб.х9,51%=11,6тыс.руб.</t>
  </si>
  <si>
    <t>Налог на имущество по ОС общехозяйственного назначения, отнесенный на участк передачи эл.энергии потребителям составит 7,1тыс.руб.</t>
  </si>
  <si>
    <t>Налог на имущество на 2018 г. запланирован на уровне утвержденного на 2017 г. , т.к. помимо уменьшения остаточной стоимости ОС вследствие списания амортизации, на организации проводятся реконструкция и модернизация оборудования участка электроснабжения, что увеличивает остаточную стоимость объектов.</t>
  </si>
  <si>
    <t>Итого налог на имущество составит 11,6 тыс.руб. + 7,1 тыс.руб. = 18,7тыс.руб.</t>
  </si>
  <si>
    <t>Справочно: согласно НД (стр.365 дела) сумма налога, подлежащая уплпте в бюджет составляет 4485,373тыс.руб.</t>
  </si>
  <si>
    <t xml:space="preserve">Расшифровка и обоснование по статьям затрат </t>
  </si>
  <si>
    <r>
      <t>1) Оплата труда основных производственных рабочих  -</t>
    </r>
    <r>
      <rPr>
        <b/>
        <sz val="10"/>
        <rFont val="Times New Roman"/>
        <family val="1"/>
        <charset val="204"/>
      </rPr>
      <t xml:space="preserve"> 5643,2 тыс.руб.</t>
    </r>
    <r>
      <rPr>
        <sz val="10"/>
        <rFont val="Times New Roman"/>
        <family val="1"/>
        <charset val="204"/>
      </rPr>
      <t xml:space="preserve"> ФОТ 13 чел. в доле от 124 чел. (стр.112дела), согласно выписки из штатного расписания от 01.01.2017 г.(стр.116-124 дела) пропорционально отпуску эл.эн. потребителям. Расчет произведен отдельно по пром.площадке и по участку ПСХ, по ДОЛ "Космос" (стр.113-115дела);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</si>
  <si>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2) Оплата труда цехового персонала (РСС + всп.раб.), относящегося на передачу эл.энергии - </t>
    </r>
    <r>
      <rPr>
        <b/>
        <sz val="10"/>
        <rFont val="Times New Roman"/>
        <family val="1"/>
        <charset val="204"/>
      </rPr>
      <t xml:space="preserve">2128,1тыс.руб. </t>
    </r>
    <r>
      <rPr>
        <sz val="10"/>
        <rFont val="Times New Roman"/>
        <family val="1"/>
        <charset val="204"/>
      </rPr>
      <t xml:space="preserve">ФОТ 6-и чел. в доле от 57 чел. пропорционально отпуску эл.эн.потребителям согласно выписки из штатного расписания от 01.01.2017 г. Расчет произведен отдельно по пром.площадке, по участку ПСХ, по ДОЛ "Космос" (стр.113-115 дела);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</si>
  <si>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Итого ФОТ на 2018 год  19 чел. составит 5643,2тыс.руб.+2128,1тыс.руб.=7771,3тыс.руб.</t>
  </si>
  <si>
    <t>Среднемесячная заработная плата на 2018 г. составляет 7771,3тыс.руб. /19 чел./12мес. = 34,085тыс.руб.</t>
  </si>
  <si>
    <t>фактическая среднемесячная заработная за 2016 г. по участку передачи эл.энергии потребителям (форма 5) составила 33,320тыс.руб.</t>
  </si>
  <si>
    <t>Справочно: 1) фактическая средняя заработная плата за декабрь 2016 г. в целом по предприятию (форма П-4) составила 770276,9тыс.руб./18594чел.=41,426тыс.руб.</t>
  </si>
  <si>
    <r>
      <t xml:space="preserve"> </t>
    </r>
    <r>
      <rPr>
        <b/>
        <sz val="10"/>
        <rFont val="Times New Roman"/>
        <family val="1"/>
        <charset val="204"/>
      </rPr>
      <t xml:space="preserve">Услуги сторонних организаций на 2018 год запланированы от утвержденных на 2017 год с Кинд.=0,876 </t>
    </r>
    <r>
      <rPr>
        <sz val="10"/>
        <rFont val="Times New Roman"/>
        <family val="1"/>
        <charset val="204"/>
      </rPr>
      <t xml:space="preserve">(340,3 тыс.руб. х 0,876 = 298,1тыс.руб.). </t>
    </r>
  </si>
  <si>
    <t xml:space="preserve"> - Измерение показателей качества эл.энергии для сертификации 24,3 тыс.руб. (72,8т.р./3 = 24,3т.р.)</t>
  </si>
  <si>
    <t>1. Согласно раздела III пункта 28 подпункта 9 ПП РФ 1178 от 29.12.2011 с изм. Мероприятия по измерению и сертификации качества эл.энергии (п.1-4 таблицы)  включаются в состав НВВ ТСО.</t>
  </si>
  <si>
    <t xml:space="preserve"> - Проверка пакета документации, предъявляемого для сертификации качества эл.энергии в сертификационный орган  13,3тыс.руб. (40т.р. / 3 = 13,3 т.р.)</t>
  </si>
  <si>
    <t xml:space="preserve"> - Проведение контрольных испытаний качества электрической энергии 128,0тыс.руб. (384,1тыс.руб./3 = 128,0тыс.руб.)</t>
  </si>
  <si>
    <t xml:space="preserve">Реестр договоров и платежных поручений, подтверждающих затраты по сертификации  эл.энергии, поставляемой потребителям </t>
  </si>
  <si>
    <t>за 2014г.</t>
  </si>
  <si>
    <t xml:space="preserve"> - Проведение обязательной сертификации электрической энергии, отпускаемой потребителям от центров питания на соответствие требованиям ГОСТ Р-13109-97 50,9тыс.руб. (152,8т.р. / 3 = 50,9т.р.)</t>
  </si>
  <si>
    <t xml:space="preserve">Зптраты на проведение сертификации на 2018 год составляют 216,5 тыс.руб.: </t>
  </si>
  <si>
    <r>
      <t xml:space="preserve">2) Ежегодное медицинское освидетельствование электротехнического персонала </t>
    </r>
    <r>
      <rPr>
        <b/>
        <sz val="10"/>
        <rFont val="Times New Roman"/>
        <family val="1"/>
        <charset val="204"/>
      </rPr>
      <t>143,8 тыс.руб.</t>
    </r>
    <r>
      <rPr>
        <sz val="10"/>
        <rFont val="Times New Roman"/>
        <family val="1"/>
        <charset val="204"/>
      </rPr>
      <t>;</t>
    </r>
  </si>
  <si>
    <r>
      <t>4) Расходы на стандарты раскрытия информации организации, осуществляющей регулируемые виды деятельности (публикация в газете Волжская коммуна  бухгалтерской отчетности) -</t>
    </r>
    <r>
      <rPr>
        <b/>
        <sz val="10"/>
        <rFont val="Times New Roman"/>
        <family val="1"/>
        <charset val="204"/>
      </rPr>
      <t xml:space="preserve"> 20,0 тыс.руб.</t>
    </r>
  </si>
  <si>
    <t xml:space="preserve">3) Экспертиза технологических потерь электрической энергии, расчет и обоснование тарифов на услуги по передаче электроэнергии </t>
  </si>
  <si>
    <r>
      <t xml:space="preserve">2) </t>
    </r>
    <r>
      <rPr>
        <b/>
        <sz val="10"/>
        <rFont val="Times New Roman"/>
        <family val="1"/>
        <charset val="204"/>
      </rPr>
      <t xml:space="preserve">Обучение специалистов </t>
    </r>
    <r>
      <rPr>
        <sz val="10"/>
        <rFont val="Times New Roman"/>
        <family val="1"/>
        <charset val="204"/>
      </rPr>
      <t xml:space="preserve">правилам и нормам безопасной эксплуатации электроустановок - </t>
    </r>
    <r>
      <rPr>
        <b/>
        <sz val="10"/>
        <rFont val="Times New Roman"/>
        <family val="1"/>
        <charset val="204"/>
      </rPr>
      <t>35,0тыс.руб.;</t>
    </r>
  </si>
  <si>
    <t>Итоого подконтрольные расходы</t>
  </si>
  <si>
    <r>
      <t>1)</t>
    </r>
    <r>
      <rPr>
        <b/>
        <sz val="10"/>
        <rFont val="Times New Roman"/>
        <family val="1"/>
        <charset val="204"/>
      </rPr>
      <t xml:space="preserve"> Затраты на проведение обязательной сертификации электрической энергии</t>
    </r>
    <r>
      <rPr>
        <sz val="10"/>
        <rFont val="Times New Roman"/>
        <family val="1"/>
        <charset val="204"/>
      </rPr>
      <t xml:space="preserve">, отпускаемой потребителям запланированы </t>
    </r>
    <r>
      <rPr>
        <i/>
        <sz val="10"/>
        <rFont val="Times New Roman"/>
        <family val="1"/>
        <charset val="204"/>
      </rPr>
      <t>по факту 2014 г.с разбивкой на 3 года 2017-2019гг. (</t>
    </r>
    <r>
      <rPr>
        <sz val="10"/>
        <rFont val="Times New Roman"/>
        <family val="1"/>
        <charset val="204"/>
      </rPr>
      <t>срок действия сертификата соответствия 3 года с 25.12.2014 по 25.12.2017 - стр.137 дела, затраты на проведения сертификации произведены в 2014 г., реестр договоров, подтверждающих затраты в 2014 г. прилагается, договора на измерение показателей качества эл.энергии, проведение сертификации эл.энергии (4 шт.) были представлены в деле по расчету НВВ на 2015 г. в пакете доп.док. стр.367-375):</t>
    </r>
  </si>
  <si>
    <r>
      <rPr>
        <b/>
        <sz val="10"/>
        <rFont val="Times New Roman"/>
        <family val="1"/>
        <charset val="204"/>
      </rPr>
      <t xml:space="preserve">Планируемые затраты материалов по передаче эл.энергии на 2018 год </t>
    </r>
    <r>
      <rPr>
        <sz val="10"/>
        <rFont val="Times New Roman"/>
        <family val="1"/>
        <charset val="204"/>
      </rPr>
      <t xml:space="preserve">с учетом коэффициентов индексации составят 0,14581 руб./Квтч х 14635,4 тыс.кВтч х 1,00296 х 0,876 = </t>
    </r>
    <r>
      <rPr>
        <b/>
        <sz val="10"/>
        <rFont val="Times New Roman"/>
        <family val="1"/>
        <charset val="204"/>
      </rPr>
      <t>1924,7тыс.руб.</t>
    </r>
  </si>
  <si>
    <t>факт 2017г.</t>
  </si>
  <si>
    <t>проч.</t>
  </si>
  <si>
    <t>нас.</t>
  </si>
  <si>
    <t xml:space="preserve">в т.ч. </t>
  </si>
  <si>
    <t>нас.электро</t>
  </si>
  <si>
    <t>проч.нас.</t>
  </si>
  <si>
    <t>ГСК</t>
  </si>
  <si>
    <t>Налог на имущество - 2,2% от среднегодовой остаточной стоимости</t>
  </si>
  <si>
    <t>Расчет налога на имущество</t>
  </si>
  <si>
    <t>Остаточная стоимость         на 01.01.20г.</t>
  </si>
  <si>
    <t>Работы по демонтажу контактора РПН (с установкой временных перемычек) силового трансформатора ТРДЦН-63000/220/10/10 Т-1 на ГПП цеха 2426</t>
  </si>
  <si>
    <t>ООО "Самараэлектрореммонтажналадка"</t>
  </si>
  <si>
    <t>Договор подряда №39-17 от 06.10.2017, смета, справка о стоимости работ, АВР, платежное поручение</t>
  </si>
  <si>
    <t>Расчет установок релейной защиты ТП "Зубчаниновская" 220/10/10 кВ на стороне 220 кВ</t>
  </si>
  <si>
    <t>ООО "ТПО-НЕФТЕПРОМ"</t>
  </si>
  <si>
    <t xml:space="preserve"> (согласно п.7 Предписания № 10-412-09-13-413-В от 27.09.2013 г. Средне-Поволжского управления Ростехнадзора - стр.391-393 дела вх.№ 565/Р от 30.04.2014г.)</t>
  </si>
  <si>
    <t>Договор подряда №01/11-2017 от 01.11.2017, АВР, платежное поручение</t>
  </si>
  <si>
    <t>Проведение  сертификации электрической энергии, включая проведение сертификационных испытаний в центрах питания (распределительных  электрических сетей) на соответствие требованиям ГОСТ 32144-2013</t>
  </si>
  <si>
    <t>Договор №5-18 от 25.01.2018</t>
  </si>
  <si>
    <t>АВР, платежное поручение</t>
  </si>
  <si>
    <t>Ремонтные работы сезонных испытаний и доливки трансформаторного масла в силовые трансформаторы  ТРДЦН-63000/220/10/10 Т-1 и ТРДЦН-63000/220/10/10 Т-2 на ГПП цеха 2426</t>
  </si>
  <si>
    <r>
      <t>Договор подряда № 46-17 от 29.11.2017 г.</t>
    </r>
    <r>
      <rPr>
        <b/>
        <i/>
        <sz val="10"/>
        <rFont val="Arial"/>
        <family val="2"/>
        <charset val="204"/>
      </rPr>
      <t xml:space="preserve"> (согласно п.11 Предписания № 08-412-08-16-330-В от 19.08.2016 г. Средне-Поволжского управления Ростехнадзора - стр._________ дела)</t>
    </r>
  </si>
  <si>
    <t>Капитальный ремонт кабельной сети 10кВ  от ГПП 110/10 "АВИС" до РУ-30,3В, 22</t>
  </si>
  <si>
    <t>ООО "Самрский Электропроект"</t>
  </si>
  <si>
    <t>Договор № 1038 от 19.10.2017г., смета</t>
  </si>
  <si>
    <t>Ремонт вакуумного выключателя ВВ/TEL цех 2426</t>
  </si>
  <si>
    <t>Договор подряда № 23-17 от 06.07.2017 г., акт вып.раб., сравка о стоимости вып.раб. и затрат, платежное поручение</t>
  </si>
  <si>
    <t>Разработка и выдача ТУ на пересечение кабельными линиями 10кВ в район Заводское шоссе,83 г. Самара железнодорожных путей необщего пользования № I и № II станция Самарка АО Самарского регионального транспортного комплекса</t>
  </si>
  <si>
    <t>ООО "ВолгаУралТранс"</t>
  </si>
  <si>
    <t>Договор №12 от 30.08.2017, акт вып.раб., платежное поручение</t>
  </si>
  <si>
    <t>Поставка оборудования "Шкафы УПК-Ц-16Пд-Вч с одним передатчиком для модернизации устройств передачи аварийных сигналов и команд (УПАСК)</t>
  </si>
  <si>
    <t>ООО "Прософт- Системы"</t>
  </si>
  <si>
    <t>Договор №17-35041 от 16.01.2017, платежные поручения</t>
  </si>
  <si>
    <t>Испытания трансформаторного масла в силовом трансформаторе ТРДЦН-63000/220/10/10 Т-1 на ГПП цеха 2426</t>
  </si>
  <si>
    <t>Расчет НВВ на осуществление деятельности услуг по передаче электрической энергии</t>
  </si>
  <si>
    <t>Договора № 51/17 от 03.02.2017</t>
  </si>
  <si>
    <t xml:space="preserve">Работы по капитальному ремонту электрического отопления и ремонту кабелей КРУ-26 </t>
  </si>
  <si>
    <t>Договор подряда № 42-16 ОТ 05.12.2016 г., справка о стоимости вып.работ и затрат АВР</t>
  </si>
  <si>
    <t>Испытания силового трансформатора ТРДЦН-63000/220/10/10 Т-1 на ГПП цеха 2426</t>
  </si>
  <si>
    <r>
      <t>Договор подряда № 34-17 от 18.09.2017 г., смета, АВР, платежное поручение</t>
    </r>
    <r>
      <rPr>
        <b/>
        <i/>
        <sz val="10"/>
        <rFont val="Arial"/>
        <family val="2"/>
        <charset val="204"/>
      </rPr>
      <t xml:space="preserve"> (согласно п.11 Предписания № 08-412-08-16-330-В от 19.08.2016 г. Средне-Поволжского управления Ростехнадзора - стр._________ дела)</t>
    </r>
  </si>
  <si>
    <r>
      <t>Договор подряда № 38-17 от 28.09.2017 г., смета, справка о стомости вып.раб.и затрат, АВР, платежное поручение</t>
    </r>
    <r>
      <rPr>
        <b/>
        <i/>
        <sz val="10"/>
        <rFont val="Arial"/>
        <family val="2"/>
        <charset val="204"/>
      </rPr>
      <t xml:space="preserve"> (согласно п.5,6,8 Предписания № 08-412-08-16-330-В от 19.08.2016 г. Средне-Поволжского управления Ростехнадзора - стр._________ дела)</t>
    </r>
  </si>
  <si>
    <t xml:space="preserve">2018 г. затраты на потребителя                                        </t>
  </si>
  <si>
    <t>Проведение инспекционного контроля за сертифицированной эл.энергией, включая измерение показателей качества эл.энергии для инспекционного контроля, в центрах питания (распределительных электрических сетях)</t>
  </si>
  <si>
    <t>Договор №000081477 о 31.01.2017г., сметы, АВР</t>
  </si>
  <si>
    <t>П-4 дек.2017 эл.эн.</t>
  </si>
  <si>
    <t xml:space="preserve">Увеличение балансовой стоимости на 01.01.2018г. произошло в связи с проведением на объекте инв.№ 550165 работ  по реконструкции (акт о приемке вып.рабо КС-2 и </t>
  </si>
  <si>
    <t>акт о приемереконструированных объектов основных средств ОС-3 прилагается) - стр.______ дела.</t>
  </si>
  <si>
    <t>ФСК заявка</t>
  </si>
  <si>
    <t>сн2</t>
  </si>
  <si>
    <t>2019 г. утверждено</t>
  </si>
  <si>
    <t>2022 г. расчет АО "РКЦ "Прогресс"</t>
  </si>
  <si>
    <t>2023 г. расчет АО "РКЦ "Прогресс"</t>
  </si>
  <si>
    <t>2024 г. расчет АО "РКЦ "Прогресс"</t>
  </si>
  <si>
    <t>Объем потерь электроэнергии, МВт.ч</t>
  </si>
  <si>
    <t>Тариф (цена) покупки потерь (цена факт.ЦПi-2ф; цена прогнозн.ЦПi-2), руб./МВт.ч</t>
  </si>
  <si>
    <t>Стоимость потерь , тыс.руб.</t>
  </si>
  <si>
    <t>Поступление электроэнергии в сеть, МВт.ч</t>
  </si>
  <si>
    <t>Отклонения по потерям всего, тыс.руб.</t>
  </si>
  <si>
    <t xml:space="preserve">для АО "РКЦ "Прогресс" утвержден долгосрочный параметр регулирования - уровень технологического расхода (потерь) </t>
  </si>
  <si>
    <t>Отпуск электроэнергии в сеть потребителям, МВт.ч (отпуск факт. Эi-2отп.ф, отпуск прогнозн.Эi-2отп.)</t>
  </si>
  <si>
    <t>2019 год утв.</t>
  </si>
  <si>
    <t xml:space="preserve">в целом по предприятию (пром.площадка+ЛОЦ "Космос") </t>
  </si>
  <si>
    <t>Остаточная стоимость         на 01.01.18г., руб.</t>
  </si>
  <si>
    <r>
      <t xml:space="preserve">Норма аморти- зации            </t>
    </r>
    <r>
      <rPr>
        <b/>
        <sz val="11"/>
        <rFont val="Times New Roman"/>
        <family val="1"/>
        <charset val="204"/>
      </rPr>
      <t>%</t>
    </r>
  </si>
  <si>
    <t>Срок полезного использо- вания, мес.</t>
  </si>
  <si>
    <t>Электроснабжение (ГПП-220/10) ТРДЦН-63000/220-74</t>
  </si>
  <si>
    <t>Устройство распределительное п/ст2а у корпуса 45А 28 ячеек</t>
  </si>
  <si>
    <t>Устройство распределительное п/ст3в 18 ячеек</t>
  </si>
  <si>
    <t>Устройство распределительное</t>
  </si>
  <si>
    <t>Трансформаторная подстанция на безгаражной стоянке цеха 2431</t>
  </si>
  <si>
    <t>Распределительный пункт</t>
  </si>
  <si>
    <t>Подстанция трансформаторная № 17 для полигона железобетонных изделий</t>
  </si>
  <si>
    <t>Подстанция комплектная трансформаторная</t>
  </si>
  <si>
    <t xml:space="preserve"> ТП 1 инв.№ 971029  (ЛОЦ "Космос")</t>
  </si>
  <si>
    <t>ТП 2 инв.№ 970004 цех 2452 (ЛОЦ "Космос")</t>
  </si>
  <si>
    <t>Электроснабжение кабельное</t>
  </si>
  <si>
    <t>Внешние сети электроснабжения</t>
  </si>
  <si>
    <t>Кабельный канал электроснабжения предприятия и внутризаводские кабельные сети 10кВ от ГПП 220/10/10 до подстанций предприятия</t>
  </si>
  <si>
    <t>Амортизация за январь 2019г.,         руб.</t>
  </si>
  <si>
    <t>Амортизация за 2018г.,         руб.</t>
  </si>
  <si>
    <t>Амортизация за 9 месяцев 2019г.,         руб.</t>
  </si>
  <si>
    <t>Остаточная стоимость         на 01.01.21г., руб.</t>
  </si>
  <si>
    <t>Устройство распределительное 10 ячеек К-12</t>
  </si>
  <si>
    <t>Устройство комплектное распределительное К-ХП</t>
  </si>
  <si>
    <t>Распределительное устройство корпус 3 территор.з-да</t>
  </si>
  <si>
    <t xml:space="preserve">Устройство распределительное </t>
  </si>
  <si>
    <t xml:space="preserve">Устройство  распределительное </t>
  </si>
  <si>
    <t>1984</t>
  </si>
  <si>
    <t>Год ввода в экспл.</t>
  </si>
  <si>
    <t>1966</t>
  </si>
  <si>
    <t>1967</t>
  </si>
  <si>
    <t>Дата последнего кап.ремонта, модерни- зации, реконст- рукции</t>
  </si>
  <si>
    <t>30.11.2018</t>
  </si>
  <si>
    <t>06.12.2017</t>
  </si>
  <si>
    <t>31.05.2016</t>
  </si>
  <si>
    <t>1979</t>
  </si>
  <si>
    <t>1977</t>
  </si>
  <si>
    <t>28.11.2014</t>
  </si>
  <si>
    <t>1978</t>
  </si>
  <si>
    <t>31.08.2018</t>
  </si>
  <si>
    <t>1974</t>
  </si>
  <si>
    <t>30.04.2017</t>
  </si>
  <si>
    <t>1985</t>
  </si>
  <si>
    <t>28.04.2018</t>
  </si>
  <si>
    <t>1982</t>
  </si>
  <si>
    <r>
      <t xml:space="preserve">Срок полезного использо- вания (макс.) по классификатору,                         </t>
    </r>
    <r>
      <rPr>
        <b/>
        <sz val="11"/>
        <rFont val="Times New Roman"/>
        <family val="1"/>
        <charset val="204"/>
      </rPr>
      <t>мес.</t>
    </r>
  </si>
  <si>
    <t>1964</t>
  </si>
  <si>
    <t>29.12.2012</t>
  </si>
  <si>
    <t>1990</t>
  </si>
  <si>
    <t>31.05.2018</t>
  </si>
  <si>
    <t>1973</t>
  </si>
  <si>
    <t>29.12.2018</t>
  </si>
  <si>
    <t>1987</t>
  </si>
  <si>
    <t>31.12.2015</t>
  </si>
  <si>
    <t>1991</t>
  </si>
  <si>
    <t>31.12.2014</t>
  </si>
  <si>
    <t>1941</t>
  </si>
  <si>
    <t>30.09.2016</t>
  </si>
  <si>
    <t>Остаточная стоимость         на 01.01.21г.</t>
  </si>
  <si>
    <r>
      <t xml:space="preserve">Собственное потребление </t>
    </r>
    <r>
      <rPr>
        <sz val="10"/>
        <rFont val="Times New Roman"/>
        <family val="1"/>
        <charset val="204"/>
      </rPr>
      <t>(за минусом потерь на передачу эл.эн.сторонним потребителям)</t>
    </r>
  </si>
  <si>
    <t>Расчет налога на имущество по линиям электропередач  и подстанциям, отнесенных на передачу эл.энергии субабонентам</t>
  </si>
  <si>
    <t xml:space="preserve">По данным формы 5 "Отчет о доходах и расходах ТСО… "за 20187 год затраты по статье "Работы и услуги производственного характера" отнесены на потребителя отнесены на передачу эл.энергии сторонним потребителям </t>
  </si>
  <si>
    <t>пропорционально объемам передачи в тыс.кВтч в 2018 г. и составили 5 021,99 тыс.руб.</t>
  </si>
  <si>
    <t xml:space="preserve">Доля затрат на потребителя за 2018 год составила </t>
  </si>
  <si>
    <t>Доля затрат на потребителя на 2020 год составила (22951,354тыс.кВтч / 1612237,117 тыс.кВтч%)=</t>
  </si>
  <si>
    <r>
      <rPr>
        <b/>
        <sz val="10"/>
        <rFont val="Arial"/>
        <family val="2"/>
        <charset val="204"/>
      </rPr>
      <t xml:space="preserve">На 2020 год </t>
    </r>
    <r>
      <rPr>
        <sz val="10"/>
        <rFont val="Arial"/>
        <family val="2"/>
        <charset val="204"/>
      </rPr>
      <t xml:space="preserve">затраты по статье "Работы и услуги производственного характера" по участку передачи эл.энергии потребителям запланированы с Кинд.к 2018 г. =1,0355 Ии Кинд.к 2020 г.=1,0237 и составят  = 916,843х1,0355х1,0237 = </t>
    </r>
    <r>
      <rPr>
        <b/>
        <sz val="10"/>
        <rFont val="Arial"/>
        <family val="2"/>
        <charset val="204"/>
      </rPr>
      <t>971,9 тыс.руб.</t>
    </r>
  </si>
  <si>
    <t xml:space="preserve"> АО "РКЦ "Прогресс" на 2020год</t>
  </si>
  <si>
    <t>2018 год факт</t>
  </si>
  <si>
    <t>2020 год план по факту 2018 г.с Кинд.=1,0355 и Кинд.=1,0237</t>
  </si>
  <si>
    <t xml:space="preserve"> Затраты на материалы на потребителя с Кинд.=1,0355 и Кинд.=1,0237, тыс.руб.</t>
  </si>
  <si>
    <t>другие расходы по содержанию и эксплуатации оборудования (в т.ч. матер., оплата услуг ПАО "ФСК ЕЭС")</t>
  </si>
  <si>
    <t>Услуги сторонних организаций по ремонту и техническому обслуживанию оборудования участка электроснабжения потребителей</t>
  </si>
  <si>
    <t>Услуги стоонних организаций факт на потребителя по реестру счетов-фактур (стр.____дела), тыс.руб.</t>
  </si>
  <si>
    <t xml:space="preserve">2019 год план </t>
  </si>
  <si>
    <t xml:space="preserve">2020 год план </t>
  </si>
  <si>
    <t xml:space="preserve"> Услуги сторонних организаций на потребителя с Кинд.=1,0355 к факту 2018 г., тыс.руб.</t>
  </si>
  <si>
    <t xml:space="preserve"> Услуги сторонних организаций на потребителя с Кинд.=1,0237 к плану 2019 г., тыс.руб.</t>
  </si>
  <si>
    <t xml:space="preserve">по данным документа "Выписка из штатного расписания электротехнического персонала цеха, участвующего в процессе передачи эл.энергии с 01.01.2019г. </t>
  </si>
  <si>
    <t>Вед.инж.</t>
  </si>
  <si>
    <t>Инж. по нормир.тр.1к</t>
  </si>
  <si>
    <t>Вед.инж. по нормир.тр.</t>
  </si>
  <si>
    <t>Инженер-техн.</t>
  </si>
  <si>
    <t>Заработная плата на 1-ого работника в месяц по штатному расписанию с 01.01.2019г., руб.</t>
  </si>
  <si>
    <t>ФОТ на 2019 год, тыс.руб.</t>
  </si>
  <si>
    <t>На передачу эл.энергии субабонентам  принимается численность: рабочих в количестве 14 чел.; РСС + вспомог.раб. -7 чел.</t>
  </si>
  <si>
    <t>На передачу эл.энергии субабонентам  принимается численность: рабочих в количестве 15 чел.; РСС + вспомог.раб. -7 чел.</t>
  </si>
  <si>
    <r>
      <t xml:space="preserve">доля, относящаяся на передачу электроэнергии на 2020 г.,                                </t>
    </r>
    <r>
      <rPr>
        <b/>
        <sz val="11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тыс. руб.</t>
    </r>
  </si>
  <si>
    <t>4.4.</t>
  </si>
  <si>
    <t>Пообъектный расчет расходов на оплату налога на имущество</t>
  </si>
  <si>
    <r>
      <t xml:space="preserve">Ставка налога на имущество,            </t>
    </r>
    <r>
      <rPr>
        <b/>
        <sz val="11"/>
        <rFont val="Times New Roman"/>
        <family val="1"/>
        <charset val="204"/>
      </rPr>
      <t>%</t>
    </r>
  </si>
  <si>
    <t>Ставка налога на имущество по объектам ОС, участвующих в процессе передачи эл.энергии по сетям АО "РКЦ "Прогресс" составляет 2,2 % (п.1 ст.380 глава 30 НК РФ).</t>
  </si>
  <si>
    <t>Ступень оплаты труда</t>
  </si>
  <si>
    <t>Тарифный коэффициент</t>
  </si>
  <si>
    <t>минимальная месячная тарифная ставка рабочих первого разряда (ММТС)  установлена в размере 8643,00 руб.</t>
  </si>
  <si>
    <t>Отраслевым тарифным соглашением в электроэнергетике РФ на 2019-2021 годы (п.3.3) с 01.07.2019 года</t>
  </si>
  <si>
    <t>в процентах к окладу</t>
  </si>
  <si>
    <t>Примечание: В таблице П1.16 взяты проценты доплат и премии работников участка электроснабжения с учетом ФОТ по участку подсобного сельского хозяйства и ЛОЦ "Космос".</t>
  </si>
  <si>
    <t xml:space="preserve">Расчет среднемесячной тарифной ставки, процентов выплат и премии,  </t>
  </si>
  <si>
    <t>средней ступени оплаты труда и среднего тарифного коэффициента, соответствующего ступени по оплате труда</t>
  </si>
  <si>
    <t>ООО "Сетевая компания"</t>
  </si>
  <si>
    <t xml:space="preserve">5.1.3. </t>
  </si>
  <si>
    <r>
      <t>Корректировка НВВ по доходам от осуществления рег.деятельности (ΔНВВ</t>
    </r>
    <r>
      <rPr>
        <vertAlign val="subscript"/>
        <sz val="13"/>
        <rFont val="Arial"/>
        <family val="2"/>
        <charset val="204"/>
      </rPr>
      <t xml:space="preserve">i </t>
    </r>
    <r>
      <rPr>
        <vertAlign val="superscript"/>
        <sz val="13"/>
        <rFont val="Arial"/>
        <family val="2"/>
        <charset val="204"/>
      </rPr>
      <t xml:space="preserve">сод. </t>
    </r>
    <r>
      <rPr>
        <sz val="11"/>
        <rFont val="Arial"/>
        <family val="2"/>
        <charset val="204"/>
      </rPr>
      <t>= НВВ</t>
    </r>
    <r>
      <rPr>
        <vertAlign val="subscript"/>
        <sz val="11"/>
        <rFont val="Arial"/>
        <family val="2"/>
        <charset val="204"/>
      </rPr>
      <t>i-2сод.</t>
    </r>
    <r>
      <rPr>
        <vertAlign val="superscript"/>
        <sz val="11"/>
        <rFont val="Arial"/>
        <family val="2"/>
        <charset val="204"/>
      </rPr>
      <t>утв.</t>
    </r>
    <r>
      <rPr>
        <sz val="11"/>
        <rFont val="Arial"/>
        <family val="2"/>
        <charset val="204"/>
      </rPr>
      <t xml:space="preserve"> - НВВ</t>
    </r>
    <r>
      <rPr>
        <vertAlign val="subscript"/>
        <sz val="13"/>
        <rFont val="Arial"/>
        <family val="2"/>
        <charset val="204"/>
      </rPr>
      <t>i-2 сод.</t>
    </r>
    <r>
      <rPr>
        <vertAlign val="superscript"/>
        <sz val="13"/>
        <rFont val="Arial"/>
        <family val="2"/>
        <charset val="204"/>
      </rPr>
      <t>факт</t>
    </r>
    <r>
      <rPr>
        <sz val="13"/>
        <rFont val="Arial"/>
        <family val="2"/>
        <charset val="204"/>
      </rPr>
      <t>)</t>
    </r>
  </si>
  <si>
    <t>2020 г. утверждено</t>
  </si>
  <si>
    <t>5.1.2.</t>
  </si>
  <si>
    <t>Корректировка по ФСК</t>
  </si>
  <si>
    <t>Корректировка (МУ 98-э)</t>
  </si>
  <si>
    <r>
      <t>Корректировка подконтрольных расходов в связи с изменением фактических значений параметров расчета тарифов от планировавших значений (ΔПР</t>
    </r>
    <r>
      <rPr>
        <vertAlign val="subscript"/>
        <sz val="13"/>
        <rFont val="Arial"/>
        <family val="2"/>
        <charset val="204"/>
      </rPr>
      <t>i</t>
    </r>
    <r>
      <rPr>
        <sz val="11"/>
        <rFont val="Arial"/>
        <family val="2"/>
        <charset val="204"/>
      </rPr>
      <t xml:space="preserve"> =Пр</t>
    </r>
    <r>
      <rPr>
        <vertAlign val="subscript"/>
        <sz val="13"/>
        <rFont val="Arial"/>
        <family val="2"/>
        <charset val="204"/>
      </rPr>
      <t>i-3</t>
    </r>
    <r>
      <rPr>
        <vertAlign val="superscript"/>
        <sz val="13"/>
        <rFont val="Arial"/>
        <family val="2"/>
        <charset val="204"/>
      </rPr>
      <t>уст.</t>
    </r>
    <r>
      <rPr>
        <sz val="11"/>
        <rFont val="Arial"/>
        <family val="2"/>
        <charset val="204"/>
      </rPr>
      <t>х (1-Х</t>
    </r>
    <r>
      <rPr>
        <vertAlign val="subscript"/>
        <sz val="13"/>
        <rFont val="Arial"/>
        <family val="2"/>
        <charset val="204"/>
      </rPr>
      <t>i</t>
    </r>
    <r>
      <rPr>
        <sz val="11"/>
        <rFont val="Arial"/>
        <family val="2"/>
        <charset val="204"/>
      </rPr>
      <t>) х (1+ИПЦ</t>
    </r>
    <r>
      <rPr>
        <vertAlign val="subscript"/>
        <sz val="13"/>
        <rFont val="Arial"/>
        <family val="2"/>
        <charset val="204"/>
      </rPr>
      <t>i-2</t>
    </r>
    <r>
      <rPr>
        <vertAlign val="superscript"/>
        <sz val="13"/>
        <rFont val="Arial"/>
        <family val="2"/>
        <charset val="204"/>
      </rPr>
      <t>ф</t>
    </r>
    <r>
      <rPr>
        <sz val="11"/>
        <rFont val="Arial"/>
        <family val="2"/>
        <charset val="204"/>
      </rPr>
      <t>) х (1 + К</t>
    </r>
    <r>
      <rPr>
        <vertAlign val="subscript"/>
        <sz val="13"/>
        <rFont val="Arial"/>
        <family val="2"/>
        <charset val="204"/>
      </rPr>
      <t>эл</t>
    </r>
    <r>
      <rPr>
        <sz val="11"/>
        <rFont val="Arial"/>
        <family val="2"/>
        <charset val="204"/>
      </rPr>
      <t xml:space="preserve"> х ИКА</t>
    </r>
    <r>
      <rPr>
        <vertAlign val="subscript"/>
        <sz val="13"/>
        <rFont val="Arial"/>
        <family val="2"/>
        <charset val="204"/>
      </rPr>
      <t>i-2</t>
    </r>
    <r>
      <rPr>
        <vertAlign val="superscript"/>
        <sz val="13"/>
        <rFont val="Arial"/>
        <family val="2"/>
        <charset val="204"/>
      </rPr>
      <t>ф</t>
    </r>
    <r>
      <rPr>
        <sz val="11"/>
        <rFont val="Arial"/>
        <family val="2"/>
        <charset val="204"/>
      </rPr>
      <t>) - ПР</t>
    </r>
    <r>
      <rPr>
        <vertAlign val="subscript"/>
        <sz val="13"/>
        <rFont val="Arial"/>
        <family val="2"/>
        <charset val="204"/>
      </rPr>
      <t>i-2</t>
    </r>
    <r>
      <rPr>
        <vertAlign val="superscript"/>
        <sz val="13"/>
        <rFont val="Arial"/>
        <family val="2"/>
        <charset val="204"/>
      </rPr>
      <t xml:space="preserve">уст </t>
    </r>
    <r>
      <rPr>
        <sz val="11"/>
        <rFont val="Arial"/>
        <family val="2"/>
        <charset val="204"/>
      </rPr>
      <t>= 2360,33тыс.руб. х (1-1%)х(1+4,6%)х(1+0,75х0) - 2444,22 тыс.руб. =83,89тыс.руб.</t>
    </r>
  </si>
  <si>
    <t>1 полугодие 2021 г.</t>
  </si>
  <si>
    <t>2 полугодие 2021 г.</t>
  </si>
  <si>
    <t>Итого 2021 г.</t>
  </si>
  <si>
    <t>ПСХ продана ССК</t>
  </si>
  <si>
    <t>2020 год утв.</t>
  </si>
  <si>
    <t>2019 год факт.</t>
  </si>
  <si>
    <t>2022 год план</t>
  </si>
  <si>
    <t>2023 год план</t>
  </si>
  <si>
    <t>2024 год план</t>
  </si>
  <si>
    <t>х</t>
  </si>
  <si>
    <t>х*1,03</t>
  </si>
  <si>
    <t>Цех 2326 (пром.площадка)</t>
  </si>
  <si>
    <t>в процессе передачи эл.энергии для субабонентов (цех 2326 пром.площадка)</t>
  </si>
  <si>
    <t>процентов выплат и премии электротехничекого персонала цеха 2326 (пром.площадка), связанного с передачей эл.энергии.</t>
  </si>
  <si>
    <t>По цеху 2326</t>
  </si>
  <si>
    <t>электротехнического персонала цеха (2326), участвующего в передаче эл.энергии ОАО "РКЦ "Прогресс"</t>
  </si>
  <si>
    <r>
      <t xml:space="preserve">Итого по цеху </t>
    </r>
    <r>
      <rPr>
        <sz val="11"/>
        <color rgb="FFFF0000"/>
        <rFont val="Times New Roman"/>
        <family val="1"/>
        <charset val="204"/>
      </rPr>
      <t>2326(пром.площадка)+ по цеху 2496(ПСХ) + цех 2452 (ДОЛ "Космос")</t>
    </r>
  </si>
  <si>
    <r>
      <t xml:space="preserve">в процессе передачи эл.энергии для субабонентов </t>
    </r>
    <r>
      <rPr>
        <b/>
        <sz val="12"/>
        <color rgb="FFFF0000"/>
        <rFont val="Garamond"/>
        <family val="1"/>
        <charset val="204"/>
      </rPr>
      <t>(пром.площадка цех 2326+ ПСХ цех 2496+ ЛОЦ "Космос" цех 2452)</t>
    </r>
  </si>
  <si>
    <r>
      <t xml:space="preserve">в т.ч. на передачу электроэнергии субабонентам  </t>
    </r>
    <r>
      <rPr>
        <sz val="11"/>
        <color rgb="FFFF0000"/>
        <rFont val="Times New Roman"/>
        <family val="1"/>
        <charset val="204"/>
      </rPr>
      <t>(цех 2326 + цех 2496 + цех 2452)</t>
    </r>
  </si>
  <si>
    <t>crhsnm</t>
  </si>
  <si>
    <t>Е.Б. Лукин</t>
  </si>
  <si>
    <t>РЖД ВН собств.</t>
  </si>
  <si>
    <t>Метро ВН собств.</t>
  </si>
  <si>
    <t>вн</t>
  </si>
  <si>
    <t>нн</t>
  </si>
  <si>
    <t>РКЦ собств.потреб.СН2</t>
  </si>
  <si>
    <t>РКЦ собств.потреб.НН</t>
  </si>
  <si>
    <t>РКЦ опоср.СН2</t>
  </si>
  <si>
    <t>РКЦ опоср.НН</t>
  </si>
  <si>
    <t>расходы, подлежащие компенсации собственникам или иным законным владельцам объектов электросетевого хозяйства, на приобретение электрической энергии (мощности) в целях компенсации потерь электрической энергии в объеме технологических потерь электрической энергии, возникших в объектах электросетевого хозяйства, с использованием которых осуществляется переток электрической энергии</t>
  </si>
  <si>
    <r>
      <t xml:space="preserve">в процессе передачи эл.энергии для субабонентов </t>
    </r>
    <r>
      <rPr>
        <b/>
        <sz val="13.7"/>
        <color rgb="FFFF0000"/>
        <rFont val="Garamond"/>
        <family val="1"/>
        <charset val="204"/>
      </rPr>
      <t>(цех 2496 участок подсобного сельского хозяйства)</t>
    </r>
  </si>
  <si>
    <r>
      <t xml:space="preserve"> </t>
    </r>
    <r>
      <rPr>
        <b/>
        <sz val="12"/>
        <color rgb="FFFF0000"/>
        <rFont val="Garamond"/>
        <family val="1"/>
        <charset val="204"/>
      </rPr>
      <t xml:space="preserve">цеха 2452 ЛОЦ </t>
    </r>
    <r>
      <rPr>
        <b/>
        <sz val="12"/>
        <rFont val="Garamond"/>
        <family val="1"/>
        <charset val="204"/>
      </rPr>
      <t>"Космос", участвующего в процессе передачи эл.энергии потребителям</t>
    </r>
  </si>
  <si>
    <t>факт 2019</t>
  </si>
  <si>
    <t>работников электротехнического персонала цеха (2326), участвующего в передаче эл.энергии ОАО "РКЦ "Прогресс"</t>
  </si>
  <si>
    <t>2020г.</t>
  </si>
  <si>
    <t>Амортизация на 2021 год,              руб.</t>
  </si>
  <si>
    <t>Остаточная стоимость         на 01.01.22г., руб.</t>
  </si>
  <si>
    <t>Амортиза ция на 2021год, руб.</t>
  </si>
  <si>
    <t>Остаточная стоимость         на 01.01.22г.</t>
  </si>
  <si>
    <r>
      <t xml:space="preserve">Норма аморти- зации 2021г.,               </t>
    </r>
    <r>
      <rPr>
        <b/>
        <sz val="11"/>
        <rFont val="Times New Roman"/>
        <family val="1"/>
        <charset val="204"/>
      </rPr>
      <t>%</t>
    </r>
  </si>
  <si>
    <t>на 2021 год</t>
  </si>
  <si>
    <r>
      <t>Налог на имущество на 2021 год</t>
    </r>
    <r>
      <rPr>
        <sz val="10"/>
        <rFont val="Times New Roman"/>
        <family val="1"/>
        <charset val="204"/>
      </rPr>
      <t xml:space="preserve"> (2,2% от среднегодовой остаточной стоимости)</t>
    </r>
  </si>
  <si>
    <t>Налог на имущество на 2021 год, тыс.руб.</t>
  </si>
  <si>
    <t>Налог на имущество на 2021 год,             руб.</t>
  </si>
  <si>
    <t>2020 год</t>
  </si>
  <si>
    <t>Руководитель ООО "Сетевая компания"_____________________________</t>
  </si>
  <si>
    <t>Энергетик</t>
  </si>
  <si>
    <t>Ст.мастер уч.2 гр.</t>
  </si>
  <si>
    <t xml:space="preserve">Мастер уч.1 гр. </t>
  </si>
  <si>
    <t>см в/в</t>
  </si>
  <si>
    <t>Инженер-энерг.</t>
  </si>
  <si>
    <t>см н/в</t>
  </si>
  <si>
    <t>Инженер по подг.произ.2к.</t>
  </si>
  <si>
    <t>Начальник БТЗ</t>
  </si>
  <si>
    <t>Статистик</t>
  </si>
  <si>
    <t>Вед.инж.-технол.</t>
  </si>
  <si>
    <t>Инженер-техн.2к.</t>
  </si>
  <si>
    <t>ппр в/в</t>
  </si>
  <si>
    <t>эл.лаб.</t>
  </si>
  <si>
    <t>ппр н/в</t>
  </si>
  <si>
    <t>Эл.мех.по лифт.</t>
  </si>
  <si>
    <t>об.лиф</t>
  </si>
  <si>
    <t>Лифтер</t>
  </si>
  <si>
    <t>об.ПС</t>
  </si>
  <si>
    <t>обс.н/в об</t>
  </si>
  <si>
    <t>гр.эн.</t>
  </si>
  <si>
    <t xml:space="preserve">В дальнейшем размер ММТС индексируется с периодичностью один раз в год, начиная с 1 июля 2020 года, </t>
  </si>
  <si>
    <t>в соответствии с ИПЦ в РФ за соответствующий годичный период, прошедший с момента предыдущей индексации.</t>
  </si>
  <si>
    <t>Прочие расходы (связь, расходы на подготовку и переподготовку кадров, охрана труда и ТБ, аттестация раб.мест, содержание лабораторий, канцтовары, служ.поездки, испытания, прочие общехоз.расх.)</t>
  </si>
  <si>
    <t>Услуги по стандартизации и метрологии (периодическая поверка приборов (осциллографы; измерители напряжения прикосновения и параметров устройств защитного отключения, измерители параметров заземляющих устройств, цепей электропитания здания, электрического сопротивления; омметры)</t>
  </si>
  <si>
    <t>ФБУ "Государственный региональный центр стандартизации, метрологии и испытаний в Самарской области"</t>
  </si>
  <si>
    <t xml:space="preserve">План затрат по статье "Работы и услуги производственного характера"  </t>
  </si>
  <si>
    <t xml:space="preserve"> участка электроснабжения потребителей АО "РКЦ "Прогресс" на 2021год</t>
  </si>
  <si>
    <t>План на 2021 г.,     без НДС</t>
  </si>
  <si>
    <t>изл.получ.</t>
  </si>
  <si>
    <t>эк. По фск</t>
  </si>
  <si>
    <t>2022 год</t>
  </si>
  <si>
    <t>2021 год утв.</t>
  </si>
  <si>
    <t>2021 г. утверждено</t>
  </si>
  <si>
    <t>Структура полезного отпуска электрической энергии (мощности) на 2022 год</t>
  </si>
  <si>
    <t>АО "РКЦ "Прогресс" на 2022 год</t>
  </si>
  <si>
    <t>2022 ГОД</t>
  </si>
  <si>
    <t>3.2.8</t>
  </si>
  <si>
    <t>3.2.8.1</t>
  </si>
  <si>
    <t xml:space="preserve"> ООО "Региональная сетевая компания"</t>
  </si>
  <si>
    <t>Руководитель  ОАО "РЖД"   ________________________________________</t>
  </si>
  <si>
    <t>Руководитель  ПАО "МРСК Волги"   _________________________________</t>
  </si>
  <si>
    <t>Руководитель АО "ССК"   ___________________________________________</t>
  </si>
  <si>
    <t>Руководитель ООО "Энергобытобслуживание" _________________________</t>
  </si>
  <si>
    <t>Руководитель  ООО "Региональная сетевая компания"_____________________________</t>
  </si>
  <si>
    <t>Корректировка НВВ (МУ 98-э)</t>
  </si>
  <si>
    <t>1 полугодие 2022 г.</t>
  </si>
  <si>
    <t>2 полугодие 2022 г.</t>
  </si>
  <si>
    <t>Итого 2022 г.</t>
  </si>
  <si>
    <t>ПАО "Россети Волга"</t>
  </si>
  <si>
    <r>
      <rPr>
        <b/>
        <sz val="11"/>
        <rFont val="Arial Cyr"/>
        <charset val="204"/>
      </rPr>
      <t>Корректировка НВВ</t>
    </r>
    <r>
      <rPr>
        <sz val="11"/>
        <rFont val="Arial Cyr"/>
        <charset val="204"/>
      </rPr>
      <t xml:space="preserve"> на 2022 г.на содержание с учетом достижения плановых показателей уровня надежности и качества оказываемых услуг (НВВ </t>
    </r>
    <r>
      <rPr>
        <vertAlign val="superscript"/>
        <sz val="14"/>
        <rFont val="Arial Cyr"/>
        <charset val="204"/>
      </rPr>
      <t>сод.</t>
    </r>
    <r>
      <rPr>
        <vertAlign val="subscript"/>
        <sz val="14"/>
        <rFont val="Arial Cyr"/>
        <charset val="204"/>
      </rPr>
      <t xml:space="preserve">i-2 </t>
    </r>
    <r>
      <rPr>
        <sz val="11"/>
        <rFont val="Arial Cyr"/>
        <charset val="204"/>
      </rPr>
      <t>х К</t>
    </r>
    <r>
      <rPr>
        <vertAlign val="subscript"/>
        <sz val="14"/>
        <rFont val="Arial Cyr"/>
        <charset val="204"/>
      </rPr>
      <t xml:space="preserve">об </t>
    </r>
    <r>
      <rPr>
        <sz val="11"/>
        <rFont val="Arial Cyr"/>
        <charset val="204"/>
      </rPr>
      <t>х П</t>
    </r>
    <r>
      <rPr>
        <vertAlign val="subscript"/>
        <sz val="11"/>
        <rFont val="Arial Cyr"/>
        <charset val="204"/>
      </rPr>
      <t>кор</t>
    </r>
    <r>
      <rPr>
        <sz val="11"/>
        <rFont val="Arial Cyr"/>
        <charset val="204"/>
      </rPr>
      <t>)= 8381,69 тыс.руб.х 0,65 х 2 % = 109,0 тыс.руб.</t>
    </r>
  </si>
  <si>
    <r>
      <t xml:space="preserve">Корректировка НВВ, в связи с изменением фактических значений параметров расчета тарифов от планировавших значений </t>
    </r>
    <r>
      <rPr>
        <sz val="12"/>
        <rFont val="Arial"/>
        <family val="2"/>
        <charset val="204"/>
      </rPr>
      <t>(B</t>
    </r>
    <r>
      <rPr>
        <vertAlign val="subscript"/>
        <sz val="13"/>
        <rFont val="Arial"/>
        <family val="2"/>
        <charset val="204"/>
      </rPr>
      <t xml:space="preserve">i </t>
    </r>
    <r>
      <rPr>
        <sz val="12"/>
        <rFont val="Arial"/>
        <family val="2"/>
        <charset val="204"/>
      </rPr>
      <t xml:space="preserve">= </t>
    </r>
    <r>
      <rPr>
        <sz val="12"/>
        <rFont val="Calibri"/>
        <family val="2"/>
        <charset val="204"/>
      </rPr>
      <t>ΔПР</t>
    </r>
    <r>
      <rPr>
        <vertAlign val="subscript"/>
        <sz val="13"/>
        <rFont val="Calibri"/>
        <family val="2"/>
        <charset val="204"/>
      </rPr>
      <t xml:space="preserve">i </t>
    </r>
    <r>
      <rPr>
        <sz val="12"/>
        <rFont val="Calibri"/>
        <family val="2"/>
        <charset val="204"/>
      </rPr>
      <t>+ ΔНР</t>
    </r>
    <r>
      <rPr>
        <vertAlign val="subscript"/>
        <sz val="13"/>
        <rFont val="Calibri"/>
        <family val="2"/>
        <charset val="204"/>
      </rPr>
      <t xml:space="preserve">i </t>
    </r>
    <r>
      <rPr>
        <sz val="12"/>
        <rFont val="Calibri"/>
        <family val="2"/>
        <charset val="204"/>
      </rPr>
      <t>+ΔУi +ΔНВВ</t>
    </r>
    <r>
      <rPr>
        <vertAlign val="subscript"/>
        <sz val="12"/>
        <rFont val="Calibri"/>
        <family val="2"/>
        <charset val="204"/>
      </rPr>
      <t>i</t>
    </r>
    <r>
      <rPr>
        <vertAlign val="superscript"/>
        <sz val="12"/>
        <rFont val="Calibri"/>
        <family val="2"/>
        <charset val="204"/>
      </rPr>
      <t xml:space="preserve"> сод.</t>
    </r>
    <r>
      <rPr>
        <sz val="12"/>
        <rFont val="Calibri"/>
        <family val="2"/>
        <charset val="204"/>
      </rPr>
      <t>+ ПО</t>
    </r>
    <r>
      <rPr>
        <vertAlign val="subscript"/>
        <sz val="13"/>
        <rFont val="Calibri"/>
        <family val="2"/>
        <charset val="204"/>
      </rPr>
      <t>i</t>
    </r>
    <r>
      <rPr>
        <sz val="12"/>
        <rFont val="Calibri"/>
        <family val="2"/>
        <charset val="204"/>
      </rPr>
      <t xml:space="preserve"> </t>
    </r>
    <r>
      <rPr>
        <sz val="12"/>
        <rFont val="Arial"/>
        <family val="2"/>
        <charset val="204"/>
      </rPr>
      <t>)</t>
    </r>
  </si>
  <si>
    <t>Примечание: * -  действующий договор оказания услуг по передаче электрической энергии № 3 от 31.12.2014г.;</t>
  </si>
  <si>
    <t xml:space="preserve">                        ***-  действующие договора энергоснабжения № 20-1001э от 22.10.2018г. , № 20-1001к от 25.01.2017г..</t>
  </si>
  <si>
    <t>___________________________Е.Б. Лукин</t>
  </si>
  <si>
    <t>на 2021 -2022гг.</t>
  </si>
  <si>
    <t>план на 2021 -2022гг.</t>
  </si>
  <si>
    <t>Первоначаль- ная стоимость на 01.01.2021г.,              руб.</t>
  </si>
  <si>
    <t>Балансовая стоимость                на 01.01.2021г., руб.</t>
  </si>
  <si>
    <t>Амортизация за январь 2021г.,         руб.</t>
  </si>
  <si>
    <t>Амортизация на 2022 год,              руб.</t>
  </si>
  <si>
    <t>Остаточная стоимость         на 01.01.23г., руб.</t>
  </si>
  <si>
    <t>Амортизация на 2022 год по макс.сроку использ.,             руб.</t>
  </si>
  <si>
    <t>Расчет амортизационных отчислений по линиям электропередач  и подстанциям на 2022 г., отнесенных на передачу эл.энергии субабонентам</t>
  </si>
  <si>
    <t>на 2022 год</t>
  </si>
  <si>
    <t>на 2021-2022гг..</t>
  </si>
  <si>
    <t>Балансовая стоимость                на 01.01.2021г.</t>
  </si>
  <si>
    <t>Амортизация за январь 2021г.</t>
  </si>
  <si>
    <t>Амортиза ция на 2022год, руб.</t>
  </si>
  <si>
    <t>Остаточная стоимость         на 01.01.23г.</t>
  </si>
  <si>
    <r>
      <t>Налог на имущество на 2022 год</t>
    </r>
    <r>
      <rPr>
        <sz val="10"/>
        <rFont val="Times New Roman"/>
        <family val="1"/>
        <charset val="204"/>
      </rPr>
      <t xml:space="preserve"> (2,2% от среднегодовой остаточной стоимости)</t>
    </r>
  </si>
  <si>
    <t>Амортизация 2022г., тыс.руб.</t>
  </si>
  <si>
    <t>Налог на имущество на 2022 год, тыс.руб.</t>
  </si>
  <si>
    <t>Налог на имущество на 2022 год,             руб.</t>
  </si>
  <si>
    <t>План 2022 г.,                             тыс. руб</t>
  </si>
  <si>
    <t>факт.2020 ФСК</t>
  </si>
  <si>
    <r>
      <t xml:space="preserve">2020 г. факт                              </t>
    </r>
    <r>
      <rPr>
        <b/>
        <sz val="10"/>
        <rFont val="Times New Roman"/>
        <family val="1"/>
        <charset val="204"/>
      </rPr>
      <t>тыс. руб.</t>
    </r>
  </si>
  <si>
    <t>АО "РКЦ "Прогресс" на 2021-2022гг.</t>
  </si>
  <si>
    <r>
      <t xml:space="preserve">доля, относящаяся на передачу электроэнергии на 2021г.,                                </t>
    </r>
    <r>
      <rPr>
        <b/>
        <sz val="11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тыс. руб.</t>
    </r>
  </si>
  <si>
    <r>
      <t>2021 г. с К</t>
    </r>
    <r>
      <rPr>
        <vertAlign val="subscript"/>
        <sz val="12"/>
        <rFont val="Times New Roman"/>
        <family val="1"/>
        <charset val="204"/>
      </rPr>
      <t xml:space="preserve">инд к 2020г.=1,036,  </t>
    </r>
    <r>
      <rPr>
        <sz val="12"/>
        <rFont val="Times New Roman"/>
        <family val="1"/>
        <charset val="204"/>
      </rPr>
      <t xml:space="preserve">                     </t>
    </r>
    <r>
      <rPr>
        <b/>
        <sz val="10"/>
        <rFont val="Times New Roman"/>
        <family val="1"/>
        <charset val="204"/>
      </rPr>
      <t>тыс. руб.</t>
    </r>
  </si>
  <si>
    <r>
      <t>План на 2022г. с К</t>
    </r>
    <r>
      <rPr>
        <vertAlign val="subscript"/>
        <sz val="14"/>
        <rFont val="Times New Roman"/>
        <family val="1"/>
        <charset val="204"/>
      </rPr>
      <t>инд.к 2021г. =1,039</t>
    </r>
    <r>
      <rPr>
        <vertAlign val="subscript"/>
        <sz val="12"/>
        <rFont val="Times New Roman"/>
        <family val="1"/>
        <charset val="204"/>
      </rPr>
      <t xml:space="preserve">,    </t>
    </r>
    <r>
      <rPr>
        <i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 xml:space="preserve">                  </t>
    </r>
    <r>
      <rPr>
        <b/>
        <sz val="10"/>
        <rFont val="Times New Roman"/>
        <family val="1"/>
        <charset val="204"/>
      </rPr>
      <t>тыс. руб.</t>
    </r>
  </si>
  <si>
    <t xml:space="preserve">Доля ОХР, относящаяся на передачу эл.энергии в 2022 г. составит Д =51,7тыс. руб. /4270569,4тыс.руб.= </t>
  </si>
  <si>
    <t xml:space="preserve">Расчет доли накладных (общехозяйственных и управленческих) расходов, </t>
  </si>
  <si>
    <t>Корректировка НВВ с учетом полезного отпуска и цен на электроэнергию АО "РКЦ "Прогресс" за 2020 год</t>
  </si>
  <si>
    <t>Уровень потерь эл.эн., установленный на долгосрочный период регулирования, к которому относится год (i-2) (Ni-2) в %</t>
  </si>
  <si>
    <t>Утверждено 2020 г.</t>
  </si>
  <si>
    <t>Факт 2020 г.</t>
  </si>
  <si>
    <t>Перерасход (экономия "-") по потерям за сч.изменения уровня потерь, тыс.руб.</t>
  </si>
  <si>
    <t>7.2.</t>
  </si>
  <si>
    <t>Приказом ДЦТР СО от 28.12.2020г. № 885 в рамках долгосрочного периода (2020-2024гг.)</t>
  </si>
  <si>
    <t>электрической энергии в размере 6,17%.</t>
  </si>
  <si>
    <r>
      <t xml:space="preserve">Прошу при корректировке НВВ на передачу эл.энергии на 2022 г. </t>
    </r>
    <r>
      <rPr>
        <b/>
        <sz val="12"/>
        <rFont val="Arial Narrow"/>
        <family val="2"/>
        <charset val="204"/>
      </rPr>
      <t>учесть корректировку НВВ с учетом полезного отпуска</t>
    </r>
  </si>
  <si>
    <r>
      <t xml:space="preserve">  ПОi=min </t>
    </r>
    <r>
      <rPr>
        <sz val="12"/>
        <rFont val="Calibri"/>
        <family val="2"/>
        <charset val="204"/>
      </rPr>
      <t>{</t>
    </r>
    <r>
      <rPr>
        <sz val="12"/>
        <rFont val="Arial Narrow"/>
        <family val="2"/>
        <charset val="204"/>
      </rPr>
      <t>Пi-2 ф; Ni-2 x Эi-2отп.ф</t>
    </r>
    <r>
      <rPr>
        <sz val="12"/>
        <rFont val="Calibri"/>
        <family val="2"/>
        <charset val="204"/>
      </rPr>
      <t>}</t>
    </r>
    <r>
      <rPr>
        <sz val="12"/>
        <rFont val="Arial Narrow"/>
        <family val="2"/>
        <charset val="204"/>
      </rPr>
      <t xml:space="preserve">  х ЦПi-2ф - Эi-2отпр ф х ЦПi-2 х Ni-2</t>
    </r>
  </si>
  <si>
    <t>формула 8 Приказа ФСТ РФ №98-э от 17.02.2012г. в ред. Приказа ФАС России от 01.09.2020 N 804/20</t>
  </si>
  <si>
    <t>за сч.цены ээ</t>
  </si>
  <si>
    <t>за сч.ПО</t>
  </si>
  <si>
    <t>за сч.уровня потерь</t>
  </si>
  <si>
    <t>Корректировка НВВ с учетом изменения полезного отпуска и цен на электроэнергию (дефицит, экономия по потерям электроэнергии ), тыс.руб.</t>
  </si>
  <si>
    <t>Корректировка НВВ с учетом изменения полезного отпуска и цен на электроэнергию (дефицит, экономия по потерям электроэнергии ), тыс.руб.       ПОi=min {Пi-2 ф; Ni-2 x Эi-2отп.ф}  х ЦПi-2ф - Эi-2отпр ф х ЦПi-2 х Ni-2</t>
  </si>
  <si>
    <t>Уровень потерь эл.энергии по факту 2020 г. составил 6,17%.</t>
  </si>
  <si>
    <t xml:space="preserve">по данным документа "Выписка из штатного расписания электротехнического персонала цеха, участвующего в процессе передачи эл.энергии с 01.01.2021г. </t>
  </si>
  <si>
    <t>Заработная плата на 1-ого работника в месяц по штатному расписанию с 01.01.2021г., руб.</t>
  </si>
  <si>
    <t>ФОТ на 2021 год, тыс.руб.</t>
  </si>
  <si>
    <t>ИПЦ на 2021 г. = 3,6</t>
  </si>
  <si>
    <t>ИПЦ на 2022 г. = 3,9</t>
  </si>
  <si>
    <t>Ф.П-4 дек.2020г.</t>
  </si>
  <si>
    <t>План 2022г.                          отпуск ээ,</t>
  </si>
  <si>
    <t>По цеху 2326 на передачу эл.энергии субабонентам  принята численность: рабочих в количестве 16 чел.; РСС + вспомог.раб. - 9 чел.</t>
  </si>
  <si>
    <t>Примечание: * -  указать дату и № действующего договора оказания услуг по передаче электрической энергии</t>
  </si>
  <si>
    <t xml:space="preserve">                        ***-  действующие договора энергоснабжения № 58 от 19.07.2018г. </t>
  </si>
  <si>
    <t>Руководитель энергосбытовой организации ООО "НК-Энергосбыт"</t>
  </si>
  <si>
    <t>___________________________</t>
  </si>
  <si>
    <t>и цен на электроэнергию в размере 579,2 тыс.руб.</t>
  </si>
  <si>
    <t xml:space="preserve">Корректировка необходимой валовой выручки при применении метода долгосрочной индексации  АО "РКЦ "Прогресс" на 2022 г. </t>
  </si>
  <si>
    <t>Индекс эффективности подконтрольных расходов</t>
  </si>
  <si>
    <r>
      <t>Максимальный процент корректировки НВВ с учетом достижения установленного уровня надежности и качества услуг (П</t>
    </r>
    <r>
      <rPr>
        <vertAlign val="subscript"/>
        <sz val="14"/>
        <rFont val="Arial"/>
        <family val="2"/>
        <charset val="204"/>
      </rPr>
      <t>кор</t>
    </r>
    <r>
      <rPr>
        <sz val="11"/>
        <rFont val="Arial"/>
        <family val="2"/>
        <charset val="204"/>
      </rPr>
      <t>)</t>
    </r>
  </si>
  <si>
    <r>
      <t>Плановый показатель средней продолжительности прекращений передачи электрической энергии (П</t>
    </r>
    <r>
      <rPr>
        <vertAlign val="subscript"/>
        <sz val="14"/>
        <rFont val="Arial"/>
        <family val="2"/>
        <charset val="204"/>
      </rPr>
      <t>п</t>
    </r>
    <r>
      <rPr>
        <sz val="11"/>
        <rFont val="Arial"/>
        <family val="2"/>
        <charset val="204"/>
      </rPr>
      <t>)</t>
    </r>
  </si>
  <si>
    <t>Плановый показатель уровня качества осуществляемого технологического присоединения (Птпр)</t>
  </si>
  <si>
    <r>
      <t>Обобщенный показатель надежности и качества оказываемых услуг (К</t>
    </r>
    <r>
      <rPr>
        <vertAlign val="subscript"/>
        <sz val="14"/>
        <rFont val="Arial"/>
        <family val="2"/>
        <charset val="204"/>
      </rPr>
      <t>об</t>
    </r>
    <r>
      <rPr>
        <sz val="11"/>
        <rFont val="Arial"/>
        <family val="2"/>
        <charset val="204"/>
      </rPr>
      <t>)</t>
    </r>
  </si>
  <si>
    <r>
      <t>1) Пр</t>
    </r>
    <r>
      <rPr>
        <i/>
        <vertAlign val="subscript"/>
        <sz val="11"/>
        <rFont val="Arial"/>
        <family val="2"/>
        <charset val="204"/>
      </rPr>
      <t>i-3</t>
    </r>
    <r>
      <rPr>
        <i/>
        <vertAlign val="superscript"/>
        <sz val="11"/>
        <rFont val="Arial"/>
        <family val="2"/>
        <charset val="204"/>
      </rPr>
      <t>уст.</t>
    </r>
    <r>
      <rPr>
        <i/>
        <sz val="11"/>
        <rFont val="Arial"/>
        <family val="2"/>
        <charset val="204"/>
      </rPr>
      <t xml:space="preserve">  - Подконтрольные расходы, утвержденные в составе НВВ на 2019 год (на потребителя) = 2444,22 тыс.руб.</t>
    </r>
  </si>
  <si>
    <r>
      <t>2) ПР</t>
    </r>
    <r>
      <rPr>
        <i/>
        <vertAlign val="subscript"/>
        <sz val="11"/>
        <rFont val="Arial"/>
        <family val="2"/>
        <charset val="204"/>
      </rPr>
      <t>i-2</t>
    </r>
    <r>
      <rPr>
        <i/>
        <vertAlign val="superscript"/>
        <sz val="11"/>
        <rFont val="Arial"/>
        <family val="2"/>
        <charset val="204"/>
      </rPr>
      <t>уст</t>
    </r>
    <r>
      <rPr>
        <i/>
        <sz val="11"/>
        <rFont val="Arial"/>
        <family val="2"/>
        <charset val="204"/>
      </rPr>
      <t xml:space="preserve"> - Подконтрольные расходы, утвержденные в составе НВВ на 2020 год (на потребителя) = 6881,43 тыс.руб.</t>
    </r>
  </si>
  <si>
    <r>
      <t>3) ИПЦ</t>
    </r>
    <r>
      <rPr>
        <i/>
        <vertAlign val="subscript"/>
        <sz val="11"/>
        <rFont val="Arial"/>
        <family val="2"/>
        <charset val="204"/>
      </rPr>
      <t>i-2</t>
    </r>
    <r>
      <rPr>
        <i/>
        <vertAlign val="superscript"/>
        <sz val="11"/>
        <rFont val="Arial"/>
        <family val="2"/>
        <charset val="204"/>
      </rPr>
      <t xml:space="preserve">ф </t>
    </r>
    <r>
      <rPr>
        <i/>
        <sz val="11"/>
        <rFont val="Arial"/>
        <family val="2"/>
        <charset val="204"/>
      </rPr>
      <t>- Фактические значения индекса потребительских цен за 2020 г. = 4,9%</t>
    </r>
  </si>
  <si>
    <r>
      <t>4) ИКА</t>
    </r>
    <r>
      <rPr>
        <i/>
        <vertAlign val="subscript"/>
        <sz val="11"/>
        <rFont val="Arial"/>
        <family val="2"/>
        <charset val="204"/>
      </rPr>
      <t>i-2</t>
    </r>
    <r>
      <rPr>
        <i/>
        <vertAlign val="superscript"/>
        <sz val="11"/>
        <rFont val="Arial"/>
        <family val="2"/>
        <charset val="204"/>
      </rPr>
      <t xml:space="preserve">ф </t>
    </r>
    <r>
      <rPr>
        <i/>
        <sz val="11"/>
        <rFont val="Arial"/>
        <family val="2"/>
        <charset val="204"/>
      </rPr>
      <t>- Индекс изменения кколичества активов (%) за 2020 г. = 0%</t>
    </r>
  </si>
  <si>
    <r>
      <t xml:space="preserve">в т.ч. на передачу электроэнергии субабонентам </t>
    </r>
    <r>
      <rPr>
        <sz val="11"/>
        <rFont val="Times New Roman"/>
        <family val="1"/>
        <charset val="204"/>
      </rPr>
      <t xml:space="preserve"> в доле 16,77</t>
    </r>
    <r>
      <rPr>
        <b/>
        <sz val="11"/>
        <rFont val="Times New Roman"/>
        <family val="1"/>
        <charset val="204"/>
      </rPr>
      <t xml:space="preserve"> %</t>
    </r>
  </si>
  <si>
    <r>
      <t xml:space="preserve">Фактический срок использования                   (по дате ввода в экспл.),            </t>
    </r>
    <r>
      <rPr>
        <b/>
        <sz val="11"/>
        <rFont val="Times New Roman"/>
        <family val="1"/>
        <charset val="204"/>
      </rPr>
      <t xml:space="preserve">    мес.     </t>
    </r>
    <r>
      <rPr>
        <sz val="11"/>
        <rFont val="Times New Roman"/>
        <family val="1"/>
        <charset val="204"/>
      </rPr>
      <t xml:space="preserve">           </t>
    </r>
  </si>
  <si>
    <r>
      <t xml:space="preserve">2019г. Фактический срок использования                   (по дате ввода в экспл.),            </t>
    </r>
    <r>
      <rPr>
        <b/>
        <sz val="11"/>
        <rFont val="Times New Roman"/>
        <family val="1"/>
        <charset val="204"/>
      </rPr>
      <t xml:space="preserve">    мес.     </t>
    </r>
    <r>
      <rPr>
        <sz val="11"/>
        <rFont val="Times New Roman"/>
        <family val="1"/>
        <charset val="204"/>
      </rPr>
      <t xml:space="preserve">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</si>
</sst>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2"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0.0"/>
    <numFmt numFmtId="165" formatCode="0.000000"/>
    <numFmt numFmtId="166" formatCode="0.00000"/>
    <numFmt numFmtId="167" formatCode="0.0000"/>
    <numFmt numFmtId="168" formatCode="0.000"/>
    <numFmt numFmtId="169" formatCode="#,##0.000"/>
    <numFmt numFmtId="170" formatCode="#,##0.0"/>
    <numFmt numFmtId="171" formatCode="#,##0.0000"/>
    <numFmt numFmtId="172" formatCode="0.0%"/>
    <numFmt numFmtId="173" formatCode="[=0]&quot; --&quot;;#,##0.0"/>
    <numFmt numFmtId="174" formatCode="0.000%"/>
    <numFmt numFmtId="175" formatCode="#,##0.000000"/>
    <numFmt numFmtId="176" formatCode="_-* #,##0.00\ _?_._-;\-* #,##0.00\ _?_._-;_-* &quot;-&quot;??\ _?_._-;_-@_-"/>
    <numFmt numFmtId="177" formatCode="_-* #,##0\ &quot;руб&quot;_-;\-* #,##0\ &quot;руб&quot;_-;_-* &quot;-&quot;\ &quot;руб&quot;_-;_-@_-"/>
    <numFmt numFmtId="178" formatCode="000"/>
    <numFmt numFmtId="179" formatCode="_-* #,##0.0_р_._-;\-* #,##0.0_р_._-;_-* &quot;-&quot;?_р_._-;_-@_-"/>
    <numFmt numFmtId="180" formatCode="_-* #,##0.00[$€-1]_-;\-* #,##0.00[$€-1]_-;_-* &quot;-&quot;??[$€-1]_-"/>
    <numFmt numFmtId="181" formatCode="_-* #,##0.00_-;\-* #,##0.00_-;_-* &quot;-&quot;??_-;_-@_-"/>
    <numFmt numFmtId="182" formatCode="_-* #,##0\ _d_._-;\-* #,##0\ _d_._-;_-* &quot;-&quot;\ _d_._-;_-@_-"/>
    <numFmt numFmtId="183" formatCode="_-* #,##0.00\ _d_._-;\-* #,##0.00\ _d_._-;_-* &quot;-&quot;??\ _d_._-;_-@_-"/>
    <numFmt numFmtId="184" formatCode="_-* #,##0\ _đ_._-;\-* #,##0\ _đ_._-;_-* &quot;-&quot;\ _đ_._-;_-@_-"/>
    <numFmt numFmtId="185" formatCode="_-* #,##0.00\ _đ_._-;\-* #,##0.00\ _đ_._-;_-* &quot;-&quot;??\ _đ_._-;_-@_-"/>
    <numFmt numFmtId="186" formatCode="_-* #,##0_d_._-;\-* #,##0_d_._-;_-* &quot;-&quot;_d_._-;_-@_-"/>
    <numFmt numFmtId="187" formatCode="_-* #,##0.00_d_._-;\-* #,##0.00_d_._-;_-* &quot;-&quot;??_d_._-;_-@_-"/>
    <numFmt numFmtId="188" formatCode="_-* #,##0.0000\ &quot;р.&quot;_-;\-* #,##0.0000\ &quot;р.&quot;_-;_-* &quot;-&quot;??\ &quot;р.&quot;_-;_-@_-"/>
    <numFmt numFmtId="189" formatCode="_-* #,##0.00000\ &quot;р.&quot;_-;\-* #,##0.00000\ &quot;р.&quot;_-;_-* &quot;-&quot;??\ &quot;р.&quot;_-;_-@_-"/>
    <numFmt numFmtId="190" formatCode="_-* #,##0.00_р_._-;\-* #,##0.00_р_._-;_-* &quot;-&quot;?_р_._-;_-@_-"/>
    <numFmt numFmtId="191" formatCode="_-* #,##0.00_р_._-;\-* #,##0.00_р_._-;_-* &quot;-&quot;_р_._-;_-@_-"/>
    <numFmt numFmtId="192" formatCode="_-* #,##0\ _р_._-;\-* #,##0\ _р_._-;_-* &quot;-&quot;\ _р_._-;_-@_-"/>
    <numFmt numFmtId="193" formatCode="_-* #,##0.00\ _р_._-;\-* #,##0.00\ _р_._-;_-* &quot;-&quot;??\ _р_._-;_-@_-"/>
    <numFmt numFmtId="194" formatCode="[=0]&quot; --&quot;;#,##0.00"/>
    <numFmt numFmtId="195" formatCode="[=0]&quot; --&quot;;#,##0.000"/>
    <numFmt numFmtId="196" formatCode="[=0]&quot; --&quot;;#,##0.0000"/>
    <numFmt numFmtId="197" formatCode="[=0]&quot; --&quot;;#,##0.00000"/>
    <numFmt numFmtId="198" formatCode="[=0]&quot; --&quot;;#,##0.000000"/>
    <numFmt numFmtId="199" formatCode="[=0]&quot; --&quot;;#,##0"/>
    <numFmt numFmtId="200" formatCode="mm/yy"/>
    <numFmt numFmtId="201" formatCode="[$-419]d\ mmm\ yy;@"/>
    <numFmt numFmtId="202" formatCode="#,##0.00000"/>
    <numFmt numFmtId="203" formatCode="0.0%_);\(0.0%\)"/>
    <numFmt numFmtId="204" formatCode="#,##0_);[Red]\(#,##0\)"/>
    <numFmt numFmtId="205" formatCode="#.##0\.00"/>
    <numFmt numFmtId="206" formatCode="#\.00"/>
    <numFmt numFmtId="207" formatCode="#\."/>
    <numFmt numFmtId="208" formatCode="General_)"/>
    <numFmt numFmtId="209" formatCode="_-* #,##0&quot;đ.&quot;_-;\-* #,##0&quot;đ.&quot;_-;_-* &quot;-&quot;&quot;đ.&quot;_-;_-@_-"/>
    <numFmt numFmtId="210" formatCode="_-* #,##0.00&quot;đ.&quot;_-;\-* #,##0.00&quot;đ.&quot;_-;_-* &quot;-&quot;??&quot;đ.&quot;_-;_-@_-"/>
    <numFmt numFmtId="211" formatCode="&quot;$&quot;#,##0_);[Red]\(&quot;$&quot;#,##0\)"/>
    <numFmt numFmtId="212" formatCode="#,##0_);[Blue]\(#,##0\)"/>
    <numFmt numFmtId="213" formatCode="_-* #,##0_đ_._-;\-* #,##0_đ_._-;_-* &quot;-&quot;_đ_._-;_-@_-"/>
    <numFmt numFmtId="214" formatCode="_-* #,##0.00_đ_._-;\-* #,##0.00_đ_._-;_-* &quot;-&quot;??_đ_._-;_-@_-"/>
    <numFmt numFmtId="215" formatCode="_(* #,##0.00_);_(* \(#,##0.00\);_(* &quot;-&quot;??_);_(@_)"/>
    <numFmt numFmtId="216" formatCode="_-* #,##0.000_р_._-;\-* #,##0.000_р_._-;_-* &quot;-&quot;??_р_._-;_-@_-"/>
    <numFmt numFmtId="217" formatCode="_-* #,##0_р_._-;\-* #,##0_р_._-;_-* &quot;-&quot;??_р_._-;_-@_-"/>
    <numFmt numFmtId="218" formatCode="0.0000000"/>
    <numFmt numFmtId="219" formatCode="_-* #,##0\ &quot;р.&quot;_-;\-* #,##0\ &quot;р.&quot;_-;_-* &quot;-&quot;\ &quot;р.&quot;_-;_-@_-"/>
    <numFmt numFmtId="220" formatCode="0.0000%"/>
    <numFmt numFmtId="221" formatCode="_-* #,##0.00\ _₽_-;\-* #,##0.00\ _₽_-;_-* &quot;-&quot;??\ _₽_-;_-@_-"/>
  </numFmts>
  <fonts count="389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u/>
      <sz val="10"/>
      <color indexed="12"/>
      <name val="Arial Cyr"/>
      <charset val="204"/>
    </font>
    <font>
      <u/>
      <sz val="10"/>
      <color indexed="36"/>
      <name val="Arial Cyr"/>
      <charset val="204"/>
    </font>
    <font>
      <sz val="10"/>
      <color indexed="10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Arial Cyr"/>
      <charset val="204"/>
    </font>
    <font>
      <sz val="10"/>
      <name val="Times New Roman"/>
      <family val="1"/>
    </font>
    <font>
      <sz val="9"/>
      <name val="Times New Roman"/>
      <family val="1"/>
    </font>
    <font>
      <sz val="10"/>
      <name val="Arial Cyr"/>
      <family val="2"/>
      <charset val="204"/>
    </font>
    <font>
      <vertAlign val="subscript"/>
      <sz val="10"/>
      <name val="Arial Cyr"/>
      <family val="2"/>
      <charset val="204"/>
    </font>
    <font>
      <sz val="10"/>
      <color indexed="12"/>
      <name val="Arial Cyr"/>
      <family val="2"/>
      <charset val="204"/>
    </font>
    <font>
      <vertAlign val="superscript"/>
      <sz val="10"/>
      <name val="Arial Cyr"/>
      <family val="2"/>
      <charset val="204"/>
    </font>
    <font>
      <sz val="10"/>
      <color indexed="14"/>
      <name val="Arial Cyr"/>
      <family val="2"/>
      <charset val="204"/>
    </font>
    <font>
      <sz val="10"/>
      <color indexed="12"/>
      <name val="Arial Cyr"/>
      <charset val="204"/>
    </font>
    <font>
      <b/>
      <sz val="10"/>
      <name val="Times New Roman"/>
      <family val="1"/>
    </font>
    <font>
      <sz val="14"/>
      <name val="Times New Roman Cyr"/>
      <charset val="204"/>
    </font>
    <font>
      <sz val="8"/>
      <name val="Arial Cyr"/>
      <charset val="204"/>
    </font>
    <font>
      <sz val="12"/>
      <name val="Times New Roman"/>
      <family val="1"/>
    </font>
    <font>
      <sz val="12"/>
      <name val="Times New Roman Cyr"/>
      <charset val="204"/>
    </font>
    <font>
      <sz val="10"/>
      <name val="Arial CYR"/>
      <charset val="204"/>
    </font>
    <font>
      <b/>
      <sz val="10"/>
      <color indexed="10"/>
      <name val="Times New Roman"/>
      <family val="1"/>
      <charset val="204"/>
    </font>
    <font>
      <b/>
      <sz val="10"/>
      <color indexed="9"/>
      <name val="Arial Cyr"/>
      <charset val="204"/>
    </font>
    <font>
      <b/>
      <sz val="10"/>
      <color indexed="10"/>
      <name val="Arial Cyr"/>
      <charset val="204"/>
    </font>
    <font>
      <u/>
      <sz val="10"/>
      <color indexed="12"/>
      <name val="Arial"/>
      <family val="2"/>
      <charset val="204"/>
    </font>
    <font>
      <u/>
      <sz val="10"/>
      <color indexed="36"/>
      <name val="Arial"/>
      <family val="2"/>
      <charset val="204"/>
    </font>
    <font>
      <sz val="10"/>
      <name val="Helv"/>
      <charset val="204"/>
    </font>
    <font>
      <sz val="10"/>
      <name val="Helv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i/>
      <sz val="10"/>
      <name val="Times New Roman Cyr"/>
      <family val="1"/>
      <charset val="204"/>
    </font>
    <font>
      <sz val="10"/>
      <color indexed="8"/>
      <name val="MS Sans Serif"/>
      <family val="2"/>
      <charset val="204"/>
    </font>
    <font>
      <sz val="10"/>
      <name val="Arial"/>
      <family val="2"/>
      <charset val="204"/>
    </font>
    <font>
      <u/>
      <sz val="7"/>
      <color indexed="36"/>
      <name val="Arial"/>
      <family val="2"/>
      <charset val="204"/>
    </font>
    <font>
      <b/>
      <sz val="12"/>
      <name val="Arial"/>
      <family val="2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u/>
      <sz val="9.6"/>
      <color indexed="12"/>
      <name val="Arial"/>
      <family val="2"/>
      <charset val="204"/>
    </font>
    <font>
      <sz val="10"/>
      <name val="MS Sans Serif"/>
      <family val="2"/>
      <charset val="204"/>
    </font>
    <font>
      <b/>
      <u/>
      <sz val="16"/>
      <name val="Arial"/>
      <family val="2"/>
      <charset val="204"/>
    </font>
    <font>
      <b/>
      <sz val="9"/>
      <name val="Helv"/>
      <charset val="204"/>
    </font>
    <font>
      <b/>
      <sz val="14"/>
      <name val="Helv"/>
      <charset val="204"/>
    </font>
    <font>
      <sz val="8"/>
      <name val="Arial"/>
      <family val="2"/>
      <charset val="204"/>
    </font>
    <font>
      <b/>
      <sz val="20"/>
      <name val="Times New Roman"/>
      <family val="1"/>
      <charset val="204"/>
    </font>
    <font>
      <b/>
      <sz val="8"/>
      <name val="Palatino"/>
      <family val="1"/>
      <charset val="204"/>
    </font>
    <font>
      <b/>
      <sz val="14"/>
      <name val="Times New Roman"/>
      <family val="1"/>
      <charset val="204"/>
    </font>
    <font>
      <sz val="10"/>
      <name val="Times New Roman CYR"/>
      <charset val="204"/>
    </font>
    <font>
      <i/>
      <sz val="12"/>
      <name val="Albertus Extra Bold Cyr"/>
      <family val="2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</font>
    <font>
      <sz val="11"/>
      <name val="Times New Roman"/>
      <family val="1"/>
      <charset val="204"/>
    </font>
    <font>
      <u/>
      <sz val="10"/>
      <color indexed="12"/>
      <name val="Times New Roman Cyr"/>
      <charset val="204"/>
    </font>
    <font>
      <sz val="8"/>
      <name val="Times New Roman"/>
      <family val="1"/>
    </font>
    <font>
      <b/>
      <sz val="9"/>
      <name val="Times New Roman"/>
      <family val="1"/>
      <charset val="204"/>
    </font>
    <font>
      <b/>
      <sz val="8"/>
      <color indexed="10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sz val="14"/>
      <name val="Garamond"/>
      <family val="1"/>
      <charset val="204"/>
    </font>
    <font>
      <i/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sz val="9"/>
      <name val="Times New Roman Cyr"/>
      <family val="1"/>
      <charset val="204"/>
    </font>
    <font>
      <sz val="11"/>
      <name val="Times New Roman Cyr"/>
      <charset val="204"/>
    </font>
    <font>
      <sz val="12"/>
      <name val="Times New Roman Cyr"/>
      <family val="1"/>
      <charset val="204"/>
    </font>
    <font>
      <b/>
      <sz val="10"/>
      <name val="Times New Roman CYR"/>
      <charset val="204"/>
    </font>
    <font>
      <b/>
      <sz val="14"/>
      <name val="Times New Roman Cyr"/>
      <family val="1"/>
      <charset val="204"/>
    </font>
    <font>
      <b/>
      <sz val="11"/>
      <name val="Times New Roman Cyr"/>
      <charset val="204"/>
    </font>
    <font>
      <sz val="10.5"/>
      <name val="Times New Roman CYR"/>
      <charset val="204"/>
    </font>
    <font>
      <b/>
      <sz val="8"/>
      <color indexed="10"/>
      <name val="Arial Cyr"/>
      <charset val="204"/>
    </font>
    <font>
      <b/>
      <sz val="10"/>
      <name val="Arial CYR"/>
      <charset val="204"/>
    </font>
    <font>
      <b/>
      <sz val="12"/>
      <name val="Garamond"/>
      <family val="1"/>
      <charset val="204"/>
    </font>
    <font>
      <b/>
      <sz val="13"/>
      <name val="Times New Roman"/>
      <family val="1"/>
      <charset val="204"/>
    </font>
    <font>
      <sz val="10"/>
      <color indexed="10"/>
      <name val="Arial Cyr"/>
      <charset val="204"/>
    </font>
    <font>
      <b/>
      <sz val="9"/>
      <color indexed="10"/>
      <name val="Arial Cyr"/>
      <charset val="204"/>
    </font>
    <font>
      <b/>
      <sz val="8"/>
      <color indexed="10"/>
      <name val="Arial Cyr"/>
      <charset val="204"/>
    </font>
    <font>
      <b/>
      <sz val="10"/>
      <color indexed="12"/>
      <name val="Times New Roman CYR"/>
      <charset val="204"/>
    </font>
    <font>
      <b/>
      <sz val="8"/>
      <color indexed="9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sz val="9"/>
      <color indexed="10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b/>
      <sz val="10"/>
      <color indexed="10"/>
      <name val="Times New Roman CYR"/>
      <charset val="204"/>
    </font>
    <font>
      <sz val="8"/>
      <color indexed="10"/>
      <name val="Times New Roman"/>
      <family val="1"/>
      <charset val="204"/>
    </font>
    <font>
      <b/>
      <sz val="8"/>
      <color indexed="10"/>
      <name val="Times New Roman"/>
      <family val="1"/>
      <charset val="204"/>
    </font>
    <font>
      <i/>
      <sz val="10.5"/>
      <name val="Times New Roman"/>
      <family val="1"/>
      <charset val="204"/>
    </font>
    <font>
      <vertAlign val="subscript"/>
      <sz val="12"/>
      <name val="Times New Roman"/>
      <family val="1"/>
      <charset val="204"/>
    </font>
    <font>
      <sz val="10"/>
      <color indexed="10"/>
      <name val="Arial Cyr"/>
      <charset val="204"/>
    </font>
    <font>
      <b/>
      <sz val="8"/>
      <color indexed="10"/>
      <name val="Arial Cyr"/>
      <charset val="204"/>
    </font>
    <font>
      <b/>
      <i/>
      <sz val="12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2"/>
      <color indexed="9"/>
      <name val="Times New Roman"/>
      <family val="1"/>
      <charset val="204"/>
    </font>
    <font>
      <i/>
      <sz val="11"/>
      <name val="Times New Roman"/>
      <family val="1"/>
      <charset val="204"/>
    </font>
    <font>
      <sz val="10.5"/>
      <name val="Times New Roman"/>
      <family val="1"/>
      <charset val="204"/>
    </font>
    <font>
      <b/>
      <i/>
      <sz val="10"/>
      <color indexed="10"/>
      <name val="Times New Roman"/>
      <family val="1"/>
      <charset val="204"/>
    </font>
    <font>
      <b/>
      <i/>
      <sz val="11"/>
      <name val="Times New Roman Cyr"/>
      <charset val="204"/>
    </font>
    <font>
      <b/>
      <sz val="8"/>
      <name val="Arial Cyr"/>
      <charset val="204"/>
    </font>
    <font>
      <b/>
      <vertAlign val="superscript"/>
      <sz val="11"/>
      <name val="Times New Roman"/>
      <family val="1"/>
      <charset val="204"/>
    </font>
    <font>
      <b/>
      <vertAlign val="superscript"/>
      <sz val="10"/>
      <color indexed="56"/>
      <name val="Times New Roman"/>
      <family val="1"/>
      <charset val="204"/>
    </font>
    <font>
      <b/>
      <sz val="10"/>
      <color indexed="56"/>
      <name val="Times New Roman"/>
      <family val="1"/>
      <charset val="204"/>
    </font>
    <font>
      <b/>
      <sz val="11"/>
      <color indexed="56"/>
      <name val="Times New Roman"/>
      <family val="1"/>
      <charset val="204"/>
    </font>
    <font>
      <b/>
      <vertAlign val="superscript"/>
      <sz val="11"/>
      <color indexed="56"/>
      <name val="Times New Roman"/>
      <family val="1"/>
      <charset val="204"/>
    </font>
    <font>
      <b/>
      <vertAlign val="superscript"/>
      <sz val="10"/>
      <color indexed="9"/>
      <name val="Times New Roman"/>
      <family val="1"/>
      <charset val="204"/>
    </font>
    <font>
      <b/>
      <sz val="10"/>
      <color indexed="9"/>
      <name val="Times New Roman"/>
      <family val="1"/>
      <charset val="204"/>
    </font>
    <font>
      <vertAlign val="subscript"/>
      <sz val="14"/>
      <name val="Times New Roman"/>
      <family val="1"/>
      <charset val="204"/>
    </font>
    <font>
      <b/>
      <sz val="10"/>
      <color indexed="12"/>
      <name val="Arial Cyr"/>
      <charset val="204"/>
    </font>
    <font>
      <b/>
      <vertAlign val="superscript"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vertAlign val="superscript"/>
      <sz val="9"/>
      <color indexed="10"/>
      <name val="Times New Roman"/>
      <family val="1"/>
      <charset val="204"/>
    </font>
    <font>
      <b/>
      <i/>
      <u/>
      <sz val="10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4"/>
      <name val="Times New Roman"/>
      <family val="1"/>
    </font>
    <font>
      <sz val="10"/>
      <name val="Times New Roman CYR"/>
      <family val="1"/>
      <charset val="204"/>
    </font>
    <font>
      <sz val="10"/>
      <color indexed="8"/>
      <name val="Times New Roman"/>
      <family val="1"/>
      <charset val="204"/>
    </font>
    <font>
      <b/>
      <sz val="16"/>
      <name val="Times New Roman"/>
      <family val="1"/>
    </font>
    <font>
      <sz val="11"/>
      <name val="Arial Cyr"/>
      <charset val="204"/>
    </font>
    <font>
      <b/>
      <i/>
      <sz val="10"/>
      <name val="Times New Roman Cyr"/>
      <charset val="204"/>
    </font>
    <font>
      <sz val="11"/>
      <color indexed="56"/>
      <name val="Times New Roman CYR"/>
      <charset val="204"/>
    </font>
    <font>
      <vertAlign val="subscript"/>
      <sz val="11"/>
      <name val="Times New Roman"/>
      <family val="1"/>
      <charset val="204"/>
    </font>
    <font>
      <sz val="12"/>
      <name val="Arial Cyr"/>
      <charset val="204"/>
    </font>
    <font>
      <b/>
      <sz val="14"/>
      <name val="Franklin Gothic Medium"/>
      <family val="2"/>
      <charset val="204"/>
    </font>
    <font>
      <b/>
      <sz val="9"/>
      <name val="Tahoma"/>
      <family val="2"/>
      <charset val="204"/>
    </font>
    <font>
      <sz val="9"/>
      <name val="Tahoma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name val="Arial Cyr"/>
      <charset val="204"/>
    </font>
    <font>
      <b/>
      <sz val="14"/>
      <name val="Arial Cyr"/>
      <charset val="204"/>
    </font>
    <font>
      <b/>
      <u/>
      <sz val="14"/>
      <name val="Arial Cyr"/>
      <charset val="204"/>
    </font>
    <font>
      <b/>
      <sz val="9"/>
      <name val="Arial Cyr"/>
      <charset val="204"/>
    </font>
    <font>
      <b/>
      <sz val="9"/>
      <color indexed="8"/>
      <name val="Tahoma"/>
      <family val="2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sz val="10"/>
      <name val="Garamond"/>
      <family val="1"/>
      <charset val="204"/>
    </font>
    <font>
      <b/>
      <sz val="13.7"/>
      <name val="Garamond"/>
      <family val="1"/>
      <charset val="204"/>
    </font>
    <font>
      <b/>
      <sz val="11"/>
      <name val="Tahoma"/>
      <family val="2"/>
      <charset val="204"/>
    </font>
    <font>
      <i/>
      <sz val="9"/>
      <name val="Tahoma"/>
      <family val="2"/>
      <charset val="204"/>
    </font>
    <font>
      <b/>
      <sz val="12"/>
      <color indexed="10"/>
      <name val="Arial Cyr"/>
      <charset val="204"/>
    </font>
    <font>
      <b/>
      <sz val="14"/>
      <name val="Arial Cyr"/>
      <family val="2"/>
      <charset val="204"/>
    </font>
    <font>
      <b/>
      <sz val="12"/>
      <name val="Arial Cyr"/>
      <family val="2"/>
      <charset val="204"/>
    </font>
    <font>
      <b/>
      <sz val="11"/>
      <name val="Arial Cyr"/>
      <family val="2"/>
      <charset val="204"/>
    </font>
    <font>
      <sz val="8"/>
      <name val="Arial Cyr"/>
      <family val="2"/>
      <charset val="204"/>
    </font>
    <font>
      <b/>
      <sz val="10"/>
      <name val="Arial Cyr"/>
      <family val="2"/>
      <charset val="204"/>
    </font>
    <font>
      <b/>
      <sz val="11"/>
      <name val="Arial"/>
      <family val="2"/>
      <charset val="204"/>
    </font>
    <font>
      <b/>
      <sz val="11"/>
      <color indexed="10"/>
      <name val="Arial Cyr"/>
      <charset val="204"/>
    </font>
    <font>
      <b/>
      <sz val="10"/>
      <color indexed="60"/>
      <name val="Times New Roman Cyr"/>
      <charset val="204"/>
    </font>
    <font>
      <i/>
      <sz val="11"/>
      <name val="Times New Roman Cyr"/>
      <charset val="204"/>
    </font>
    <font>
      <b/>
      <sz val="14"/>
      <name val="Times New Roman Cyr"/>
      <charset val="204"/>
    </font>
    <font>
      <sz val="12"/>
      <color indexed="10"/>
      <name val="Times New Roman CYR"/>
      <charset val="204"/>
    </font>
    <font>
      <i/>
      <sz val="12"/>
      <name val="Times New Roman Cyr"/>
      <charset val="204"/>
    </font>
    <font>
      <b/>
      <sz val="12"/>
      <name val="Times New Roman Cyr"/>
      <charset val="204"/>
    </font>
    <font>
      <b/>
      <i/>
      <sz val="12"/>
      <name val="Times New Roman Cyr"/>
      <charset val="204"/>
    </font>
    <font>
      <b/>
      <sz val="12"/>
      <color indexed="9"/>
      <name val="Times New Roman"/>
      <family val="1"/>
      <charset val="204"/>
    </font>
    <font>
      <sz val="10"/>
      <color indexed="10"/>
      <name val="Times New Roman"/>
      <family val="1"/>
    </font>
    <font>
      <b/>
      <sz val="10"/>
      <color indexed="8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b/>
      <sz val="10"/>
      <color indexed="10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b/>
      <i/>
      <sz val="12"/>
      <color indexed="10"/>
      <name val="Times New Roman"/>
      <family val="1"/>
      <charset val="204"/>
    </font>
    <font>
      <b/>
      <sz val="14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sz val="11"/>
      <color indexed="10"/>
      <name val="Arial"/>
      <family val="2"/>
      <charset val="204"/>
    </font>
    <font>
      <vertAlign val="subscript"/>
      <sz val="14"/>
      <color indexed="8"/>
      <name val="Arial"/>
      <family val="2"/>
      <charset val="204"/>
    </font>
    <font>
      <i/>
      <sz val="11"/>
      <name val="Arial"/>
      <family val="2"/>
      <charset val="204"/>
    </font>
    <font>
      <b/>
      <sz val="11"/>
      <color indexed="10"/>
      <name val="Arial"/>
      <family val="2"/>
      <charset val="204"/>
    </font>
    <font>
      <vertAlign val="superscript"/>
      <sz val="14"/>
      <color indexed="10"/>
      <name val="Arial Cyr"/>
      <charset val="204"/>
    </font>
    <font>
      <vertAlign val="subscript"/>
      <sz val="14"/>
      <color indexed="10"/>
      <name val="Arial Cyr"/>
      <charset val="204"/>
    </font>
    <font>
      <sz val="11"/>
      <color indexed="10"/>
      <name val="Arial Cyr"/>
      <charset val="204"/>
    </font>
    <font>
      <vertAlign val="subscript"/>
      <sz val="11"/>
      <color indexed="10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8"/>
      <color indexed="9"/>
      <name val="Arial Cyr"/>
      <charset val="204"/>
    </font>
    <font>
      <sz val="11"/>
      <color indexed="8"/>
      <name val="Calibri"/>
      <family val="2"/>
      <charset val="204"/>
    </font>
    <font>
      <sz val="10"/>
      <color indexed="10"/>
      <name val="Arial Cyr"/>
      <family val="2"/>
      <charset val="204"/>
    </font>
    <font>
      <b/>
      <sz val="10"/>
      <color indexed="10"/>
      <name val="Times New Roman"/>
      <family val="1"/>
      <charset val="204"/>
    </font>
    <font>
      <b/>
      <sz val="10"/>
      <color indexed="56"/>
      <name val="Times New Roman"/>
      <family val="1"/>
      <charset val="204"/>
    </font>
    <font>
      <sz val="10"/>
      <color indexed="56"/>
      <name val="Times New Roman"/>
      <family val="1"/>
      <charset val="204"/>
    </font>
    <font>
      <b/>
      <sz val="10"/>
      <color indexed="9"/>
      <name val="Times New Roman"/>
      <family val="1"/>
      <charset val="204"/>
    </font>
    <font>
      <b/>
      <sz val="9"/>
      <color indexed="56"/>
      <name val="Times New Roman"/>
      <family val="1"/>
      <charset val="204"/>
    </font>
    <font>
      <b/>
      <sz val="9"/>
      <color indexed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8"/>
      <color indexed="10"/>
      <name val="Times New Roman"/>
      <family val="1"/>
      <charset val="204"/>
    </font>
    <font>
      <b/>
      <sz val="8"/>
      <color indexed="9"/>
      <name val="Arial Cyr"/>
      <charset val="204"/>
    </font>
    <font>
      <b/>
      <sz val="10"/>
      <color indexed="9"/>
      <name val="Arial Cyr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0"/>
      <color indexed="9"/>
      <name val="Arial Cyr"/>
      <charset val="204"/>
    </font>
    <font>
      <b/>
      <sz val="12"/>
      <color indexed="10"/>
      <name val="Times New Roman"/>
      <family val="1"/>
      <charset val="204"/>
    </font>
    <font>
      <b/>
      <sz val="11"/>
      <color indexed="56"/>
      <name val="Times New Roman"/>
      <family val="1"/>
      <charset val="204"/>
    </font>
    <font>
      <sz val="10"/>
      <color indexed="9"/>
      <name val="Arial Cyr"/>
      <family val="2"/>
      <charset val="204"/>
    </font>
    <font>
      <sz val="10"/>
      <color indexed="10"/>
      <name val="Arial Cyr"/>
      <charset val="204"/>
    </font>
    <font>
      <sz val="10"/>
      <color indexed="10"/>
      <name val="Times New Roman"/>
      <family val="1"/>
    </font>
    <font>
      <b/>
      <sz val="9"/>
      <color indexed="10"/>
      <name val="Times New Roman Cyr"/>
      <charset val="204"/>
    </font>
    <font>
      <b/>
      <sz val="9"/>
      <color indexed="56"/>
      <name val="Times New Roman Cyr"/>
      <charset val="204"/>
    </font>
    <font>
      <b/>
      <sz val="11"/>
      <color indexed="56"/>
      <name val="Times New Roman Cyr"/>
      <charset val="204"/>
    </font>
    <font>
      <b/>
      <sz val="10"/>
      <color indexed="56"/>
      <name val="Times New Roman Cyr"/>
      <charset val="204"/>
    </font>
    <font>
      <sz val="8"/>
      <color indexed="10"/>
      <name val="Times New Roman"/>
      <family val="1"/>
      <charset val="204"/>
    </font>
    <font>
      <b/>
      <sz val="10"/>
      <color indexed="10"/>
      <name val="Times New Roman CYR"/>
      <charset val="204"/>
    </font>
    <font>
      <b/>
      <sz val="8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b/>
      <sz val="10"/>
      <color indexed="10"/>
      <name val="Arial Cyr"/>
      <charset val="204"/>
    </font>
    <font>
      <b/>
      <sz val="12"/>
      <color indexed="10"/>
      <name val="Arial Cyr"/>
      <charset val="204"/>
    </font>
    <font>
      <b/>
      <sz val="9"/>
      <color indexed="10"/>
      <name val="Arial Cyr"/>
      <charset val="204"/>
    </font>
    <font>
      <b/>
      <sz val="8"/>
      <color indexed="10"/>
      <name val="Arial Cyr"/>
      <charset val="204"/>
    </font>
    <font>
      <b/>
      <sz val="10"/>
      <color indexed="56"/>
      <name val="Arial Cyr"/>
      <charset val="204"/>
    </font>
    <font>
      <sz val="8"/>
      <color indexed="9"/>
      <name val="Times New Roman"/>
      <family val="1"/>
      <charset val="204"/>
    </font>
    <font>
      <sz val="11"/>
      <color indexed="10"/>
      <name val="Times New Roman"/>
      <family val="1"/>
    </font>
    <font>
      <sz val="11"/>
      <color indexed="9"/>
      <name val="Times New Roman"/>
      <family val="1"/>
    </font>
    <font>
      <sz val="11"/>
      <color indexed="8"/>
      <name val="Times New Roman"/>
      <family val="1"/>
    </font>
    <font>
      <b/>
      <sz val="11"/>
      <color indexed="10"/>
      <name val="Arial Cyr"/>
      <family val="2"/>
      <charset val="204"/>
    </font>
    <font>
      <b/>
      <sz val="11"/>
      <color indexed="9"/>
      <name val="Arial Cyr"/>
      <family val="2"/>
      <charset val="204"/>
    </font>
    <font>
      <i/>
      <sz val="11"/>
      <color indexed="10"/>
      <name val="Times New Roman Cyr"/>
      <charset val="204"/>
    </font>
    <font>
      <sz val="10"/>
      <color indexed="10"/>
      <name val="Times New Roman CYR"/>
      <charset val="204"/>
    </font>
    <font>
      <sz val="12"/>
      <color indexed="10"/>
      <name val="Times New Roman CYR"/>
      <charset val="204"/>
    </font>
    <font>
      <b/>
      <sz val="12"/>
      <color indexed="10"/>
      <name val="Times New Roman Cyr"/>
      <charset val="204"/>
    </font>
    <font>
      <b/>
      <sz val="11"/>
      <color indexed="10"/>
      <name val="Times New Roman Cyr"/>
      <charset val="204"/>
    </font>
    <font>
      <i/>
      <sz val="12"/>
      <color indexed="10"/>
      <name val="Times New Roman Cyr"/>
      <charset val="204"/>
    </font>
    <font>
      <sz val="12"/>
      <color indexed="9"/>
      <name val="Times New Roman Cyr"/>
      <charset val="204"/>
    </font>
    <font>
      <i/>
      <sz val="12"/>
      <color indexed="9"/>
      <name val="Times New Roman Cyr"/>
      <charset val="204"/>
    </font>
    <font>
      <b/>
      <sz val="12"/>
      <color indexed="9"/>
      <name val="Times New Roman"/>
      <family val="1"/>
      <charset val="204"/>
    </font>
    <font>
      <b/>
      <sz val="11"/>
      <color indexed="10"/>
      <name val="Times New Roman"/>
      <family val="1"/>
      <charset val="204"/>
    </font>
    <font>
      <b/>
      <i/>
      <sz val="10"/>
      <color indexed="1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0"/>
      <color indexed="10"/>
      <name val="Calibri"/>
      <family val="2"/>
      <charset val="204"/>
    </font>
    <font>
      <b/>
      <u/>
      <sz val="10"/>
      <color indexed="9"/>
      <name val="Times New Roman"/>
      <family val="1"/>
      <charset val="204"/>
    </font>
    <font>
      <b/>
      <i/>
      <sz val="10"/>
      <color indexed="9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b/>
      <u/>
      <sz val="12"/>
      <color indexed="10"/>
      <name val="Times New Roman"/>
      <family val="1"/>
      <charset val="204"/>
    </font>
    <font>
      <b/>
      <u/>
      <sz val="10"/>
      <color indexed="56"/>
      <name val="Times New Roman"/>
      <family val="1"/>
      <charset val="204"/>
    </font>
    <font>
      <b/>
      <u/>
      <sz val="10"/>
      <color indexed="10"/>
      <name val="Times New Roman"/>
      <family val="1"/>
      <charset val="204"/>
    </font>
    <font>
      <b/>
      <sz val="12"/>
      <color indexed="56"/>
      <name val="Arial Cyr"/>
      <charset val="204"/>
    </font>
    <font>
      <b/>
      <sz val="12"/>
      <color indexed="56"/>
      <name val="Times New Roman"/>
      <family val="1"/>
      <charset val="204"/>
    </font>
    <font>
      <sz val="8"/>
      <color indexed="56"/>
      <name val="Arial Cyr"/>
      <charset val="204"/>
    </font>
    <font>
      <sz val="11"/>
      <color indexed="10"/>
      <name val="Arial"/>
      <family val="2"/>
      <charset val="204"/>
    </font>
    <font>
      <b/>
      <sz val="11"/>
      <color indexed="10"/>
      <name val="Arial"/>
      <family val="2"/>
      <charset val="204"/>
    </font>
    <font>
      <sz val="11"/>
      <color indexed="10"/>
      <name val="Arial Cyr"/>
      <charset val="204"/>
    </font>
    <font>
      <b/>
      <sz val="11"/>
      <color indexed="9"/>
      <name val="Arial Cyr"/>
      <charset val="204"/>
    </font>
    <font>
      <sz val="11"/>
      <color indexed="9"/>
      <name val="Arial"/>
      <family val="2"/>
      <charset val="204"/>
    </font>
    <font>
      <b/>
      <sz val="11"/>
      <color indexed="56"/>
      <name val="Arial"/>
      <family val="2"/>
      <charset val="204"/>
    </font>
    <font>
      <sz val="11"/>
      <color indexed="10"/>
      <name val="Times New Roman"/>
      <family val="1"/>
      <charset val="204"/>
    </font>
    <font>
      <sz val="9"/>
      <color indexed="10"/>
      <name val="Times New Roman"/>
      <family val="1"/>
      <charset val="204"/>
    </font>
    <font>
      <sz val="8"/>
      <color indexed="12"/>
      <name val="Arial"/>
      <family val="2"/>
      <charset val="204"/>
    </font>
    <font>
      <sz val="1"/>
      <color indexed="8"/>
      <name val="Courier"/>
      <family val="1"/>
      <charset val="204"/>
    </font>
    <font>
      <b/>
      <sz val="10"/>
      <color indexed="12"/>
      <name val="Arial Cyr"/>
      <family val="2"/>
      <charset val="204"/>
    </font>
    <font>
      <u/>
      <sz val="8"/>
      <color indexed="12"/>
      <name val="Arial Cyr"/>
      <charset val="204"/>
    </font>
    <font>
      <sz val="18"/>
      <name val="Arial"/>
      <family val="2"/>
      <charset val="204"/>
    </font>
    <font>
      <i/>
      <sz val="12"/>
      <name val="Arial"/>
      <family val="2"/>
      <charset val="204"/>
    </font>
    <font>
      <sz val="12"/>
      <name val="Symbol"/>
      <family val="1"/>
      <charset val="2"/>
    </font>
    <font>
      <sz val="18"/>
      <name val="Symbol"/>
      <family val="1"/>
      <charset val="2"/>
    </font>
    <font>
      <sz val="8"/>
      <name val="Symbol"/>
      <family val="1"/>
      <charset val="2"/>
    </font>
    <font>
      <i/>
      <sz val="12"/>
      <name val="Symbol"/>
      <family val="1"/>
      <charset val="2"/>
    </font>
    <font>
      <b/>
      <sz val="10"/>
      <color indexed="18"/>
      <name val="Arial Cyr"/>
      <charset val="204"/>
    </font>
    <font>
      <sz val="10"/>
      <name val="Courier"/>
      <family val="3"/>
    </font>
    <font>
      <sz val="12"/>
      <name val="Arial"/>
      <family val="2"/>
      <charset val="204"/>
    </font>
    <font>
      <sz val="8"/>
      <name val="Helv"/>
      <charset val="204"/>
    </font>
    <font>
      <sz val="8"/>
      <name val="Helv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6"/>
      <color indexed="23"/>
      <name val="Arial"/>
      <family val="2"/>
      <charset val="204"/>
    </font>
    <font>
      <sz val="10"/>
      <color indexed="10"/>
      <name val="Arial"/>
      <family val="2"/>
    </font>
    <font>
      <b/>
      <u/>
      <sz val="9"/>
      <color indexed="12"/>
      <name val="Tahoma"/>
      <family val="2"/>
      <charset val="204"/>
    </font>
    <font>
      <sz val="10"/>
      <color indexed="64"/>
      <name val="Arial"/>
      <family val="2"/>
      <charset val="204"/>
    </font>
    <font>
      <sz val="10"/>
      <name val="Arial"/>
      <family val="2"/>
    </font>
    <font>
      <sz val="11"/>
      <name val="Times New Roman CYR"/>
      <family val="1"/>
      <charset val="204"/>
    </font>
    <font>
      <sz val="10"/>
      <name val="Arial Cyr"/>
    </font>
    <font>
      <sz val="8"/>
      <color indexed="8"/>
      <name val="Times New Roman"/>
      <family val="1"/>
      <charset val="204"/>
    </font>
    <font>
      <b/>
      <sz val="10"/>
      <name val="Tahoma"/>
      <family val="2"/>
      <charset val="204"/>
    </font>
    <font>
      <b/>
      <sz val="11"/>
      <name val="Calibri"/>
      <family val="2"/>
      <charset val="204"/>
    </font>
    <font>
      <sz val="14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u/>
      <sz val="12"/>
      <name val="Arial Cyr"/>
      <family val="2"/>
      <charset val="204"/>
    </font>
    <font>
      <sz val="12"/>
      <name val="Arial Cyr"/>
      <family val="2"/>
      <charset val="204"/>
    </font>
    <font>
      <b/>
      <i/>
      <sz val="11"/>
      <name val="Arial Cyr"/>
      <family val="2"/>
      <charset val="204"/>
    </font>
    <font>
      <i/>
      <sz val="11"/>
      <name val="Arial Cyr"/>
      <family val="2"/>
      <charset val="204"/>
    </font>
    <font>
      <sz val="11"/>
      <name val="Arial Cyr"/>
      <family val="2"/>
      <charset val="204"/>
    </font>
    <font>
      <b/>
      <sz val="10"/>
      <color rgb="FFFF0000"/>
      <name val="Arial Cyr"/>
      <charset val="204"/>
    </font>
    <font>
      <b/>
      <sz val="10"/>
      <color rgb="FFFF0000"/>
      <name val="Times New Roman"/>
      <family val="1"/>
      <charset val="204"/>
    </font>
    <font>
      <sz val="10"/>
      <color theme="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sz val="10"/>
      <color rgb="FFFF0000"/>
      <name val="Arial Cyr"/>
      <charset val="204"/>
    </font>
    <font>
      <sz val="11"/>
      <color rgb="FFFF0000"/>
      <name val="Arial"/>
      <family val="2"/>
      <charset val="204"/>
    </font>
    <font>
      <b/>
      <sz val="11"/>
      <color rgb="FFFF0000"/>
      <name val="Arial"/>
      <family val="2"/>
      <charset val="204"/>
    </font>
    <font>
      <b/>
      <i/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indexed="10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FF0000"/>
      <name val="Times New Roman"/>
      <family val="1"/>
    </font>
    <font>
      <b/>
      <i/>
      <sz val="12"/>
      <color rgb="FFFF0000"/>
      <name val="Times New Roman"/>
      <family val="1"/>
      <charset val="204"/>
    </font>
    <font>
      <i/>
      <sz val="9"/>
      <name val="Arial"/>
      <family val="2"/>
      <charset val="204"/>
    </font>
    <font>
      <b/>
      <sz val="11"/>
      <color rgb="FFFF0000"/>
      <name val="Arial Cyr"/>
      <family val="2"/>
      <charset val="204"/>
    </font>
    <font>
      <b/>
      <sz val="11"/>
      <name val="Garamond"/>
      <family val="1"/>
      <charset val="204"/>
    </font>
    <font>
      <b/>
      <sz val="11"/>
      <color indexed="10"/>
      <name val="Garamond"/>
      <family val="1"/>
      <charset val="204"/>
    </font>
    <font>
      <sz val="11"/>
      <color indexed="12"/>
      <name val="Times New Roman CYR"/>
      <charset val="204"/>
    </font>
    <font>
      <b/>
      <sz val="11"/>
      <color indexed="12"/>
      <name val="Times New Roman CYR"/>
      <charset val="204"/>
    </font>
    <font>
      <b/>
      <sz val="10"/>
      <color theme="3"/>
      <name val="Arial Cyr"/>
      <charset val="204"/>
    </font>
    <font>
      <i/>
      <sz val="10"/>
      <color rgb="FFFF0000"/>
      <name val="Arial Cyr"/>
      <charset val="204"/>
    </font>
    <font>
      <b/>
      <sz val="12"/>
      <color rgb="FFFF0000"/>
      <name val="Arial Cyr"/>
      <charset val="204"/>
    </font>
    <font>
      <sz val="11"/>
      <color rgb="FFFF0000"/>
      <name val="Times New Roman"/>
      <family val="1"/>
      <charset val="204"/>
    </font>
    <font>
      <b/>
      <sz val="8"/>
      <color rgb="FFFF0000"/>
      <name val="Times New Roman Cyr"/>
      <charset val="204"/>
    </font>
    <font>
      <u/>
      <sz val="12"/>
      <name val="Times New Roman"/>
      <family val="1"/>
      <charset val="204"/>
    </font>
    <font>
      <sz val="10"/>
      <color rgb="FFFF0000"/>
      <name val="Times New Roman CYR"/>
      <charset val="204"/>
    </font>
    <font>
      <i/>
      <sz val="10"/>
      <color rgb="FFFF0000"/>
      <name val="Arial"/>
      <family val="2"/>
      <charset val="204"/>
    </font>
    <font>
      <b/>
      <i/>
      <sz val="10"/>
      <color rgb="FFFF0000"/>
      <name val="Arial"/>
      <family val="2"/>
      <charset val="204"/>
    </font>
    <font>
      <b/>
      <i/>
      <sz val="10"/>
      <color rgb="FFFF0000"/>
      <name val="Arial Cyr"/>
      <charset val="204"/>
    </font>
    <font>
      <b/>
      <i/>
      <sz val="10"/>
      <color rgb="FFFF0000"/>
      <name val="Times New Roman"/>
      <family val="1"/>
      <charset val="204"/>
    </font>
    <font>
      <sz val="12"/>
      <color theme="0"/>
      <name val="Times New Roman"/>
      <family val="1"/>
      <charset val="204"/>
    </font>
    <font>
      <b/>
      <i/>
      <sz val="10"/>
      <name val="Arial Cyr"/>
      <charset val="204"/>
    </font>
    <font>
      <b/>
      <i/>
      <sz val="11"/>
      <name val="Arial Cyr"/>
      <charset val="204"/>
    </font>
    <font>
      <u/>
      <sz val="12"/>
      <name val="Arial Cyr"/>
      <charset val="204"/>
    </font>
    <font>
      <sz val="14"/>
      <name val="Arial Cyr"/>
      <charset val="204"/>
    </font>
    <font>
      <b/>
      <sz val="10"/>
      <color rgb="FFFF0000"/>
      <name val="Calibri"/>
      <family val="2"/>
      <charset val="204"/>
    </font>
    <font>
      <vertAlign val="subscript"/>
      <sz val="13"/>
      <name val="Arial"/>
      <family val="2"/>
      <charset val="204"/>
    </font>
    <font>
      <sz val="12"/>
      <name val="Calibri"/>
      <family val="2"/>
      <charset val="204"/>
    </font>
    <font>
      <vertAlign val="subscript"/>
      <sz val="13"/>
      <name val="Calibri"/>
      <family val="2"/>
      <charset val="204"/>
    </font>
    <font>
      <vertAlign val="superscript"/>
      <sz val="13"/>
      <name val="Arial"/>
      <family val="2"/>
      <charset val="204"/>
    </font>
    <font>
      <sz val="13"/>
      <name val="Arial"/>
      <family val="2"/>
      <charset val="204"/>
    </font>
    <font>
      <vertAlign val="superscript"/>
      <sz val="14"/>
      <name val="Arial Cyr"/>
      <charset val="204"/>
    </font>
    <font>
      <vertAlign val="subscript"/>
      <sz val="14"/>
      <name val="Arial Cyr"/>
      <charset val="204"/>
    </font>
    <font>
      <vertAlign val="subscript"/>
      <sz val="11"/>
      <name val="Arial Cyr"/>
      <charset val="204"/>
    </font>
    <font>
      <b/>
      <sz val="11"/>
      <color rgb="FFFF0000"/>
      <name val="Times New Roman"/>
      <family val="1"/>
      <charset val="204"/>
    </font>
    <font>
      <b/>
      <sz val="11"/>
      <color rgb="FFFF0000"/>
      <name val="Garamond"/>
      <family val="1"/>
      <charset val="204"/>
    </font>
    <font>
      <b/>
      <sz val="11"/>
      <color rgb="FFFF0000"/>
      <name val="Times New Roman Cyr"/>
      <charset val="204"/>
    </font>
    <font>
      <sz val="11"/>
      <color rgb="FFFF0000"/>
      <name val="Times New Roman Cyr"/>
      <charset val="204"/>
    </font>
    <font>
      <i/>
      <sz val="10"/>
      <name val="Times New Roman"/>
      <family val="1"/>
      <charset val="204"/>
    </font>
    <font>
      <sz val="12"/>
      <name val="Arial Narrow"/>
      <family val="2"/>
      <charset val="204"/>
    </font>
    <font>
      <b/>
      <sz val="14"/>
      <name val="Arial Narrow"/>
      <family val="2"/>
      <charset val="204"/>
    </font>
    <font>
      <sz val="10"/>
      <name val="Arial Narrow"/>
      <family val="2"/>
      <charset val="204"/>
    </font>
    <font>
      <b/>
      <sz val="12"/>
      <name val="Arial Narrow"/>
      <family val="2"/>
      <charset val="204"/>
    </font>
    <font>
      <sz val="11"/>
      <name val="Arial Narrow"/>
      <family val="2"/>
      <charset val="204"/>
    </font>
    <font>
      <b/>
      <sz val="11"/>
      <name val="Arial Narrow"/>
      <family val="2"/>
      <charset val="204"/>
    </font>
    <font>
      <b/>
      <sz val="1"/>
      <color indexed="8"/>
      <name val="Courier"/>
      <family val="1"/>
      <charset val="204"/>
    </font>
    <font>
      <sz val="1"/>
      <color indexed="8"/>
      <name val="Courier New"/>
      <family val="3"/>
    </font>
    <font>
      <sz val="1"/>
      <color indexed="8"/>
      <name val="Courier New"/>
      <family val="3"/>
      <charset val="204"/>
    </font>
    <font>
      <b/>
      <sz val="10"/>
      <name val="MS Sans Serif"/>
      <family val="2"/>
      <charset val="204"/>
    </font>
    <font>
      <sz val="10"/>
      <color theme="1"/>
      <name val="Arial Cyr"/>
      <family val="2"/>
      <charset val="204"/>
    </font>
    <font>
      <sz val="10"/>
      <name val="Tahoma"/>
      <family val="2"/>
      <charset val="204"/>
    </font>
    <font>
      <b/>
      <sz val="8"/>
      <color rgb="FFFF0000"/>
      <name val="Times New Roman"/>
      <family val="1"/>
      <charset val="204"/>
    </font>
    <font>
      <sz val="10"/>
      <color theme="3"/>
      <name val="Times New Roman"/>
      <family val="1"/>
      <charset val="204"/>
    </font>
    <font>
      <b/>
      <sz val="10"/>
      <name val="Arial Narrow"/>
      <family val="2"/>
      <charset val="204"/>
    </font>
    <font>
      <b/>
      <sz val="8"/>
      <color indexed="56"/>
      <name val="Arial Narrow"/>
      <family val="2"/>
      <charset val="204"/>
    </font>
    <font>
      <sz val="14"/>
      <name val="Arial Narrow"/>
      <family val="2"/>
      <charset val="204"/>
    </font>
    <font>
      <sz val="10"/>
      <name val="Garamond"/>
      <family val="1"/>
      <charset val="204"/>
    </font>
    <font>
      <sz val="10"/>
      <color theme="0"/>
      <name val="Arial Cyr"/>
      <charset val="204"/>
    </font>
    <font>
      <b/>
      <sz val="11"/>
      <color theme="0"/>
      <name val="Times New Roman"/>
      <family val="1"/>
      <charset val="204"/>
    </font>
    <font>
      <b/>
      <sz val="9"/>
      <color rgb="FFFF0000"/>
      <name val="Arial Cyr"/>
      <charset val="204"/>
    </font>
    <font>
      <b/>
      <sz val="10"/>
      <color theme="0"/>
      <name val="Arial Cyr"/>
      <charset val="204"/>
    </font>
    <font>
      <vertAlign val="subscript"/>
      <sz val="12"/>
      <name val="Calibri"/>
      <family val="2"/>
      <charset val="204"/>
    </font>
    <font>
      <vertAlign val="superscript"/>
      <sz val="12"/>
      <name val="Calibri"/>
      <family val="2"/>
      <charset val="204"/>
    </font>
    <font>
      <vertAlign val="subscript"/>
      <sz val="11"/>
      <name val="Arial"/>
      <family val="2"/>
      <charset val="204"/>
    </font>
    <font>
      <vertAlign val="superscript"/>
      <sz val="11"/>
      <name val="Arial"/>
      <family val="2"/>
      <charset val="204"/>
    </font>
    <font>
      <b/>
      <sz val="12"/>
      <color rgb="FFFF0000"/>
      <name val="Garamond"/>
      <family val="1"/>
      <charset val="204"/>
    </font>
    <font>
      <b/>
      <sz val="10"/>
      <color rgb="FF669900"/>
      <name val="Arial Cyr"/>
      <charset val="204"/>
    </font>
    <font>
      <b/>
      <sz val="13.7"/>
      <color rgb="FFFF0000"/>
      <name val="Garamond"/>
      <family val="1"/>
      <charset val="204"/>
    </font>
    <font>
      <b/>
      <sz val="8"/>
      <name val="Arial Narrow"/>
      <family val="2"/>
      <charset val="204"/>
    </font>
    <font>
      <b/>
      <i/>
      <sz val="10"/>
      <name val="Arial Narrow"/>
      <family val="2"/>
      <charset val="204"/>
    </font>
    <font>
      <vertAlign val="subscript"/>
      <sz val="14"/>
      <name val="Arial"/>
      <family val="2"/>
      <charset val="204"/>
    </font>
    <font>
      <i/>
      <vertAlign val="subscript"/>
      <sz val="11"/>
      <name val="Arial"/>
      <family val="2"/>
      <charset val="204"/>
    </font>
    <font>
      <i/>
      <vertAlign val="superscript"/>
      <sz val="11"/>
      <name val="Arial"/>
      <family val="2"/>
      <charset val="204"/>
    </font>
  </fonts>
  <fills count="7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8"/>
      </patternFill>
    </fill>
    <fill>
      <patternFill patternType="solid">
        <fgColor indexed="27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26"/>
        <bgColor indexed="26"/>
      </patternFill>
    </fill>
    <fill>
      <patternFill patternType="solid">
        <fgColor indexed="4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CFF33"/>
        <bgColor indexed="26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26"/>
      </patternFill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CFF99"/>
        <bgColor indexed="64"/>
      </patternFill>
    </fill>
  </fills>
  <borders count="16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double">
        <color indexed="8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4"/>
      </bottom>
      <diagonal/>
    </border>
    <border>
      <left/>
      <right/>
      <top style="thin">
        <color indexed="63"/>
      </top>
      <bottom style="thin">
        <color indexed="64"/>
      </bottom>
      <diagonal/>
    </border>
    <border>
      <left/>
      <right/>
      <top style="thin">
        <color indexed="63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/>
      <right style="thin">
        <color indexed="63"/>
      </right>
      <top style="thin">
        <color indexed="63"/>
      </top>
      <bottom style="thin">
        <color indexed="64"/>
      </bottom>
      <diagonal/>
    </border>
    <border>
      <left style="thin">
        <color indexed="64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4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3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3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 style="thin">
        <color indexed="63"/>
      </top>
      <bottom style="thin">
        <color indexed="64"/>
      </bottom>
      <diagonal/>
    </border>
    <border>
      <left/>
      <right style="thin">
        <color indexed="63"/>
      </right>
      <top style="thin">
        <color indexed="63"/>
      </top>
      <bottom style="thin">
        <color indexed="64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63"/>
      </bottom>
      <diagonal/>
    </border>
    <border>
      <left/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</borders>
  <cellStyleXfs count="1717">
    <xf numFmtId="0" fontId="0" fillId="0" borderId="0"/>
    <xf numFmtId="0" fontId="38" fillId="0" borderId="0">
      <protection locked="0"/>
    </xf>
    <xf numFmtId="0" fontId="38" fillId="0" borderId="1">
      <protection locked="0"/>
    </xf>
    <xf numFmtId="0" fontId="38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0" fontId="37" fillId="0" borderId="0"/>
    <xf numFmtId="172" fontId="52" fillId="0" borderId="0">
      <alignment vertical="top"/>
    </xf>
    <xf numFmtId="172" fontId="265" fillId="0" borderId="0">
      <alignment vertical="top"/>
    </xf>
    <xf numFmtId="203" fontId="265" fillId="2" borderId="0">
      <alignment vertical="top"/>
    </xf>
    <xf numFmtId="172" fontId="265" fillId="3" borderId="0">
      <alignment vertical="top"/>
    </xf>
    <xf numFmtId="0" fontId="34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5" fillId="0" borderId="0"/>
    <xf numFmtId="176" fontId="5" fillId="0" borderId="0" applyFont="0" applyFill="0" applyBorder="0" applyAlignment="0" applyProtection="0"/>
    <xf numFmtId="0" fontId="36" fillId="0" borderId="0"/>
    <xf numFmtId="0" fontId="36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204" fontId="52" fillId="0" borderId="0">
      <alignment vertical="top"/>
    </xf>
    <xf numFmtId="38" fontId="52" fillId="0" borderId="0">
      <alignment vertical="top"/>
    </xf>
    <xf numFmtId="204" fontId="52" fillId="0" borderId="0">
      <alignment vertical="top"/>
    </xf>
    <xf numFmtId="204" fontId="52" fillId="0" borderId="0">
      <alignment vertical="top"/>
    </xf>
    <xf numFmtId="38" fontId="52" fillId="0" borderId="0">
      <alignment vertical="top"/>
    </xf>
    <xf numFmtId="204" fontId="52" fillId="0" borderId="0">
      <alignment vertical="top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7" fillId="0" borderId="0"/>
    <xf numFmtId="204" fontId="52" fillId="0" borderId="0">
      <alignment vertical="top"/>
    </xf>
    <xf numFmtId="38" fontId="52" fillId="0" borderId="0">
      <alignment vertical="top"/>
    </xf>
    <xf numFmtId="204" fontId="52" fillId="0" borderId="0">
      <alignment vertical="top"/>
    </xf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204" fontId="52" fillId="0" borderId="0">
      <alignment vertical="top"/>
    </xf>
    <xf numFmtId="38" fontId="52" fillId="0" borderId="0">
      <alignment vertical="top"/>
    </xf>
    <xf numFmtId="204" fontId="52" fillId="0" borderId="0">
      <alignment vertical="top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7" fillId="0" borderId="0"/>
    <xf numFmtId="204" fontId="52" fillId="0" borderId="0">
      <alignment vertical="top"/>
    </xf>
    <xf numFmtId="38" fontId="52" fillId="0" borderId="0">
      <alignment vertical="top"/>
    </xf>
    <xf numFmtId="204" fontId="52" fillId="0" borderId="0">
      <alignment vertical="top"/>
    </xf>
    <xf numFmtId="204" fontId="52" fillId="0" borderId="0">
      <alignment vertical="top"/>
    </xf>
    <xf numFmtId="38" fontId="52" fillId="0" borderId="0">
      <alignment vertical="top"/>
    </xf>
    <xf numFmtId="204" fontId="52" fillId="0" borderId="0">
      <alignment vertical="top"/>
    </xf>
    <xf numFmtId="0" fontId="36" fillId="0" borderId="0"/>
    <xf numFmtId="0" fontId="36" fillId="0" borderId="0"/>
    <xf numFmtId="0" fontId="37" fillId="0" borderId="0"/>
    <xf numFmtId="0" fontId="37" fillId="0" borderId="0"/>
    <xf numFmtId="0" fontId="3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207" fontId="266" fillId="0" borderId="1">
      <protection locked="0"/>
    </xf>
    <xf numFmtId="0" fontId="38" fillId="0" borderId="0">
      <protection locked="0"/>
    </xf>
    <xf numFmtId="0" fontId="38" fillId="0" borderId="0">
      <protection locked="0"/>
    </xf>
    <xf numFmtId="205" fontId="266" fillId="0" borderId="0">
      <protection locked="0"/>
    </xf>
    <xf numFmtId="206" fontId="266" fillId="0" borderId="0">
      <protection locked="0"/>
    </xf>
    <xf numFmtId="0" fontId="38" fillId="0" borderId="0">
      <protection locked="0"/>
    </xf>
    <xf numFmtId="0" fontId="39" fillId="0" borderId="0">
      <protection locked="0"/>
    </xf>
    <xf numFmtId="0" fontId="39" fillId="0" borderId="0">
      <protection locked="0"/>
    </xf>
    <xf numFmtId="0" fontId="38" fillId="0" borderId="1">
      <protection locked="0"/>
    </xf>
    <xf numFmtId="177" fontId="5" fillId="0" borderId="0">
      <alignment horizontal="center"/>
    </xf>
    <xf numFmtId="0" fontId="39" fillId="0" borderId="0">
      <protection locked="0"/>
    </xf>
    <xf numFmtId="0" fontId="39" fillId="0" borderId="0">
      <protection locked="0"/>
    </xf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6" borderId="0" applyNumberFormat="0" applyBorder="0" applyAlignment="0" applyProtection="0"/>
    <xf numFmtId="0" fontId="130" fillId="6" borderId="0" applyNumberFormat="0" applyBorder="0" applyAlignment="0" applyProtection="0"/>
    <xf numFmtId="0" fontId="130" fillId="6" borderId="0" applyNumberFormat="0" applyBorder="0" applyAlignment="0" applyProtection="0"/>
    <xf numFmtId="0" fontId="130" fillId="7" borderId="0" applyNumberFormat="0" applyBorder="0" applyAlignment="0" applyProtection="0"/>
    <xf numFmtId="0" fontId="130" fillId="7" borderId="0" applyNumberFormat="0" applyBorder="0" applyAlignment="0" applyProtection="0"/>
    <xf numFmtId="0" fontId="130" fillId="7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130" fillId="9" borderId="0" applyNumberFormat="0" applyBorder="0" applyAlignment="0" applyProtection="0"/>
    <xf numFmtId="0" fontId="130" fillId="9" borderId="0" applyNumberFormat="0" applyBorder="0" applyAlignment="0" applyProtection="0"/>
    <xf numFmtId="0" fontId="130" fillId="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6" borderId="0" applyNumberFormat="0" applyBorder="0" applyAlignment="0" applyProtection="0"/>
    <xf numFmtId="0" fontId="130" fillId="6" borderId="0" applyNumberFormat="0" applyBorder="0" applyAlignment="0" applyProtection="0"/>
    <xf numFmtId="0" fontId="130" fillId="6" borderId="0" applyNumberFormat="0" applyBorder="0" applyAlignment="0" applyProtection="0"/>
    <xf numFmtId="0" fontId="130" fillId="6" borderId="0" applyNumberFormat="0" applyBorder="0" applyAlignment="0" applyProtection="0"/>
    <xf numFmtId="0" fontId="130" fillId="6" borderId="0" applyNumberFormat="0" applyBorder="0" applyAlignment="0" applyProtection="0"/>
    <xf numFmtId="0" fontId="130" fillId="6" borderId="0" applyNumberFormat="0" applyBorder="0" applyAlignment="0" applyProtection="0"/>
    <xf numFmtId="0" fontId="130" fillId="6" borderId="0" applyNumberFormat="0" applyBorder="0" applyAlignment="0" applyProtection="0"/>
    <xf numFmtId="0" fontId="130" fillId="6" borderId="0" applyNumberFormat="0" applyBorder="0" applyAlignment="0" applyProtection="0"/>
    <xf numFmtId="0" fontId="130" fillId="6" borderId="0" applyNumberFormat="0" applyBorder="0" applyAlignment="0" applyProtection="0"/>
    <xf numFmtId="0" fontId="130" fillId="6" borderId="0" applyNumberFormat="0" applyBorder="0" applyAlignment="0" applyProtection="0"/>
    <xf numFmtId="0" fontId="130" fillId="6" borderId="0" applyNumberFormat="0" applyBorder="0" applyAlignment="0" applyProtection="0"/>
    <xf numFmtId="0" fontId="130" fillId="6" borderId="0" applyNumberFormat="0" applyBorder="0" applyAlignment="0" applyProtection="0"/>
    <xf numFmtId="0" fontId="130" fillId="6" borderId="0" applyNumberFormat="0" applyBorder="0" applyAlignment="0" applyProtection="0"/>
    <xf numFmtId="0" fontId="130" fillId="6" borderId="0" applyNumberFormat="0" applyBorder="0" applyAlignment="0" applyProtection="0"/>
    <xf numFmtId="0" fontId="130" fillId="6" borderId="0" applyNumberFormat="0" applyBorder="0" applyAlignment="0" applyProtection="0"/>
    <xf numFmtId="0" fontId="130" fillId="6" borderId="0" applyNumberFormat="0" applyBorder="0" applyAlignment="0" applyProtection="0"/>
    <xf numFmtId="0" fontId="130" fillId="6" borderId="0" applyNumberFormat="0" applyBorder="0" applyAlignment="0" applyProtection="0"/>
    <xf numFmtId="0" fontId="130" fillId="6" borderId="0" applyNumberFormat="0" applyBorder="0" applyAlignment="0" applyProtection="0"/>
    <xf numFmtId="0" fontId="130" fillId="6" borderId="0" applyNumberFormat="0" applyBorder="0" applyAlignment="0" applyProtection="0"/>
    <xf numFmtId="0" fontId="130" fillId="6" borderId="0" applyNumberFormat="0" applyBorder="0" applyAlignment="0" applyProtection="0"/>
    <xf numFmtId="0" fontId="130" fillId="6" borderId="0" applyNumberFormat="0" applyBorder="0" applyAlignment="0" applyProtection="0"/>
    <xf numFmtId="0" fontId="130" fillId="6" borderId="0" applyNumberFormat="0" applyBorder="0" applyAlignment="0" applyProtection="0"/>
    <xf numFmtId="0" fontId="130" fillId="6" borderId="0" applyNumberFormat="0" applyBorder="0" applyAlignment="0" applyProtection="0"/>
    <xf numFmtId="0" fontId="130" fillId="6" borderId="0" applyNumberFormat="0" applyBorder="0" applyAlignment="0" applyProtection="0"/>
    <xf numFmtId="0" fontId="130" fillId="7" borderId="0" applyNumberFormat="0" applyBorder="0" applyAlignment="0" applyProtection="0"/>
    <xf numFmtId="0" fontId="130" fillId="7" borderId="0" applyNumberFormat="0" applyBorder="0" applyAlignment="0" applyProtection="0"/>
    <xf numFmtId="0" fontId="130" fillId="7" borderId="0" applyNumberFormat="0" applyBorder="0" applyAlignment="0" applyProtection="0"/>
    <xf numFmtId="0" fontId="130" fillId="7" borderId="0" applyNumberFormat="0" applyBorder="0" applyAlignment="0" applyProtection="0"/>
    <xf numFmtId="0" fontId="130" fillId="7" borderId="0" applyNumberFormat="0" applyBorder="0" applyAlignment="0" applyProtection="0"/>
    <xf numFmtId="0" fontId="130" fillId="7" borderId="0" applyNumberFormat="0" applyBorder="0" applyAlignment="0" applyProtection="0"/>
    <xf numFmtId="0" fontId="130" fillId="7" borderId="0" applyNumberFormat="0" applyBorder="0" applyAlignment="0" applyProtection="0"/>
    <xf numFmtId="0" fontId="130" fillId="7" borderId="0" applyNumberFormat="0" applyBorder="0" applyAlignment="0" applyProtection="0"/>
    <xf numFmtId="0" fontId="130" fillId="7" borderId="0" applyNumberFormat="0" applyBorder="0" applyAlignment="0" applyProtection="0"/>
    <xf numFmtId="0" fontId="130" fillId="7" borderId="0" applyNumberFormat="0" applyBorder="0" applyAlignment="0" applyProtection="0"/>
    <xf numFmtId="0" fontId="130" fillId="7" borderId="0" applyNumberFormat="0" applyBorder="0" applyAlignment="0" applyProtection="0"/>
    <xf numFmtId="0" fontId="130" fillId="7" borderId="0" applyNumberFormat="0" applyBorder="0" applyAlignment="0" applyProtection="0"/>
    <xf numFmtId="0" fontId="130" fillId="7" borderId="0" applyNumberFormat="0" applyBorder="0" applyAlignment="0" applyProtection="0"/>
    <xf numFmtId="0" fontId="130" fillId="7" borderId="0" applyNumberFormat="0" applyBorder="0" applyAlignment="0" applyProtection="0"/>
    <xf numFmtId="0" fontId="130" fillId="7" borderId="0" applyNumberFormat="0" applyBorder="0" applyAlignment="0" applyProtection="0"/>
    <xf numFmtId="0" fontId="130" fillId="7" borderId="0" applyNumberFormat="0" applyBorder="0" applyAlignment="0" applyProtection="0"/>
    <xf numFmtId="0" fontId="130" fillId="7" borderId="0" applyNumberFormat="0" applyBorder="0" applyAlignment="0" applyProtection="0"/>
    <xf numFmtId="0" fontId="130" fillId="7" borderId="0" applyNumberFormat="0" applyBorder="0" applyAlignment="0" applyProtection="0"/>
    <xf numFmtId="0" fontId="130" fillId="7" borderId="0" applyNumberFormat="0" applyBorder="0" applyAlignment="0" applyProtection="0"/>
    <xf numFmtId="0" fontId="130" fillId="7" borderId="0" applyNumberFormat="0" applyBorder="0" applyAlignment="0" applyProtection="0"/>
    <xf numFmtId="0" fontId="130" fillId="7" borderId="0" applyNumberFormat="0" applyBorder="0" applyAlignment="0" applyProtection="0"/>
    <xf numFmtId="0" fontId="130" fillId="7" borderId="0" applyNumberFormat="0" applyBorder="0" applyAlignment="0" applyProtection="0"/>
    <xf numFmtId="0" fontId="130" fillId="7" borderId="0" applyNumberFormat="0" applyBorder="0" applyAlignment="0" applyProtection="0"/>
    <xf numFmtId="0" fontId="130" fillId="7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130" fillId="9" borderId="0" applyNumberFormat="0" applyBorder="0" applyAlignment="0" applyProtection="0"/>
    <xf numFmtId="0" fontId="130" fillId="9" borderId="0" applyNumberFormat="0" applyBorder="0" applyAlignment="0" applyProtection="0"/>
    <xf numFmtId="0" fontId="130" fillId="9" borderId="0" applyNumberFormat="0" applyBorder="0" applyAlignment="0" applyProtection="0"/>
    <xf numFmtId="0" fontId="130" fillId="9" borderId="0" applyNumberFormat="0" applyBorder="0" applyAlignment="0" applyProtection="0"/>
    <xf numFmtId="0" fontId="130" fillId="9" borderId="0" applyNumberFormat="0" applyBorder="0" applyAlignment="0" applyProtection="0"/>
    <xf numFmtId="0" fontId="130" fillId="9" borderId="0" applyNumberFormat="0" applyBorder="0" applyAlignment="0" applyProtection="0"/>
    <xf numFmtId="0" fontId="130" fillId="9" borderId="0" applyNumberFormat="0" applyBorder="0" applyAlignment="0" applyProtection="0"/>
    <xf numFmtId="0" fontId="130" fillId="9" borderId="0" applyNumberFormat="0" applyBorder="0" applyAlignment="0" applyProtection="0"/>
    <xf numFmtId="0" fontId="130" fillId="9" borderId="0" applyNumberFormat="0" applyBorder="0" applyAlignment="0" applyProtection="0"/>
    <xf numFmtId="0" fontId="130" fillId="9" borderId="0" applyNumberFormat="0" applyBorder="0" applyAlignment="0" applyProtection="0"/>
    <xf numFmtId="0" fontId="130" fillId="9" borderId="0" applyNumberFormat="0" applyBorder="0" applyAlignment="0" applyProtection="0"/>
    <xf numFmtId="0" fontId="130" fillId="9" borderId="0" applyNumberFormat="0" applyBorder="0" applyAlignment="0" applyProtection="0"/>
    <xf numFmtId="0" fontId="130" fillId="9" borderId="0" applyNumberFormat="0" applyBorder="0" applyAlignment="0" applyProtection="0"/>
    <xf numFmtId="0" fontId="130" fillId="9" borderId="0" applyNumberFormat="0" applyBorder="0" applyAlignment="0" applyProtection="0"/>
    <xf numFmtId="0" fontId="130" fillId="9" borderId="0" applyNumberFormat="0" applyBorder="0" applyAlignment="0" applyProtection="0"/>
    <xf numFmtId="0" fontId="130" fillId="9" borderId="0" applyNumberFormat="0" applyBorder="0" applyAlignment="0" applyProtection="0"/>
    <xf numFmtId="0" fontId="130" fillId="9" borderId="0" applyNumberFormat="0" applyBorder="0" applyAlignment="0" applyProtection="0"/>
    <xf numFmtId="0" fontId="130" fillId="9" borderId="0" applyNumberFormat="0" applyBorder="0" applyAlignment="0" applyProtection="0"/>
    <xf numFmtId="0" fontId="130" fillId="9" borderId="0" applyNumberFormat="0" applyBorder="0" applyAlignment="0" applyProtection="0"/>
    <xf numFmtId="0" fontId="130" fillId="9" borderId="0" applyNumberFormat="0" applyBorder="0" applyAlignment="0" applyProtection="0"/>
    <xf numFmtId="0" fontId="130" fillId="9" borderId="0" applyNumberFormat="0" applyBorder="0" applyAlignment="0" applyProtection="0"/>
    <xf numFmtId="0" fontId="130" fillId="9" borderId="0" applyNumberFormat="0" applyBorder="0" applyAlignment="0" applyProtection="0"/>
    <xf numFmtId="0" fontId="130" fillId="9" borderId="0" applyNumberFormat="0" applyBorder="0" applyAlignment="0" applyProtection="0"/>
    <xf numFmtId="0" fontId="130" fillId="9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2" borderId="0" applyNumberFormat="0" applyBorder="0" applyAlignment="0" applyProtection="0"/>
    <xf numFmtId="0" fontId="130" fillId="12" borderId="0" applyNumberFormat="0" applyBorder="0" applyAlignment="0" applyProtection="0"/>
    <xf numFmtId="0" fontId="130" fillId="12" borderId="0" applyNumberFormat="0" applyBorder="0" applyAlignment="0" applyProtection="0"/>
    <xf numFmtId="0" fontId="130" fillId="7" borderId="0" applyNumberFormat="0" applyBorder="0" applyAlignment="0" applyProtection="0"/>
    <xf numFmtId="0" fontId="130" fillId="7" borderId="0" applyNumberFormat="0" applyBorder="0" applyAlignment="0" applyProtection="0"/>
    <xf numFmtId="0" fontId="130" fillId="7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3" borderId="0" applyNumberFormat="0" applyBorder="0" applyAlignment="0" applyProtection="0"/>
    <xf numFmtId="0" fontId="130" fillId="13" borderId="0" applyNumberFormat="0" applyBorder="0" applyAlignment="0" applyProtection="0"/>
    <xf numFmtId="0" fontId="130" fillId="13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2" borderId="0" applyNumberFormat="0" applyBorder="0" applyAlignment="0" applyProtection="0"/>
    <xf numFmtId="0" fontId="130" fillId="12" borderId="0" applyNumberFormat="0" applyBorder="0" applyAlignment="0" applyProtection="0"/>
    <xf numFmtId="0" fontId="130" fillId="12" borderId="0" applyNumberFormat="0" applyBorder="0" applyAlignment="0" applyProtection="0"/>
    <xf numFmtId="0" fontId="130" fillId="12" borderId="0" applyNumberFormat="0" applyBorder="0" applyAlignment="0" applyProtection="0"/>
    <xf numFmtId="0" fontId="130" fillId="12" borderId="0" applyNumberFormat="0" applyBorder="0" applyAlignment="0" applyProtection="0"/>
    <xf numFmtId="0" fontId="130" fillId="12" borderId="0" applyNumberFormat="0" applyBorder="0" applyAlignment="0" applyProtection="0"/>
    <xf numFmtId="0" fontId="130" fillId="12" borderId="0" applyNumberFormat="0" applyBorder="0" applyAlignment="0" applyProtection="0"/>
    <xf numFmtId="0" fontId="130" fillId="12" borderId="0" applyNumberFormat="0" applyBorder="0" applyAlignment="0" applyProtection="0"/>
    <xf numFmtId="0" fontId="130" fillId="12" borderId="0" applyNumberFormat="0" applyBorder="0" applyAlignment="0" applyProtection="0"/>
    <xf numFmtId="0" fontId="130" fillId="12" borderId="0" applyNumberFormat="0" applyBorder="0" applyAlignment="0" applyProtection="0"/>
    <xf numFmtId="0" fontId="130" fillId="12" borderId="0" applyNumberFormat="0" applyBorder="0" applyAlignment="0" applyProtection="0"/>
    <xf numFmtId="0" fontId="130" fillId="12" borderId="0" applyNumberFormat="0" applyBorder="0" applyAlignment="0" applyProtection="0"/>
    <xf numFmtId="0" fontId="130" fillId="12" borderId="0" applyNumberFormat="0" applyBorder="0" applyAlignment="0" applyProtection="0"/>
    <xf numFmtId="0" fontId="130" fillId="12" borderId="0" applyNumberFormat="0" applyBorder="0" applyAlignment="0" applyProtection="0"/>
    <xf numFmtId="0" fontId="130" fillId="12" borderId="0" applyNumberFormat="0" applyBorder="0" applyAlignment="0" applyProtection="0"/>
    <xf numFmtId="0" fontId="130" fillId="12" borderId="0" applyNumberFormat="0" applyBorder="0" applyAlignment="0" applyProtection="0"/>
    <xf numFmtId="0" fontId="130" fillId="12" borderId="0" applyNumberFormat="0" applyBorder="0" applyAlignment="0" applyProtection="0"/>
    <xf numFmtId="0" fontId="130" fillId="12" borderId="0" applyNumberFormat="0" applyBorder="0" applyAlignment="0" applyProtection="0"/>
    <xf numFmtId="0" fontId="130" fillId="12" borderId="0" applyNumberFormat="0" applyBorder="0" applyAlignment="0" applyProtection="0"/>
    <xf numFmtId="0" fontId="130" fillId="12" borderId="0" applyNumberFormat="0" applyBorder="0" applyAlignment="0" applyProtection="0"/>
    <xf numFmtId="0" fontId="130" fillId="12" borderId="0" applyNumberFormat="0" applyBorder="0" applyAlignment="0" applyProtection="0"/>
    <xf numFmtId="0" fontId="130" fillId="12" borderId="0" applyNumberFormat="0" applyBorder="0" applyAlignment="0" applyProtection="0"/>
    <xf numFmtId="0" fontId="130" fillId="12" borderId="0" applyNumberFormat="0" applyBorder="0" applyAlignment="0" applyProtection="0"/>
    <xf numFmtId="0" fontId="130" fillId="12" borderId="0" applyNumberFormat="0" applyBorder="0" applyAlignment="0" applyProtection="0"/>
    <xf numFmtId="0" fontId="130" fillId="7" borderId="0" applyNumberFormat="0" applyBorder="0" applyAlignment="0" applyProtection="0"/>
    <xf numFmtId="0" fontId="130" fillId="7" borderId="0" applyNumberFormat="0" applyBorder="0" applyAlignment="0" applyProtection="0"/>
    <xf numFmtId="0" fontId="130" fillId="7" borderId="0" applyNumberFormat="0" applyBorder="0" applyAlignment="0" applyProtection="0"/>
    <xf numFmtId="0" fontId="130" fillId="7" borderId="0" applyNumberFormat="0" applyBorder="0" applyAlignment="0" applyProtection="0"/>
    <xf numFmtId="0" fontId="130" fillId="7" borderId="0" applyNumberFormat="0" applyBorder="0" applyAlignment="0" applyProtection="0"/>
    <xf numFmtId="0" fontId="130" fillId="7" borderId="0" applyNumberFormat="0" applyBorder="0" applyAlignment="0" applyProtection="0"/>
    <xf numFmtId="0" fontId="130" fillId="7" borderId="0" applyNumberFormat="0" applyBorder="0" applyAlignment="0" applyProtection="0"/>
    <xf numFmtId="0" fontId="130" fillId="7" borderId="0" applyNumberFormat="0" applyBorder="0" applyAlignment="0" applyProtection="0"/>
    <xf numFmtId="0" fontId="130" fillId="7" borderId="0" applyNumberFormat="0" applyBorder="0" applyAlignment="0" applyProtection="0"/>
    <xf numFmtId="0" fontId="130" fillId="7" borderId="0" applyNumberFormat="0" applyBorder="0" applyAlignment="0" applyProtection="0"/>
    <xf numFmtId="0" fontId="130" fillId="7" borderId="0" applyNumberFormat="0" applyBorder="0" applyAlignment="0" applyProtection="0"/>
    <xf numFmtId="0" fontId="130" fillId="7" borderId="0" applyNumberFormat="0" applyBorder="0" applyAlignment="0" applyProtection="0"/>
    <xf numFmtId="0" fontId="130" fillId="7" borderId="0" applyNumberFormat="0" applyBorder="0" applyAlignment="0" applyProtection="0"/>
    <xf numFmtId="0" fontId="130" fillId="7" borderId="0" applyNumberFormat="0" applyBorder="0" applyAlignment="0" applyProtection="0"/>
    <xf numFmtId="0" fontId="130" fillId="7" borderId="0" applyNumberFormat="0" applyBorder="0" applyAlignment="0" applyProtection="0"/>
    <xf numFmtId="0" fontId="130" fillId="7" borderId="0" applyNumberFormat="0" applyBorder="0" applyAlignment="0" applyProtection="0"/>
    <xf numFmtId="0" fontId="130" fillId="7" borderId="0" applyNumberFormat="0" applyBorder="0" applyAlignment="0" applyProtection="0"/>
    <xf numFmtId="0" fontId="130" fillId="7" borderId="0" applyNumberFormat="0" applyBorder="0" applyAlignment="0" applyProtection="0"/>
    <xf numFmtId="0" fontId="130" fillId="7" borderId="0" applyNumberFormat="0" applyBorder="0" applyAlignment="0" applyProtection="0"/>
    <xf numFmtId="0" fontId="130" fillId="7" borderId="0" applyNumberFormat="0" applyBorder="0" applyAlignment="0" applyProtection="0"/>
    <xf numFmtId="0" fontId="130" fillId="7" borderId="0" applyNumberFormat="0" applyBorder="0" applyAlignment="0" applyProtection="0"/>
    <xf numFmtId="0" fontId="130" fillId="7" borderId="0" applyNumberFormat="0" applyBorder="0" applyAlignment="0" applyProtection="0"/>
    <xf numFmtId="0" fontId="130" fillId="7" borderId="0" applyNumberFormat="0" applyBorder="0" applyAlignment="0" applyProtection="0"/>
    <xf numFmtId="0" fontId="130" fillId="7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0" borderId="0" applyNumberFormat="0" applyBorder="0" applyAlignment="0" applyProtection="0"/>
    <xf numFmtId="0" fontId="130" fillId="13" borderId="0" applyNumberFormat="0" applyBorder="0" applyAlignment="0" applyProtection="0"/>
    <xf numFmtId="0" fontId="130" fillId="13" borderId="0" applyNumberFormat="0" applyBorder="0" applyAlignment="0" applyProtection="0"/>
    <xf numFmtId="0" fontId="130" fillId="13" borderId="0" applyNumberFormat="0" applyBorder="0" applyAlignment="0" applyProtection="0"/>
    <xf numFmtId="0" fontId="130" fillId="13" borderId="0" applyNumberFormat="0" applyBorder="0" applyAlignment="0" applyProtection="0"/>
    <xf numFmtId="0" fontId="130" fillId="13" borderId="0" applyNumberFormat="0" applyBorder="0" applyAlignment="0" applyProtection="0"/>
    <xf numFmtId="0" fontId="130" fillId="13" borderId="0" applyNumberFormat="0" applyBorder="0" applyAlignment="0" applyProtection="0"/>
    <xf numFmtId="0" fontId="130" fillId="13" borderId="0" applyNumberFormat="0" applyBorder="0" applyAlignment="0" applyProtection="0"/>
    <xf numFmtId="0" fontId="130" fillId="13" borderId="0" applyNumberFormat="0" applyBorder="0" applyAlignment="0" applyProtection="0"/>
    <xf numFmtId="0" fontId="130" fillId="13" borderId="0" applyNumberFormat="0" applyBorder="0" applyAlignment="0" applyProtection="0"/>
    <xf numFmtId="0" fontId="130" fillId="13" borderId="0" applyNumberFormat="0" applyBorder="0" applyAlignment="0" applyProtection="0"/>
    <xf numFmtId="0" fontId="130" fillId="13" borderId="0" applyNumberFormat="0" applyBorder="0" applyAlignment="0" applyProtection="0"/>
    <xf numFmtId="0" fontId="130" fillId="13" borderId="0" applyNumberFormat="0" applyBorder="0" applyAlignment="0" applyProtection="0"/>
    <xf numFmtId="0" fontId="130" fillId="13" borderId="0" applyNumberFormat="0" applyBorder="0" applyAlignment="0" applyProtection="0"/>
    <xf numFmtId="0" fontId="130" fillId="13" borderId="0" applyNumberFormat="0" applyBorder="0" applyAlignment="0" applyProtection="0"/>
    <xf numFmtId="0" fontId="130" fillId="13" borderId="0" applyNumberFormat="0" applyBorder="0" applyAlignment="0" applyProtection="0"/>
    <xf numFmtId="0" fontId="130" fillId="13" borderId="0" applyNumberFormat="0" applyBorder="0" applyAlignment="0" applyProtection="0"/>
    <xf numFmtId="0" fontId="130" fillId="13" borderId="0" applyNumberFormat="0" applyBorder="0" applyAlignment="0" applyProtection="0"/>
    <xf numFmtId="0" fontId="130" fillId="13" borderId="0" applyNumberFormat="0" applyBorder="0" applyAlignment="0" applyProtection="0"/>
    <xf numFmtId="0" fontId="130" fillId="13" borderId="0" applyNumberFormat="0" applyBorder="0" applyAlignment="0" applyProtection="0"/>
    <xf numFmtId="0" fontId="130" fillId="13" borderId="0" applyNumberFormat="0" applyBorder="0" applyAlignment="0" applyProtection="0"/>
    <xf numFmtId="0" fontId="130" fillId="13" borderId="0" applyNumberFormat="0" applyBorder="0" applyAlignment="0" applyProtection="0"/>
    <xf numFmtId="0" fontId="130" fillId="13" borderId="0" applyNumberFormat="0" applyBorder="0" applyAlignment="0" applyProtection="0"/>
    <xf numFmtId="0" fontId="130" fillId="13" borderId="0" applyNumberFormat="0" applyBorder="0" applyAlignment="0" applyProtection="0"/>
    <xf numFmtId="0" fontId="130" fillId="13" borderId="0" applyNumberFormat="0" applyBorder="0" applyAlignment="0" applyProtection="0"/>
    <xf numFmtId="0" fontId="131" fillId="14" borderId="0" applyNumberFormat="0" applyBorder="0" applyAlignment="0" applyProtection="0"/>
    <xf numFmtId="0" fontId="131" fillId="11" borderId="0" applyNumberFormat="0" applyBorder="0" applyAlignment="0" applyProtection="0"/>
    <xf numFmtId="0" fontId="131" fillId="12" borderId="0" applyNumberFormat="0" applyBorder="0" applyAlignment="0" applyProtection="0"/>
    <xf numFmtId="0" fontId="131" fillId="15" borderId="0" applyNumberFormat="0" applyBorder="0" applyAlignment="0" applyProtection="0"/>
    <xf numFmtId="0" fontId="131" fillId="16" borderId="0" applyNumberFormat="0" applyBorder="0" applyAlignment="0" applyProtection="0"/>
    <xf numFmtId="0" fontId="131" fillId="17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2" borderId="0" applyNumberFormat="0" applyBorder="0" applyAlignment="0" applyProtection="0"/>
    <xf numFmtId="0" fontId="131" fillId="12" borderId="0" applyNumberFormat="0" applyBorder="0" applyAlignment="0" applyProtection="0"/>
    <xf numFmtId="0" fontId="131" fillId="12" borderId="0" applyNumberFormat="0" applyBorder="0" applyAlignment="0" applyProtection="0"/>
    <xf numFmtId="0" fontId="131" fillId="12" borderId="0" applyNumberFormat="0" applyBorder="0" applyAlignment="0" applyProtection="0"/>
    <xf numFmtId="0" fontId="131" fillId="12" borderId="0" applyNumberFormat="0" applyBorder="0" applyAlignment="0" applyProtection="0"/>
    <xf numFmtId="0" fontId="131" fillId="12" borderId="0" applyNumberFormat="0" applyBorder="0" applyAlignment="0" applyProtection="0"/>
    <xf numFmtId="0" fontId="131" fillId="12" borderId="0" applyNumberFormat="0" applyBorder="0" applyAlignment="0" applyProtection="0"/>
    <xf numFmtId="0" fontId="131" fillId="12" borderId="0" applyNumberFormat="0" applyBorder="0" applyAlignment="0" applyProtection="0"/>
    <xf numFmtId="0" fontId="131" fillId="12" borderId="0" applyNumberFormat="0" applyBorder="0" applyAlignment="0" applyProtection="0"/>
    <xf numFmtId="0" fontId="131" fillId="12" borderId="0" applyNumberFormat="0" applyBorder="0" applyAlignment="0" applyProtection="0"/>
    <xf numFmtId="0" fontId="131" fillId="12" borderId="0" applyNumberFormat="0" applyBorder="0" applyAlignment="0" applyProtection="0"/>
    <xf numFmtId="0" fontId="131" fillId="12" borderId="0" applyNumberFormat="0" applyBorder="0" applyAlignment="0" applyProtection="0"/>
    <xf numFmtId="0" fontId="131" fillId="12" borderId="0" applyNumberFormat="0" applyBorder="0" applyAlignment="0" applyProtection="0"/>
    <xf numFmtId="0" fontId="131" fillId="12" borderId="0" applyNumberFormat="0" applyBorder="0" applyAlignment="0" applyProtection="0"/>
    <xf numFmtId="0" fontId="131" fillId="12" borderId="0" applyNumberFormat="0" applyBorder="0" applyAlignment="0" applyProtection="0"/>
    <xf numFmtId="0" fontId="131" fillId="12" borderId="0" applyNumberFormat="0" applyBorder="0" applyAlignment="0" applyProtection="0"/>
    <xf numFmtId="0" fontId="131" fillId="15" borderId="0" applyNumberFormat="0" applyBorder="0" applyAlignment="0" applyProtection="0"/>
    <xf numFmtId="0" fontId="131" fillId="15" borderId="0" applyNumberFormat="0" applyBorder="0" applyAlignment="0" applyProtection="0"/>
    <xf numFmtId="0" fontId="131" fillId="15" borderId="0" applyNumberFormat="0" applyBorder="0" applyAlignment="0" applyProtection="0"/>
    <xf numFmtId="0" fontId="131" fillId="15" borderId="0" applyNumberFormat="0" applyBorder="0" applyAlignment="0" applyProtection="0"/>
    <xf numFmtId="0" fontId="131" fillId="15" borderId="0" applyNumberFormat="0" applyBorder="0" applyAlignment="0" applyProtection="0"/>
    <xf numFmtId="0" fontId="131" fillId="15" borderId="0" applyNumberFormat="0" applyBorder="0" applyAlignment="0" applyProtection="0"/>
    <xf numFmtId="0" fontId="131" fillId="15" borderId="0" applyNumberFormat="0" applyBorder="0" applyAlignment="0" applyProtection="0"/>
    <xf numFmtId="0" fontId="131" fillId="15" borderId="0" applyNumberFormat="0" applyBorder="0" applyAlignment="0" applyProtection="0"/>
    <xf numFmtId="0" fontId="131" fillId="15" borderId="0" applyNumberFormat="0" applyBorder="0" applyAlignment="0" applyProtection="0"/>
    <xf numFmtId="0" fontId="131" fillId="15" borderId="0" applyNumberFormat="0" applyBorder="0" applyAlignment="0" applyProtection="0"/>
    <xf numFmtId="0" fontId="131" fillId="15" borderId="0" applyNumberFormat="0" applyBorder="0" applyAlignment="0" applyProtection="0"/>
    <xf numFmtId="0" fontId="131" fillId="15" borderId="0" applyNumberFormat="0" applyBorder="0" applyAlignment="0" applyProtection="0"/>
    <xf numFmtId="0" fontId="131" fillId="15" borderId="0" applyNumberFormat="0" applyBorder="0" applyAlignment="0" applyProtection="0"/>
    <xf numFmtId="0" fontId="131" fillId="15" borderId="0" applyNumberFormat="0" applyBorder="0" applyAlignment="0" applyProtection="0"/>
    <xf numFmtId="0" fontId="131" fillId="15" borderId="0" applyNumberFormat="0" applyBorder="0" applyAlignment="0" applyProtection="0"/>
    <xf numFmtId="0" fontId="131" fillId="15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7" borderId="0" applyNumberFormat="0" applyBorder="0" applyAlignment="0" applyProtection="0"/>
    <xf numFmtId="0" fontId="131" fillId="17" borderId="0" applyNumberFormat="0" applyBorder="0" applyAlignment="0" applyProtection="0"/>
    <xf numFmtId="0" fontId="131" fillId="17" borderId="0" applyNumberFormat="0" applyBorder="0" applyAlignment="0" applyProtection="0"/>
    <xf numFmtId="0" fontId="131" fillId="17" borderId="0" applyNumberFormat="0" applyBorder="0" applyAlignment="0" applyProtection="0"/>
    <xf numFmtId="0" fontId="131" fillId="17" borderId="0" applyNumberFormat="0" applyBorder="0" applyAlignment="0" applyProtection="0"/>
    <xf numFmtId="0" fontId="131" fillId="17" borderId="0" applyNumberFormat="0" applyBorder="0" applyAlignment="0" applyProtection="0"/>
    <xf numFmtId="0" fontId="131" fillId="17" borderId="0" applyNumberFormat="0" applyBorder="0" applyAlignment="0" applyProtection="0"/>
    <xf numFmtId="0" fontId="131" fillId="17" borderId="0" applyNumberFormat="0" applyBorder="0" applyAlignment="0" applyProtection="0"/>
    <xf numFmtId="0" fontId="131" fillId="17" borderId="0" applyNumberFormat="0" applyBorder="0" applyAlignment="0" applyProtection="0"/>
    <xf numFmtId="0" fontId="131" fillId="17" borderId="0" applyNumberFormat="0" applyBorder="0" applyAlignment="0" applyProtection="0"/>
    <xf numFmtId="0" fontId="131" fillId="17" borderId="0" applyNumberFormat="0" applyBorder="0" applyAlignment="0" applyProtection="0"/>
    <xf numFmtId="0" fontId="131" fillId="17" borderId="0" applyNumberFormat="0" applyBorder="0" applyAlignment="0" applyProtection="0"/>
    <xf numFmtId="0" fontId="131" fillId="17" borderId="0" applyNumberFormat="0" applyBorder="0" applyAlignment="0" applyProtection="0"/>
    <xf numFmtId="0" fontId="131" fillId="17" borderId="0" applyNumberFormat="0" applyBorder="0" applyAlignment="0" applyProtection="0"/>
    <xf numFmtId="0" fontId="131" fillId="17" borderId="0" applyNumberFormat="0" applyBorder="0" applyAlignment="0" applyProtection="0"/>
    <xf numFmtId="0" fontId="131" fillId="17" borderId="0" applyNumberFormat="0" applyBorder="0" applyAlignment="0" applyProtection="0"/>
    <xf numFmtId="178" fontId="40" fillId="0" borderId="0" applyFont="0" applyFill="0" applyBorder="0" applyAlignment="0" applyProtection="0"/>
    <xf numFmtId="174" fontId="40" fillId="0" borderId="0" applyFont="0" applyFill="0" applyBorder="0" applyAlignment="0" applyProtection="0"/>
    <xf numFmtId="0" fontId="131" fillId="18" borderId="0" applyNumberFormat="0" applyBorder="0" applyAlignment="0" applyProtection="0"/>
    <xf numFmtId="0" fontId="131" fillId="19" borderId="0" applyNumberFormat="0" applyBorder="0" applyAlignment="0" applyProtection="0"/>
    <xf numFmtId="0" fontId="131" fillId="20" borderId="0" applyNumberFormat="0" applyBorder="0" applyAlignment="0" applyProtection="0"/>
    <xf numFmtId="0" fontId="131" fillId="15" borderId="0" applyNumberFormat="0" applyBorder="0" applyAlignment="0" applyProtection="0"/>
    <xf numFmtId="0" fontId="131" fillId="16" borderId="0" applyNumberFormat="0" applyBorder="0" applyAlignment="0" applyProtection="0"/>
    <xf numFmtId="0" fontId="131" fillId="21" borderId="0" applyNumberFormat="0" applyBorder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208" fontId="19" fillId="0" borderId="2">
      <protection locked="0"/>
    </xf>
    <xf numFmtId="209" fontId="30" fillId="0" borderId="0" applyFont="0" applyFill="0" applyBorder="0" applyAlignment="0" applyProtection="0"/>
    <xf numFmtId="210" fontId="30" fillId="0" borderId="0" applyFont="0" applyFill="0" applyBorder="0" applyAlignment="0" applyProtection="0"/>
    <xf numFmtId="0" fontId="139" fillId="5" borderId="0" applyNumberFormat="0" applyBorder="0" applyAlignment="0" applyProtection="0"/>
    <xf numFmtId="0" fontId="41" fillId="0" borderId="0" applyFill="0" applyBorder="0" applyAlignment="0"/>
    <xf numFmtId="0" fontId="134" fillId="22" borderId="3" applyNumberFormat="0" applyAlignment="0" applyProtection="0"/>
    <xf numFmtId="0" fontId="136" fillId="23" borderId="4" applyNumberFormat="0" applyAlignment="0" applyProtection="0"/>
    <xf numFmtId="41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3" fontId="42" fillId="24" borderId="0" applyFont="0" applyFill="0" applyBorder="0" applyAlignment="0" applyProtection="0"/>
    <xf numFmtId="208" fontId="267" fillId="25" borderId="2"/>
    <xf numFmtId="211" fontId="48" fillId="0" borderId="0" applyFont="0" applyFill="0" applyBorder="0" applyAlignment="0" applyProtection="0"/>
    <xf numFmtId="211" fontId="48" fillId="0" borderId="0" applyFont="0" applyFill="0" applyBorder="0" applyAlignment="0" applyProtection="0"/>
    <xf numFmtId="211" fontId="48" fillId="0" borderId="0" applyFont="0" applyFill="0" applyBorder="0" applyAlignment="0" applyProtection="0"/>
    <xf numFmtId="211" fontId="48" fillId="0" borderId="0" applyFont="0" applyFill="0" applyBorder="0" applyAlignment="0" applyProtection="0"/>
    <xf numFmtId="211" fontId="48" fillId="0" borderId="0" applyFont="0" applyFill="0" applyBorder="0" applyAlignment="0" applyProtection="0"/>
    <xf numFmtId="211" fontId="48" fillId="0" borderId="0" applyFont="0" applyFill="0" applyBorder="0" applyAlignment="0" applyProtection="0"/>
    <xf numFmtId="211" fontId="48" fillId="0" borderId="0" applyFont="0" applyFill="0" applyBorder="0" applyAlignment="0" applyProtection="0"/>
    <xf numFmtId="211" fontId="48" fillId="0" borderId="0" applyFont="0" applyFill="0" applyBorder="0" applyAlignment="0" applyProtection="0"/>
    <xf numFmtId="211" fontId="48" fillId="0" borderId="0" applyFont="0" applyFill="0" applyBorder="0" applyAlignment="0" applyProtection="0"/>
    <xf numFmtId="211" fontId="48" fillId="0" borderId="0" applyFont="0" applyFill="0" applyBorder="0" applyAlignment="0" applyProtection="0"/>
    <xf numFmtId="211" fontId="48" fillId="0" borderId="0" applyFont="0" applyFill="0" applyBorder="0" applyAlignment="0" applyProtection="0"/>
    <xf numFmtId="211" fontId="48" fillId="0" borderId="0" applyFont="0" applyFill="0" applyBorder="0" applyAlignment="0" applyProtection="0"/>
    <xf numFmtId="211" fontId="48" fillId="0" borderId="0" applyFont="0" applyFill="0" applyBorder="0" applyAlignment="0" applyProtection="0"/>
    <xf numFmtId="211" fontId="48" fillId="0" borderId="0" applyFont="0" applyFill="0" applyBorder="0" applyAlignment="0" applyProtection="0"/>
    <xf numFmtId="211" fontId="48" fillId="0" borderId="0" applyFont="0" applyFill="0" applyBorder="0" applyAlignment="0" applyProtection="0"/>
    <xf numFmtId="211" fontId="48" fillId="0" borderId="0" applyFont="0" applyFill="0" applyBorder="0" applyAlignment="0" applyProtection="0"/>
    <xf numFmtId="211" fontId="48" fillId="0" borderId="0" applyFont="0" applyFill="0" applyBorder="0" applyAlignment="0" applyProtection="0"/>
    <xf numFmtId="211" fontId="48" fillId="0" borderId="0" applyFont="0" applyFill="0" applyBorder="0" applyAlignment="0" applyProtection="0"/>
    <xf numFmtId="211" fontId="48" fillId="0" borderId="0" applyFont="0" applyFill="0" applyBorder="0" applyAlignment="0" applyProtection="0"/>
    <xf numFmtId="211" fontId="48" fillId="0" borderId="0" applyFont="0" applyFill="0" applyBorder="0" applyAlignment="0" applyProtection="0"/>
    <xf numFmtId="211" fontId="48" fillId="0" borderId="0" applyFont="0" applyFill="0" applyBorder="0" applyAlignment="0" applyProtection="0"/>
    <xf numFmtId="211" fontId="48" fillId="0" borderId="0" applyFont="0" applyFill="0" applyBorder="0" applyAlignment="0" applyProtection="0"/>
    <xf numFmtId="211" fontId="48" fillId="0" borderId="0" applyFont="0" applyFill="0" applyBorder="0" applyAlignment="0" applyProtection="0"/>
    <xf numFmtId="211" fontId="48" fillId="0" borderId="0" applyFont="0" applyFill="0" applyBorder="0" applyAlignment="0" applyProtection="0"/>
    <xf numFmtId="211" fontId="48" fillId="0" borderId="0" applyFont="0" applyFill="0" applyBorder="0" applyAlignment="0" applyProtection="0"/>
    <xf numFmtId="211" fontId="48" fillId="0" borderId="0" applyFont="0" applyFill="0" applyBorder="0" applyAlignment="0" applyProtection="0"/>
    <xf numFmtId="211" fontId="48" fillId="0" borderId="0" applyFont="0" applyFill="0" applyBorder="0" applyAlignment="0" applyProtection="0"/>
    <xf numFmtId="211" fontId="48" fillId="0" borderId="0" applyFont="0" applyFill="0" applyBorder="0" applyAlignment="0" applyProtection="0"/>
    <xf numFmtId="211" fontId="48" fillId="0" borderId="0" applyFont="0" applyFill="0" applyBorder="0" applyAlignment="0" applyProtection="0"/>
    <xf numFmtId="211" fontId="48" fillId="0" borderId="0" applyFont="0" applyFill="0" applyBorder="0" applyAlignment="0" applyProtection="0"/>
    <xf numFmtId="211" fontId="48" fillId="0" borderId="0" applyFont="0" applyFill="0" applyBorder="0" applyAlignment="0" applyProtection="0"/>
    <xf numFmtId="211" fontId="48" fillId="0" borderId="0" applyFont="0" applyFill="0" applyBorder="0" applyAlignment="0" applyProtection="0"/>
    <xf numFmtId="211" fontId="48" fillId="0" borderId="0" applyFont="0" applyFill="0" applyBorder="0" applyAlignment="0" applyProtection="0"/>
    <xf numFmtId="211" fontId="48" fillId="0" borderId="0" applyFont="0" applyFill="0" applyBorder="0" applyAlignment="0" applyProtection="0"/>
    <xf numFmtId="211" fontId="48" fillId="0" borderId="0" applyFont="0" applyFill="0" applyBorder="0" applyAlignment="0" applyProtection="0"/>
    <xf numFmtId="211" fontId="48" fillId="0" borderId="0" applyFont="0" applyFill="0" applyBorder="0" applyAlignment="0" applyProtection="0"/>
    <xf numFmtId="211" fontId="48" fillId="0" borderId="0" applyFont="0" applyFill="0" applyBorder="0" applyAlignment="0" applyProtection="0"/>
    <xf numFmtId="211" fontId="48" fillId="0" borderId="0" applyFont="0" applyFill="0" applyBorder="0" applyAlignment="0" applyProtection="0"/>
    <xf numFmtId="211" fontId="48" fillId="0" borderId="0" applyFont="0" applyFill="0" applyBorder="0" applyAlignment="0" applyProtection="0"/>
    <xf numFmtId="42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179" fontId="40" fillId="24" borderId="0" applyFont="0" applyFill="0" applyBorder="0" applyAlignment="0" applyProtection="0"/>
    <xf numFmtId="0" fontId="42" fillId="24" borderId="0" applyFont="0" applyFill="0" applyBorder="0" applyAlignment="0" applyProtection="0"/>
    <xf numFmtId="14" fontId="27" fillId="0" borderId="0">
      <alignment vertical="top"/>
    </xf>
    <xf numFmtId="204" fontId="268" fillId="0" borderId="0">
      <alignment vertical="top"/>
    </xf>
    <xf numFmtId="180" fontId="5" fillId="0" borderId="0" applyFont="0" applyFill="0" applyBorder="0" applyAlignment="0" applyProtection="0"/>
    <xf numFmtId="0" fontId="140" fillId="0" borderId="0" applyNumberFormat="0" applyFill="0" applyBorder="0" applyAlignment="0" applyProtection="0"/>
    <xf numFmtId="164" fontId="269" fillId="0" borderId="0" applyFill="0" applyBorder="0" applyAlignment="0" applyProtection="0"/>
    <xf numFmtId="164" fontId="52" fillId="0" borderId="0" applyFill="0" applyBorder="0" applyAlignment="0" applyProtection="0"/>
    <xf numFmtId="164" fontId="270" fillId="0" borderId="0" applyFill="0" applyBorder="0" applyAlignment="0" applyProtection="0"/>
    <xf numFmtId="164" fontId="271" fillId="0" borderId="0" applyFill="0" applyBorder="0" applyAlignment="0" applyProtection="0"/>
    <xf numFmtId="164" fontId="272" fillId="0" borderId="0" applyFill="0" applyBorder="0" applyAlignment="0" applyProtection="0"/>
    <xf numFmtId="164" fontId="273" fillId="0" borderId="0" applyFill="0" applyBorder="0" applyAlignment="0" applyProtection="0"/>
    <xf numFmtId="164" fontId="274" fillId="0" borderId="0" applyFill="0" applyBorder="0" applyAlignment="0" applyProtection="0"/>
    <xf numFmtId="2" fontId="42" fillId="24" borderId="0" applyFon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143" fillId="6" borderId="0" applyNumberFormat="0" applyBorder="0" applyAlignment="0" applyProtection="0"/>
    <xf numFmtId="0" fontId="44" fillId="0" borderId="5" applyNumberFormat="0" applyAlignment="0" applyProtection="0">
      <alignment horizontal="left" vertical="center"/>
    </xf>
    <xf numFmtId="0" fontId="44" fillId="0" borderId="6">
      <alignment horizontal="left" vertical="center"/>
    </xf>
    <xf numFmtId="0" fontId="275" fillId="0" borderId="0">
      <alignment vertical="top"/>
    </xf>
    <xf numFmtId="0" fontId="45" fillId="24" borderId="0" applyNumberFormat="0" applyFill="0" applyBorder="0" applyAlignment="0" applyProtection="0"/>
    <xf numFmtId="0" fontId="46" fillId="24" borderId="0" applyNumberFormat="0" applyFill="0" applyBorder="0" applyAlignment="0" applyProtection="0"/>
    <xf numFmtId="0" fontId="135" fillId="0" borderId="7" applyNumberFormat="0" applyFill="0" applyAlignment="0" applyProtection="0"/>
    <xf numFmtId="0" fontId="135" fillId="0" borderId="0" applyNumberFormat="0" applyFill="0" applyBorder="0" applyAlignment="0" applyProtection="0"/>
    <xf numFmtId="204" fontId="102" fillId="0" borderId="0">
      <alignment vertical="top"/>
    </xf>
    <xf numFmtId="0" fontId="47" fillId="0" borderId="0" applyNumberFormat="0" applyFill="0" applyBorder="0" applyAlignment="0" applyProtection="0">
      <alignment vertical="top"/>
      <protection locked="0"/>
    </xf>
    <xf numFmtId="0" fontId="48" fillId="0" borderId="0"/>
    <xf numFmtId="208" fontId="276" fillId="0" borderId="0"/>
    <xf numFmtId="0" fontId="35" fillId="0" borderId="0" applyNumberFormat="0" applyFill="0" applyBorder="0" applyAlignment="0" applyProtection="0">
      <alignment vertical="top"/>
      <protection locked="0"/>
    </xf>
    <xf numFmtId="0" fontId="132" fillId="9" borderId="3" applyNumberFormat="0" applyAlignment="0" applyProtection="0"/>
    <xf numFmtId="204" fontId="265" fillId="0" borderId="0">
      <alignment vertical="top"/>
    </xf>
    <xf numFmtId="204" fontId="265" fillId="2" borderId="0">
      <alignment vertical="top"/>
    </xf>
    <xf numFmtId="212" fontId="265" fillId="3" borderId="0">
      <alignment vertical="top"/>
    </xf>
    <xf numFmtId="38" fontId="265" fillId="0" borderId="0">
      <alignment vertical="top"/>
    </xf>
    <xf numFmtId="0" fontId="7" fillId="0" borderId="0" applyNumberFormat="0" applyFill="0" applyBorder="0" applyAlignment="0" applyProtection="0">
      <alignment vertical="top"/>
      <protection locked="0"/>
    </xf>
    <xf numFmtId="0" fontId="49" fillId="0" borderId="0">
      <alignment vertical="center"/>
    </xf>
    <xf numFmtId="181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50" fillId="0" borderId="0" applyProtection="0">
      <alignment vertical="center"/>
      <protection locked="0"/>
    </xf>
    <xf numFmtId="0" fontId="50" fillId="0" borderId="0" applyNumberFormat="0" applyProtection="0">
      <alignment vertical="top"/>
      <protection locked="0"/>
    </xf>
    <xf numFmtId="0" fontId="51" fillId="0" borderId="8" applyAlignment="0"/>
    <xf numFmtId="0" fontId="141" fillId="0" borderId="9" applyNumberFormat="0" applyFill="0" applyAlignment="0" applyProtection="0"/>
    <xf numFmtId="0" fontId="138" fillId="26" borderId="0" applyNumberFormat="0" applyBorder="0" applyAlignment="0" applyProtection="0"/>
    <xf numFmtId="0" fontId="277" fillId="0" borderId="0" applyNumberFormat="0" applyFill="0" applyBorder="0" applyAlignment="0" applyProtection="0"/>
    <xf numFmtId="0" fontId="30" fillId="0" borderId="0"/>
    <xf numFmtId="0" fontId="277" fillId="0" borderId="0" applyNumberFormat="0" applyFill="0" applyBorder="0" applyAlignment="0" applyProtection="0"/>
    <xf numFmtId="0" fontId="277" fillId="0" borderId="0" applyNumberFormat="0" applyFill="0" applyBorder="0" applyAlignment="0" applyProtection="0"/>
    <xf numFmtId="0" fontId="277" fillId="0" borderId="0" applyNumberFormat="0" applyFill="0" applyBorder="0" applyAlignment="0" applyProtection="0"/>
    <xf numFmtId="0" fontId="277" fillId="0" borderId="0" applyNumberFormat="0" applyFill="0" applyBorder="0" applyAlignment="0" applyProtection="0"/>
    <xf numFmtId="0" fontId="277" fillId="0" borderId="0" applyNumberFormat="0" applyFill="0" applyBorder="0" applyAlignment="0" applyProtection="0"/>
    <xf numFmtId="0" fontId="277" fillId="0" borderId="0" applyNumberFormat="0" applyFill="0" applyBorder="0" applyAlignment="0" applyProtection="0"/>
    <xf numFmtId="0" fontId="277" fillId="0" borderId="0" applyNumberFormat="0" applyFill="0" applyBorder="0" applyAlignment="0" applyProtection="0"/>
    <xf numFmtId="0" fontId="12" fillId="0" borderId="0"/>
    <xf numFmtId="0" fontId="278" fillId="0" borderId="0"/>
    <xf numFmtId="0" fontId="36" fillId="0" borderId="0"/>
    <xf numFmtId="0" fontId="30" fillId="27" borderId="10" applyNumberFormat="0" applyFont="0" applyAlignment="0" applyProtection="0"/>
    <xf numFmtId="182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5" fontId="5" fillId="0" borderId="0" applyFont="0" applyFill="0" applyBorder="0" applyAlignment="0" applyProtection="0"/>
    <xf numFmtId="213" fontId="30" fillId="0" borderId="0" applyFont="0" applyFill="0" applyBorder="0" applyAlignment="0" applyProtection="0"/>
    <xf numFmtId="186" fontId="5" fillId="0" borderId="0" applyFont="0" applyFill="0" applyBorder="0" applyAlignment="0" applyProtection="0"/>
    <xf numFmtId="214" fontId="30" fillId="0" borderId="0" applyFont="0" applyFill="0" applyBorder="0" applyAlignment="0" applyProtection="0"/>
    <xf numFmtId="187" fontId="5" fillId="0" borderId="0" applyFont="0" applyFill="0" applyBorder="0" applyAlignment="0" applyProtection="0"/>
    <xf numFmtId="188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8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133" fillId="22" borderId="11" applyNumberFormat="0" applyAlignment="0" applyProtection="0"/>
    <xf numFmtId="0" fontId="52" fillId="24" borderId="0" applyFill="0" applyBorder="0" applyProtection="0">
      <alignment horizontal="center"/>
    </xf>
    <xf numFmtId="0" fontId="53" fillId="0" borderId="0"/>
    <xf numFmtId="0" fontId="279" fillId="0" borderId="0" applyNumberFormat="0">
      <alignment horizontal="left"/>
    </xf>
    <xf numFmtId="0" fontId="53" fillId="0" borderId="0"/>
    <xf numFmtId="0" fontId="54" fillId="0" borderId="0" applyProtection="0"/>
    <xf numFmtId="4" fontId="280" fillId="28" borderId="11" applyNumberFormat="0" applyProtection="0">
      <alignment vertical="center"/>
    </xf>
    <xf numFmtId="4" fontId="281" fillId="28" borderId="11" applyNumberFormat="0" applyProtection="0">
      <alignment vertical="center"/>
    </xf>
    <xf numFmtId="4" fontId="280" fillId="28" borderId="11" applyNumberFormat="0" applyProtection="0">
      <alignment horizontal="left" vertical="center" indent="1"/>
    </xf>
    <xf numFmtId="4" fontId="280" fillId="28" borderId="11" applyNumberFormat="0" applyProtection="0">
      <alignment horizontal="left" vertical="center" indent="1"/>
    </xf>
    <xf numFmtId="0" fontId="42" fillId="29" borderId="11" applyNumberFormat="0" applyProtection="0">
      <alignment horizontal="left" vertical="center" indent="1"/>
    </xf>
    <xf numFmtId="4" fontId="280" fillId="30" borderId="11" applyNumberFormat="0" applyProtection="0">
      <alignment horizontal="right" vertical="center"/>
    </xf>
    <xf numFmtId="4" fontId="280" fillId="31" borderId="11" applyNumberFormat="0" applyProtection="0">
      <alignment horizontal="right" vertical="center"/>
    </xf>
    <xf numFmtId="4" fontId="280" fillId="32" borderId="11" applyNumberFormat="0" applyProtection="0">
      <alignment horizontal="right" vertical="center"/>
    </xf>
    <xf numFmtId="4" fontId="280" fillId="33" borderId="11" applyNumberFormat="0" applyProtection="0">
      <alignment horizontal="right" vertical="center"/>
    </xf>
    <xf numFmtId="4" fontId="280" fillId="34" borderId="11" applyNumberFormat="0" applyProtection="0">
      <alignment horizontal="right" vertical="center"/>
    </xf>
    <xf numFmtId="4" fontId="280" fillId="35" borderId="11" applyNumberFormat="0" applyProtection="0">
      <alignment horizontal="right" vertical="center"/>
    </xf>
    <xf numFmtId="4" fontId="280" fillId="36" borderId="11" applyNumberFormat="0" applyProtection="0">
      <alignment horizontal="right" vertical="center"/>
    </xf>
    <xf numFmtId="4" fontId="280" fillId="37" borderId="11" applyNumberFormat="0" applyProtection="0">
      <alignment horizontal="right" vertical="center"/>
    </xf>
    <xf numFmtId="4" fontId="280" fillId="38" borderId="11" applyNumberFormat="0" applyProtection="0">
      <alignment horizontal="right" vertical="center"/>
    </xf>
    <xf numFmtId="4" fontId="282" fillId="39" borderId="11" applyNumberFormat="0" applyProtection="0">
      <alignment horizontal="left" vertical="center" indent="1"/>
    </xf>
    <xf numFmtId="4" fontId="280" fillId="40" borderId="12" applyNumberFormat="0" applyProtection="0">
      <alignment horizontal="left" vertical="center" indent="1"/>
    </xf>
    <xf numFmtId="4" fontId="283" fillId="41" borderId="0" applyNumberFormat="0" applyProtection="0">
      <alignment horizontal="left" vertical="center" indent="1"/>
    </xf>
    <xf numFmtId="0" fontId="42" fillId="29" borderId="11" applyNumberFormat="0" applyProtection="0">
      <alignment horizontal="left" vertical="center" indent="1"/>
    </xf>
    <xf numFmtId="4" fontId="284" fillId="40" borderId="11" applyNumberFormat="0" applyProtection="0">
      <alignment horizontal="left" vertical="center" indent="1"/>
    </xf>
    <xf numFmtId="4" fontId="284" fillId="42" borderId="11" applyNumberFormat="0" applyProtection="0">
      <alignment horizontal="left" vertical="center" indent="1"/>
    </xf>
    <xf numFmtId="0" fontId="42" fillId="42" borderId="11" applyNumberFormat="0" applyProtection="0">
      <alignment horizontal="left" vertical="center" indent="1"/>
    </xf>
    <xf numFmtId="0" fontId="42" fillId="42" borderId="11" applyNumberFormat="0" applyProtection="0">
      <alignment horizontal="left" vertical="center" indent="1"/>
    </xf>
    <xf numFmtId="0" fontId="42" fillId="43" borderId="11" applyNumberFormat="0" applyProtection="0">
      <alignment horizontal="left" vertical="center" indent="1"/>
    </xf>
    <xf numFmtId="0" fontId="42" fillId="43" borderId="11" applyNumberFormat="0" applyProtection="0">
      <alignment horizontal="left" vertical="center" indent="1"/>
    </xf>
    <xf numFmtId="0" fontId="42" fillId="2" borderId="11" applyNumberFormat="0" applyProtection="0">
      <alignment horizontal="left" vertical="center" indent="1"/>
    </xf>
    <xf numFmtId="0" fontId="42" fillId="2" borderId="11" applyNumberFormat="0" applyProtection="0">
      <alignment horizontal="left" vertical="center" indent="1"/>
    </xf>
    <xf numFmtId="0" fontId="42" fillId="29" borderId="11" applyNumberFormat="0" applyProtection="0">
      <alignment horizontal="left" vertical="center" indent="1"/>
    </xf>
    <xf numFmtId="0" fontId="42" fillId="29" borderId="11" applyNumberFormat="0" applyProtection="0">
      <alignment horizontal="left" vertical="center" indent="1"/>
    </xf>
    <xf numFmtId="0" fontId="30" fillId="0" borderId="0"/>
    <xf numFmtId="4" fontId="280" fillId="44" borderId="11" applyNumberFormat="0" applyProtection="0">
      <alignment vertical="center"/>
    </xf>
    <xf numFmtId="4" fontId="281" fillId="44" borderId="11" applyNumberFormat="0" applyProtection="0">
      <alignment vertical="center"/>
    </xf>
    <xf numFmtId="4" fontId="280" fillId="44" borderId="11" applyNumberFormat="0" applyProtection="0">
      <alignment horizontal="left" vertical="center" indent="1"/>
    </xf>
    <xf numFmtId="4" fontId="280" fillId="44" borderId="11" applyNumberFormat="0" applyProtection="0">
      <alignment horizontal="left" vertical="center" indent="1"/>
    </xf>
    <xf numFmtId="4" fontId="280" fillId="40" borderId="11" applyNumberFormat="0" applyProtection="0">
      <alignment horizontal="right" vertical="center"/>
    </xf>
    <xf numFmtId="4" fontId="281" fillId="40" borderId="11" applyNumberFormat="0" applyProtection="0">
      <alignment horizontal="right" vertical="center"/>
    </xf>
    <xf numFmtId="0" fontId="42" fillId="29" borderId="11" applyNumberFormat="0" applyProtection="0">
      <alignment horizontal="left" vertical="center" indent="1"/>
    </xf>
    <xf numFmtId="0" fontId="42" fillId="29" borderId="11" applyNumberFormat="0" applyProtection="0">
      <alignment horizontal="left" vertical="center" indent="1"/>
    </xf>
    <xf numFmtId="0" fontId="285" fillId="0" borderId="0"/>
    <xf numFmtId="4" fontId="286" fillId="40" borderId="11" applyNumberFormat="0" applyProtection="0">
      <alignment horizontal="right" vertical="center"/>
    </xf>
    <xf numFmtId="0" fontId="42" fillId="0" borderId="0"/>
    <xf numFmtId="0" fontId="37" fillId="0" borderId="0"/>
    <xf numFmtId="204" fontId="191" fillId="45" borderId="0">
      <alignment horizontal="right" vertical="top"/>
    </xf>
    <xf numFmtId="0" fontId="137" fillId="0" borderId="0" applyNumberFormat="0" applyFill="0" applyBorder="0" applyAlignment="0" applyProtection="0"/>
    <xf numFmtId="0" fontId="42" fillId="24" borderId="13" applyNumberFormat="0" applyFont="0" applyFill="0" applyAlignment="0" applyProtection="0"/>
    <xf numFmtId="0" fontId="55" fillId="0" borderId="0"/>
    <xf numFmtId="190" fontId="40" fillId="0" borderId="0" applyFont="0" applyFill="0" applyBorder="0" applyAlignment="0" applyProtection="0"/>
    <xf numFmtId="191" fontId="40" fillId="0" borderId="0" applyFont="0" applyFill="0" applyBorder="0" applyAlignment="0" applyProtection="0"/>
    <xf numFmtId="181" fontId="42" fillId="0" borderId="0" applyFont="0" applyFill="0" applyBorder="0" applyAlignment="0" applyProtection="0"/>
    <xf numFmtId="0" fontId="55" fillId="0" borderId="0"/>
    <xf numFmtId="0" fontId="142" fillId="0" borderId="0" applyNumberFormat="0" applyFill="0" applyBorder="0" applyAlignment="0" applyProtection="0"/>
    <xf numFmtId="0" fontId="131" fillId="18" borderId="0" applyNumberFormat="0" applyBorder="0" applyAlignment="0" applyProtection="0"/>
    <xf numFmtId="0" fontId="131" fillId="18" borderId="0" applyNumberFormat="0" applyBorder="0" applyAlignment="0" applyProtection="0"/>
    <xf numFmtId="0" fontId="131" fillId="18" borderId="0" applyNumberFormat="0" applyBorder="0" applyAlignment="0" applyProtection="0"/>
    <xf numFmtId="0" fontId="131" fillId="18" borderId="0" applyNumberFormat="0" applyBorder="0" applyAlignment="0" applyProtection="0"/>
    <xf numFmtId="0" fontId="131" fillId="18" borderId="0" applyNumberFormat="0" applyBorder="0" applyAlignment="0" applyProtection="0"/>
    <xf numFmtId="0" fontId="131" fillId="18" borderId="0" applyNumberFormat="0" applyBorder="0" applyAlignment="0" applyProtection="0"/>
    <xf numFmtId="0" fontId="131" fillId="18" borderId="0" applyNumberFormat="0" applyBorder="0" applyAlignment="0" applyProtection="0"/>
    <xf numFmtId="0" fontId="131" fillId="18" borderId="0" applyNumberFormat="0" applyBorder="0" applyAlignment="0" applyProtection="0"/>
    <xf numFmtId="0" fontId="131" fillId="18" borderId="0" applyNumberFormat="0" applyBorder="0" applyAlignment="0" applyProtection="0"/>
    <xf numFmtId="0" fontId="131" fillId="18" borderId="0" applyNumberFormat="0" applyBorder="0" applyAlignment="0" applyProtection="0"/>
    <xf numFmtId="0" fontId="131" fillId="18" borderId="0" applyNumberFormat="0" applyBorder="0" applyAlignment="0" applyProtection="0"/>
    <xf numFmtId="0" fontId="131" fillId="18" borderId="0" applyNumberFormat="0" applyBorder="0" applyAlignment="0" applyProtection="0"/>
    <xf numFmtId="0" fontId="131" fillId="18" borderId="0" applyNumberFormat="0" applyBorder="0" applyAlignment="0" applyProtection="0"/>
    <xf numFmtId="0" fontId="131" fillId="18" borderId="0" applyNumberFormat="0" applyBorder="0" applyAlignment="0" applyProtection="0"/>
    <xf numFmtId="0" fontId="131" fillId="18" borderId="0" applyNumberFormat="0" applyBorder="0" applyAlignment="0" applyProtection="0"/>
    <xf numFmtId="0" fontId="131" fillId="18" borderId="0" applyNumberFormat="0" applyBorder="0" applyAlignment="0" applyProtection="0"/>
    <xf numFmtId="0" fontId="131" fillId="19" borderId="0" applyNumberFormat="0" applyBorder="0" applyAlignment="0" applyProtection="0"/>
    <xf numFmtId="0" fontId="131" fillId="19" borderId="0" applyNumberFormat="0" applyBorder="0" applyAlignment="0" applyProtection="0"/>
    <xf numFmtId="0" fontId="131" fillId="19" borderId="0" applyNumberFormat="0" applyBorder="0" applyAlignment="0" applyProtection="0"/>
    <xf numFmtId="0" fontId="131" fillId="19" borderId="0" applyNumberFormat="0" applyBorder="0" applyAlignment="0" applyProtection="0"/>
    <xf numFmtId="0" fontId="131" fillId="19" borderId="0" applyNumberFormat="0" applyBorder="0" applyAlignment="0" applyProtection="0"/>
    <xf numFmtId="0" fontId="131" fillId="19" borderId="0" applyNumberFormat="0" applyBorder="0" applyAlignment="0" applyProtection="0"/>
    <xf numFmtId="0" fontId="131" fillId="19" borderId="0" applyNumberFormat="0" applyBorder="0" applyAlignment="0" applyProtection="0"/>
    <xf numFmtId="0" fontId="131" fillId="19" borderId="0" applyNumberFormat="0" applyBorder="0" applyAlignment="0" applyProtection="0"/>
    <xf numFmtId="0" fontId="131" fillId="19" borderId="0" applyNumberFormat="0" applyBorder="0" applyAlignment="0" applyProtection="0"/>
    <xf numFmtId="0" fontId="131" fillId="19" borderId="0" applyNumberFormat="0" applyBorder="0" applyAlignment="0" applyProtection="0"/>
    <xf numFmtId="0" fontId="131" fillId="19" borderId="0" applyNumberFormat="0" applyBorder="0" applyAlignment="0" applyProtection="0"/>
    <xf numFmtId="0" fontId="131" fillId="19" borderId="0" applyNumberFormat="0" applyBorder="0" applyAlignment="0" applyProtection="0"/>
    <xf numFmtId="0" fontId="131" fillId="19" borderId="0" applyNumberFormat="0" applyBorder="0" applyAlignment="0" applyProtection="0"/>
    <xf numFmtId="0" fontId="131" fillId="19" borderId="0" applyNumberFormat="0" applyBorder="0" applyAlignment="0" applyProtection="0"/>
    <xf numFmtId="0" fontId="131" fillId="19" borderId="0" applyNumberFormat="0" applyBorder="0" applyAlignment="0" applyProtection="0"/>
    <xf numFmtId="0" fontId="131" fillId="19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15" borderId="0" applyNumberFormat="0" applyBorder="0" applyAlignment="0" applyProtection="0"/>
    <xf numFmtId="0" fontId="131" fillId="15" borderId="0" applyNumberFormat="0" applyBorder="0" applyAlignment="0" applyProtection="0"/>
    <xf numFmtId="0" fontId="131" fillId="15" borderId="0" applyNumberFormat="0" applyBorder="0" applyAlignment="0" applyProtection="0"/>
    <xf numFmtId="0" fontId="131" fillId="15" borderId="0" applyNumberFormat="0" applyBorder="0" applyAlignment="0" applyProtection="0"/>
    <xf numFmtId="0" fontId="131" fillId="15" borderId="0" applyNumberFormat="0" applyBorder="0" applyAlignment="0" applyProtection="0"/>
    <xf numFmtId="0" fontId="131" fillId="15" borderId="0" applyNumberFormat="0" applyBorder="0" applyAlignment="0" applyProtection="0"/>
    <xf numFmtId="0" fontId="131" fillId="15" borderId="0" applyNumberFormat="0" applyBorder="0" applyAlignment="0" applyProtection="0"/>
    <xf numFmtId="0" fontId="131" fillId="15" borderId="0" applyNumberFormat="0" applyBorder="0" applyAlignment="0" applyProtection="0"/>
    <xf numFmtId="0" fontId="131" fillId="15" borderId="0" applyNumberFormat="0" applyBorder="0" applyAlignment="0" applyProtection="0"/>
    <xf numFmtId="0" fontId="131" fillId="15" borderId="0" applyNumberFormat="0" applyBorder="0" applyAlignment="0" applyProtection="0"/>
    <xf numFmtId="0" fontId="131" fillId="15" borderId="0" applyNumberFormat="0" applyBorder="0" applyAlignment="0" applyProtection="0"/>
    <xf numFmtId="0" fontId="131" fillId="15" borderId="0" applyNumberFormat="0" applyBorder="0" applyAlignment="0" applyProtection="0"/>
    <xf numFmtId="0" fontId="131" fillId="15" borderId="0" applyNumberFormat="0" applyBorder="0" applyAlignment="0" applyProtection="0"/>
    <xf numFmtId="0" fontId="131" fillId="15" borderId="0" applyNumberFormat="0" applyBorder="0" applyAlignment="0" applyProtection="0"/>
    <xf numFmtId="0" fontId="131" fillId="15" borderId="0" applyNumberFormat="0" applyBorder="0" applyAlignment="0" applyProtection="0"/>
    <xf numFmtId="0" fontId="131" fillId="15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21" borderId="0" applyNumberFormat="0" applyBorder="0" applyAlignment="0" applyProtection="0"/>
    <xf numFmtId="0" fontId="131" fillId="21" borderId="0" applyNumberFormat="0" applyBorder="0" applyAlignment="0" applyProtection="0"/>
    <xf numFmtId="0" fontId="131" fillId="21" borderId="0" applyNumberFormat="0" applyBorder="0" applyAlignment="0" applyProtection="0"/>
    <xf numFmtId="0" fontId="131" fillId="21" borderId="0" applyNumberFormat="0" applyBorder="0" applyAlignment="0" applyProtection="0"/>
    <xf numFmtId="0" fontId="131" fillId="21" borderId="0" applyNumberFormat="0" applyBorder="0" applyAlignment="0" applyProtection="0"/>
    <xf numFmtId="0" fontId="131" fillId="21" borderId="0" applyNumberFormat="0" applyBorder="0" applyAlignment="0" applyProtection="0"/>
    <xf numFmtId="0" fontId="131" fillId="21" borderId="0" applyNumberFormat="0" applyBorder="0" applyAlignment="0" applyProtection="0"/>
    <xf numFmtId="0" fontId="131" fillId="21" borderId="0" applyNumberFormat="0" applyBorder="0" applyAlignment="0" applyProtection="0"/>
    <xf numFmtId="0" fontId="131" fillId="21" borderId="0" applyNumberFormat="0" applyBorder="0" applyAlignment="0" applyProtection="0"/>
    <xf numFmtId="0" fontId="131" fillId="21" borderId="0" applyNumberFormat="0" applyBorder="0" applyAlignment="0" applyProtection="0"/>
    <xf numFmtId="0" fontId="131" fillId="21" borderId="0" applyNumberFormat="0" applyBorder="0" applyAlignment="0" applyProtection="0"/>
    <xf numFmtId="0" fontId="131" fillId="21" borderId="0" applyNumberFormat="0" applyBorder="0" applyAlignment="0" applyProtection="0"/>
    <xf numFmtId="0" fontId="131" fillId="21" borderId="0" applyNumberFormat="0" applyBorder="0" applyAlignment="0" applyProtection="0"/>
    <xf numFmtId="0" fontId="131" fillId="21" borderId="0" applyNumberFormat="0" applyBorder="0" applyAlignment="0" applyProtection="0"/>
    <xf numFmtId="0" fontId="131" fillId="21" borderId="0" applyNumberFormat="0" applyBorder="0" applyAlignment="0" applyProtection="0"/>
    <xf numFmtId="0" fontId="131" fillId="21" borderId="0" applyNumberFormat="0" applyBorder="0" applyAlignment="0" applyProtection="0"/>
    <xf numFmtId="208" fontId="19" fillId="0" borderId="2">
      <protection locked="0"/>
    </xf>
    <xf numFmtId="0" fontId="132" fillId="9" borderId="3" applyNumberFormat="0" applyAlignment="0" applyProtection="0"/>
    <xf numFmtId="0" fontId="132" fillId="9" borderId="3" applyNumberFormat="0" applyAlignment="0" applyProtection="0"/>
    <xf numFmtId="0" fontId="132" fillId="9" borderId="3" applyNumberFormat="0" applyAlignment="0" applyProtection="0"/>
    <xf numFmtId="0" fontId="132" fillId="9" borderId="3" applyNumberFormat="0" applyAlignment="0" applyProtection="0"/>
    <xf numFmtId="0" fontId="132" fillId="9" borderId="3" applyNumberFormat="0" applyAlignment="0" applyProtection="0"/>
    <xf numFmtId="0" fontId="132" fillId="9" borderId="3" applyNumberFormat="0" applyAlignment="0" applyProtection="0"/>
    <xf numFmtId="0" fontId="132" fillId="9" borderId="3" applyNumberFormat="0" applyAlignment="0" applyProtection="0"/>
    <xf numFmtId="0" fontId="132" fillId="9" borderId="3" applyNumberFormat="0" applyAlignment="0" applyProtection="0"/>
    <xf numFmtId="0" fontId="132" fillId="9" borderId="3" applyNumberFormat="0" applyAlignment="0" applyProtection="0"/>
    <xf numFmtId="0" fontId="132" fillId="9" borderId="3" applyNumberFormat="0" applyAlignment="0" applyProtection="0"/>
    <xf numFmtId="0" fontId="132" fillId="9" borderId="3" applyNumberFormat="0" applyAlignment="0" applyProtection="0"/>
    <xf numFmtId="0" fontId="132" fillId="9" borderId="3" applyNumberFormat="0" applyAlignment="0" applyProtection="0"/>
    <xf numFmtId="0" fontId="132" fillId="9" borderId="3" applyNumberFormat="0" applyAlignment="0" applyProtection="0"/>
    <xf numFmtId="0" fontId="132" fillId="9" borderId="3" applyNumberFormat="0" applyAlignment="0" applyProtection="0"/>
    <xf numFmtId="0" fontId="132" fillId="9" borderId="3" applyNumberFormat="0" applyAlignment="0" applyProtection="0"/>
    <xf numFmtId="0" fontId="132" fillId="9" borderId="3" applyNumberFormat="0" applyAlignment="0" applyProtection="0"/>
    <xf numFmtId="0" fontId="132" fillId="9" borderId="3" applyNumberFormat="0" applyAlignment="0" applyProtection="0"/>
    <xf numFmtId="0" fontId="132" fillId="9" borderId="3" applyNumberFormat="0" applyAlignment="0" applyProtection="0"/>
    <xf numFmtId="0" fontId="132" fillId="9" borderId="3" applyNumberFormat="0" applyAlignment="0" applyProtection="0"/>
    <xf numFmtId="0" fontId="132" fillId="9" borderId="3" applyNumberFormat="0" applyAlignment="0" applyProtection="0"/>
    <xf numFmtId="0" fontId="132" fillId="9" borderId="3" applyNumberFormat="0" applyAlignment="0" applyProtection="0"/>
    <xf numFmtId="0" fontId="132" fillId="9" borderId="3" applyNumberFormat="0" applyAlignment="0" applyProtection="0"/>
    <xf numFmtId="0" fontId="132" fillId="9" borderId="3" applyNumberFormat="0" applyAlignment="0" applyProtection="0"/>
    <xf numFmtId="0" fontId="132" fillId="9" borderId="3" applyNumberFormat="0" applyAlignment="0" applyProtection="0"/>
    <xf numFmtId="0" fontId="133" fillId="22" borderId="11" applyNumberFormat="0" applyAlignment="0" applyProtection="0"/>
    <xf numFmtId="0" fontId="133" fillId="22" borderId="11" applyNumberFormat="0" applyAlignment="0" applyProtection="0"/>
    <xf numFmtId="0" fontId="133" fillId="22" borderId="11" applyNumberFormat="0" applyAlignment="0" applyProtection="0"/>
    <xf numFmtId="0" fontId="133" fillId="22" borderId="11" applyNumberFormat="0" applyAlignment="0" applyProtection="0"/>
    <xf numFmtId="0" fontId="133" fillId="22" borderId="11" applyNumberFormat="0" applyAlignment="0" applyProtection="0"/>
    <xf numFmtId="0" fontId="133" fillId="22" borderId="11" applyNumberFormat="0" applyAlignment="0" applyProtection="0"/>
    <xf numFmtId="0" fontId="133" fillId="22" borderId="11" applyNumberFormat="0" applyAlignment="0" applyProtection="0"/>
    <xf numFmtId="0" fontId="133" fillId="22" borderId="11" applyNumberFormat="0" applyAlignment="0" applyProtection="0"/>
    <xf numFmtId="0" fontId="133" fillId="22" borderId="11" applyNumberFormat="0" applyAlignment="0" applyProtection="0"/>
    <xf numFmtId="0" fontId="133" fillId="22" borderId="11" applyNumberFormat="0" applyAlignment="0" applyProtection="0"/>
    <xf numFmtId="0" fontId="133" fillId="22" borderId="11" applyNumberFormat="0" applyAlignment="0" applyProtection="0"/>
    <xf numFmtId="0" fontId="133" fillId="22" borderId="11" applyNumberFormat="0" applyAlignment="0" applyProtection="0"/>
    <xf numFmtId="0" fontId="133" fillId="22" borderId="11" applyNumberFormat="0" applyAlignment="0" applyProtection="0"/>
    <xf numFmtId="0" fontId="133" fillId="22" borderId="11" applyNumberFormat="0" applyAlignment="0" applyProtection="0"/>
    <xf numFmtId="0" fontId="133" fillId="22" borderId="11" applyNumberFormat="0" applyAlignment="0" applyProtection="0"/>
    <xf numFmtId="0" fontId="133" fillId="22" borderId="11" applyNumberFormat="0" applyAlignment="0" applyProtection="0"/>
    <xf numFmtId="0" fontId="133" fillId="22" borderId="11" applyNumberFormat="0" applyAlignment="0" applyProtection="0"/>
    <xf numFmtId="0" fontId="133" fillId="22" borderId="11" applyNumberFormat="0" applyAlignment="0" applyProtection="0"/>
    <xf numFmtId="0" fontId="133" fillId="22" borderId="11" applyNumberFormat="0" applyAlignment="0" applyProtection="0"/>
    <xf numFmtId="0" fontId="133" fillId="22" borderId="11" applyNumberFormat="0" applyAlignment="0" applyProtection="0"/>
    <xf numFmtId="0" fontId="133" fillId="22" borderId="11" applyNumberFormat="0" applyAlignment="0" applyProtection="0"/>
    <xf numFmtId="0" fontId="133" fillId="22" borderId="11" applyNumberFormat="0" applyAlignment="0" applyProtection="0"/>
    <xf numFmtId="0" fontId="133" fillId="22" borderId="11" applyNumberFormat="0" applyAlignment="0" applyProtection="0"/>
    <xf numFmtId="0" fontId="133" fillId="22" borderId="11" applyNumberFormat="0" applyAlignment="0" applyProtection="0"/>
    <xf numFmtId="0" fontId="134" fillId="22" borderId="3" applyNumberFormat="0" applyAlignment="0" applyProtection="0"/>
    <xf numFmtId="0" fontId="134" fillId="22" borderId="3" applyNumberFormat="0" applyAlignment="0" applyProtection="0"/>
    <xf numFmtId="0" fontId="134" fillId="22" borderId="3" applyNumberFormat="0" applyAlignment="0" applyProtection="0"/>
    <xf numFmtId="0" fontId="134" fillId="22" borderId="3" applyNumberFormat="0" applyAlignment="0" applyProtection="0"/>
    <xf numFmtId="0" fontId="134" fillId="22" borderId="3" applyNumberFormat="0" applyAlignment="0" applyProtection="0"/>
    <xf numFmtId="0" fontId="134" fillId="22" borderId="3" applyNumberFormat="0" applyAlignment="0" applyProtection="0"/>
    <xf numFmtId="0" fontId="134" fillId="22" borderId="3" applyNumberFormat="0" applyAlignment="0" applyProtection="0"/>
    <xf numFmtId="0" fontId="134" fillId="22" borderId="3" applyNumberFormat="0" applyAlignment="0" applyProtection="0"/>
    <xf numFmtId="0" fontId="134" fillId="22" borderId="3" applyNumberFormat="0" applyAlignment="0" applyProtection="0"/>
    <xf numFmtId="0" fontId="134" fillId="22" borderId="3" applyNumberFormat="0" applyAlignment="0" applyProtection="0"/>
    <xf numFmtId="0" fontId="134" fillId="22" borderId="3" applyNumberFormat="0" applyAlignment="0" applyProtection="0"/>
    <xf numFmtId="0" fontId="134" fillId="22" borderId="3" applyNumberFormat="0" applyAlignment="0" applyProtection="0"/>
    <xf numFmtId="0" fontId="134" fillId="22" borderId="3" applyNumberFormat="0" applyAlignment="0" applyProtection="0"/>
    <xf numFmtId="0" fontId="134" fillId="22" borderId="3" applyNumberFormat="0" applyAlignment="0" applyProtection="0"/>
    <xf numFmtId="0" fontId="134" fillId="22" borderId="3" applyNumberFormat="0" applyAlignment="0" applyProtection="0"/>
    <xf numFmtId="0" fontId="134" fillId="22" borderId="3" applyNumberFormat="0" applyAlignment="0" applyProtection="0"/>
    <xf numFmtId="0" fontId="134" fillId="22" borderId="3" applyNumberFormat="0" applyAlignment="0" applyProtection="0"/>
    <xf numFmtId="0" fontId="134" fillId="22" borderId="3" applyNumberFormat="0" applyAlignment="0" applyProtection="0"/>
    <xf numFmtId="0" fontId="134" fillId="22" borderId="3" applyNumberFormat="0" applyAlignment="0" applyProtection="0"/>
    <xf numFmtId="0" fontId="134" fillId="22" borderId="3" applyNumberFormat="0" applyAlignment="0" applyProtection="0"/>
    <xf numFmtId="0" fontId="134" fillId="22" borderId="3" applyNumberFormat="0" applyAlignment="0" applyProtection="0"/>
    <xf numFmtId="0" fontId="134" fillId="22" borderId="3" applyNumberFormat="0" applyAlignment="0" applyProtection="0"/>
    <xf numFmtId="0" fontId="134" fillId="22" borderId="3" applyNumberFormat="0" applyAlignment="0" applyProtection="0"/>
    <xf numFmtId="0" fontId="134" fillId="22" borderId="3" applyNumberFormat="0" applyAlignment="0" applyProtection="0"/>
    <xf numFmtId="0" fontId="61" fillId="0" borderId="0" applyNumberFormat="0" applyFill="0" applyBorder="0" applyAlignment="0" applyProtection="0">
      <alignment vertical="top"/>
      <protection locked="0"/>
    </xf>
    <xf numFmtId="0" fontId="287" fillId="0" borderId="0" applyNumberFormat="0" applyFill="0" applyBorder="0" applyAlignment="0" applyProtection="0">
      <alignment vertical="top"/>
      <protection locked="0"/>
    </xf>
    <xf numFmtId="0" fontId="277" fillId="0" borderId="0" applyNumberFormat="0" applyFill="0" applyBorder="0" applyAlignment="0" applyProtection="0"/>
    <xf numFmtId="0" fontId="277" fillId="0" borderId="0" applyNumberFormat="0" applyFill="0" applyBorder="0" applyAlignment="0" applyProtection="0"/>
    <xf numFmtId="0" fontId="277" fillId="0" borderId="0" applyNumberFormat="0" applyFill="0" applyBorder="0" applyAlignment="0" applyProtection="0"/>
    <xf numFmtId="0" fontId="277" fillId="0" borderId="0" applyNumberFormat="0" applyFill="0" applyBorder="0" applyAlignment="0" applyProtection="0"/>
    <xf numFmtId="0" fontId="277" fillId="0" borderId="0" applyNumberFormat="0" applyFill="0" applyBorder="0" applyAlignment="0" applyProtection="0"/>
    <xf numFmtId="0" fontId="277" fillId="0" borderId="0" applyNumberFormat="0" applyFill="0" applyBorder="0" applyAlignment="0" applyProtection="0"/>
    <xf numFmtId="0" fontId="277" fillId="0" borderId="0" applyNumberFormat="0" applyFill="0" applyBorder="0" applyAlignment="0" applyProtection="0"/>
    <xf numFmtId="0" fontId="277" fillId="0" borderId="0" applyNumberFormat="0" applyFill="0" applyBorder="0" applyAlignment="0" applyProtection="0"/>
    <xf numFmtId="0" fontId="277" fillId="0" borderId="0" applyNumberFormat="0" applyFill="0" applyBorder="0" applyAlignment="0" applyProtection="0"/>
    <xf numFmtId="44" fontId="5" fillId="0" borderId="0" applyFont="0" applyFill="0" applyBorder="0" applyAlignment="0" applyProtection="0"/>
    <xf numFmtId="44" fontId="56" fillId="0" borderId="0" applyFont="0" applyFill="0" applyBorder="0" applyAlignment="0" applyProtection="0"/>
    <xf numFmtId="0" fontId="127" fillId="0" borderId="0" applyBorder="0">
      <alignment horizontal="center" vertical="center" wrapText="1"/>
    </xf>
    <xf numFmtId="0" fontId="188" fillId="0" borderId="14" applyNumberFormat="0" applyFill="0" applyAlignment="0" applyProtection="0"/>
    <xf numFmtId="0" fontId="188" fillId="0" borderId="14" applyNumberFormat="0" applyFill="0" applyAlignment="0" applyProtection="0"/>
    <xf numFmtId="0" fontId="188" fillId="0" borderId="14" applyNumberFormat="0" applyFill="0" applyAlignment="0" applyProtection="0"/>
    <xf numFmtId="0" fontId="188" fillId="0" borderId="14" applyNumberFormat="0" applyFill="0" applyAlignment="0" applyProtection="0"/>
    <xf numFmtId="0" fontId="188" fillId="0" borderId="14" applyNumberFormat="0" applyFill="0" applyAlignment="0" applyProtection="0"/>
    <xf numFmtId="0" fontId="188" fillId="0" borderId="14" applyNumberFormat="0" applyFill="0" applyAlignment="0" applyProtection="0"/>
    <xf numFmtId="0" fontId="188" fillId="0" borderId="14" applyNumberFormat="0" applyFill="0" applyAlignment="0" applyProtection="0"/>
    <xf numFmtId="0" fontId="188" fillId="0" borderId="14" applyNumberFormat="0" applyFill="0" applyAlignment="0" applyProtection="0"/>
    <xf numFmtId="0" fontId="188" fillId="0" borderId="14" applyNumberFormat="0" applyFill="0" applyAlignment="0" applyProtection="0"/>
    <xf numFmtId="0" fontId="188" fillId="0" borderId="14" applyNumberFormat="0" applyFill="0" applyAlignment="0" applyProtection="0"/>
    <xf numFmtId="0" fontId="188" fillId="0" borderId="14" applyNumberFormat="0" applyFill="0" applyAlignment="0" applyProtection="0"/>
    <xf numFmtId="0" fontId="188" fillId="0" borderId="14" applyNumberFormat="0" applyFill="0" applyAlignment="0" applyProtection="0"/>
    <xf numFmtId="0" fontId="188" fillId="0" borderId="14" applyNumberFormat="0" applyFill="0" applyAlignment="0" applyProtection="0"/>
    <xf numFmtId="0" fontId="188" fillId="0" borderId="14" applyNumberFormat="0" applyFill="0" applyAlignment="0" applyProtection="0"/>
    <xf numFmtId="0" fontId="188" fillId="0" borderId="14" applyNumberFormat="0" applyFill="0" applyAlignment="0" applyProtection="0"/>
    <xf numFmtId="0" fontId="188" fillId="0" borderId="14" applyNumberFormat="0" applyFill="0" applyAlignment="0" applyProtection="0"/>
    <xf numFmtId="0" fontId="188" fillId="0" borderId="14" applyNumberFormat="0" applyFill="0" applyAlignment="0" applyProtection="0"/>
    <xf numFmtId="0" fontId="188" fillId="0" borderId="14" applyNumberFormat="0" applyFill="0" applyAlignment="0" applyProtection="0"/>
    <xf numFmtId="0" fontId="188" fillId="0" borderId="14" applyNumberFormat="0" applyFill="0" applyAlignment="0" applyProtection="0"/>
    <xf numFmtId="0" fontId="188" fillId="0" borderId="14" applyNumberFormat="0" applyFill="0" applyAlignment="0" applyProtection="0"/>
    <xf numFmtId="0" fontId="188" fillId="0" borderId="14" applyNumberFormat="0" applyFill="0" applyAlignment="0" applyProtection="0"/>
    <xf numFmtId="0" fontId="188" fillId="0" borderId="14" applyNumberFormat="0" applyFill="0" applyAlignment="0" applyProtection="0"/>
    <xf numFmtId="0" fontId="188" fillId="0" borderId="14" applyNumberFormat="0" applyFill="0" applyAlignment="0" applyProtection="0"/>
    <xf numFmtId="0" fontId="188" fillId="0" borderId="14" applyNumberFormat="0" applyFill="0" applyAlignment="0" applyProtection="0"/>
    <xf numFmtId="0" fontId="189" fillId="0" borderId="15" applyNumberFormat="0" applyFill="0" applyAlignment="0" applyProtection="0"/>
    <xf numFmtId="0" fontId="189" fillId="0" borderId="15" applyNumberFormat="0" applyFill="0" applyAlignment="0" applyProtection="0"/>
    <xf numFmtId="0" fontId="189" fillId="0" borderId="15" applyNumberFormat="0" applyFill="0" applyAlignment="0" applyProtection="0"/>
    <xf numFmtId="0" fontId="189" fillId="0" borderId="15" applyNumberFormat="0" applyFill="0" applyAlignment="0" applyProtection="0"/>
    <xf numFmtId="0" fontId="189" fillId="0" borderId="15" applyNumberFormat="0" applyFill="0" applyAlignment="0" applyProtection="0"/>
    <xf numFmtId="0" fontId="189" fillId="0" borderId="15" applyNumberFormat="0" applyFill="0" applyAlignment="0" applyProtection="0"/>
    <xf numFmtId="0" fontId="189" fillId="0" borderId="15" applyNumberFormat="0" applyFill="0" applyAlignment="0" applyProtection="0"/>
    <xf numFmtId="0" fontId="189" fillId="0" borderId="15" applyNumberFormat="0" applyFill="0" applyAlignment="0" applyProtection="0"/>
    <xf numFmtId="0" fontId="189" fillId="0" borderId="15" applyNumberFormat="0" applyFill="0" applyAlignment="0" applyProtection="0"/>
    <xf numFmtId="0" fontId="189" fillId="0" borderId="15" applyNumberFormat="0" applyFill="0" applyAlignment="0" applyProtection="0"/>
    <xf numFmtId="0" fontId="189" fillId="0" borderId="15" applyNumberFormat="0" applyFill="0" applyAlignment="0" applyProtection="0"/>
    <xf numFmtId="0" fontId="189" fillId="0" borderId="15" applyNumberFormat="0" applyFill="0" applyAlignment="0" applyProtection="0"/>
    <xf numFmtId="0" fontId="189" fillId="0" borderId="15" applyNumberFormat="0" applyFill="0" applyAlignment="0" applyProtection="0"/>
    <xf numFmtId="0" fontId="189" fillId="0" borderId="15" applyNumberFormat="0" applyFill="0" applyAlignment="0" applyProtection="0"/>
    <xf numFmtId="0" fontId="189" fillId="0" borderId="15" applyNumberFormat="0" applyFill="0" applyAlignment="0" applyProtection="0"/>
    <xf numFmtId="0" fontId="189" fillId="0" borderId="15" applyNumberFormat="0" applyFill="0" applyAlignment="0" applyProtection="0"/>
    <xf numFmtId="0" fontId="189" fillId="0" borderId="15" applyNumberFormat="0" applyFill="0" applyAlignment="0" applyProtection="0"/>
    <xf numFmtId="0" fontId="189" fillId="0" borderId="15" applyNumberFormat="0" applyFill="0" applyAlignment="0" applyProtection="0"/>
    <xf numFmtId="0" fontId="189" fillId="0" borderId="15" applyNumberFormat="0" applyFill="0" applyAlignment="0" applyProtection="0"/>
    <xf numFmtId="0" fontId="189" fillId="0" borderId="15" applyNumberFormat="0" applyFill="0" applyAlignment="0" applyProtection="0"/>
    <xf numFmtId="0" fontId="189" fillId="0" borderId="15" applyNumberFormat="0" applyFill="0" applyAlignment="0" applyProtection="0"/>
    <xf numFmtId="0" fontId="189" fillId="0" borderId="15" applyNumberFormat="0" applyFill="0" applyAlignment="0" applyProtection="0"/>
    <xf numFmtId="0" fontId="189" fillId="0" borderId="15" applyNumberFormat="0" applyFill="0" applyAlignment="0" applyProtection="0"/>
    <xf numFmtId="0" fontId="189" fillId="0" borderId="15" applyNumberFormat="0" applyFill="0" applyAlignment="0" applyProtection="0"/>
    <xf numFmtId="0" fontId="135" fillId="0" borderId="7" applyNumberFormat="0" applyFill="0" applyAlignment="0" applyProtection="0"/>
    <xf numFmtId="0" fontId="135" fillId="0" borderId="7" applyNumberFormat="0" applyFill="0" applyAlignment="0" applyProtection="0"/>
    <xf numFmtId="0" fontId="135" fillId="0" borderId="7" applyNumberFormat="0" applyFill="0" applyAlignment="0" applyProtection="0"/>
    <xf numFmtId="0" fontId="135" fillId="0" borderId="7" applyNumberFormat="0" applyFill="0" applyAlignment="0" applyProtection="0"/>
    <xf numFmtId="0" fontId="135" fillId="0" borderId="7" applyNumberFormat="0" applyFill="0" applyAlignment="0" applyProtection="0"/>
    <xf numFmtId="0" fontId="135" fillId="0" borderId="7" applyNumberFormat="0" applyFill="0" applyAlignment="0" applyProtection="0"/>
    <xf numFmtId="0" fontId="135" fillId="0" borderId="7" applyNumberFormat="0" applyFill="0" applyAlignment="0" applyProtection="0"/>
    <xf numFmtId="0" fontId="135" fillId="0" borderId="7" applyNumberFormat="0" applyFill="0" applyAlignment="0" applyProtection="0"/>
    <xf numFmtId="0" fontId="135" fillId="0" borderId="7" applyNumberFormat="0" applyFill="0" applyAlignment="0" applyProtection="0"/>
    <xf numFmtId="0" fontId="135" fillId="0" borderId="7" applyNumberFormat="0" applyFill="0" applyAlignment="0" applyProtection="0"/>
    <xf numFmtId="0" fontId="135" fillId="0" borderId="7" applyNumberFormat="0" applyFill="0" applyAlignment="0" applyProtection="0"/>
    <xf numFmtId="0" fontId="135" fillId="0" borderId="7" applyNumberFormat="0" applyFill="0" applyAlignment="0" applyProtection="0"/>
    <xf numFmtId="0" fontId="135" fillId="0" borderId="7" applyNumberFormat="0" applyFill="0" applyAlignment="0" applyProtection="0"/>
    <xf numFmtId="0" fontId="135" fillId="0" borderId="7" applyNumberFormat="0" applyFill="0" applyAlignment="0" applyProtection="0"/>
    <xf numFmtId="0" fontId="135" fillId="0" borderId="7" applyNumberFormat="0" applyFill="0" applyAlignment="0" applyProtection="0"/>
    <xf numFmtId="0" fontId="135" fillId="0" borderId="7" applyNumberFormat="0" applyFill="0" applyAlignment="0" applyProtection="0"/>
    <xf numFmtId="0" fontId="135" fillId="0" borderId="7" applyNumberFormat="0" applyFill="0" applyAlignment="0" applyProtection="0"/>
    <xf numFmtId="0" fontId="135" fillId="0" borderId="7" applyNumberFormat="0" applyFill="0" applyAlignment="0" applyProtection="0"/>
    <xf numFmtId="0" fontId="135" fillId="0" borderId="7" applyNumberFormat="0" applyFill="0" applyAlignment="0" applyProtection="0"/>
    <xf numFmtId="0" fontId="135" fillId="0" borderId="7" applyNumberFormat="0" applyFill="0" applyAlignment="0" applyProtection="0"/>
    <xf numFmtId="0" fontId="135" fillId="0" borderId="7" applyNumberFormat="0" applyFill="0" applyAlignment="0" applyProtection="0"/>
    <xf numFmtId="0" fontId="135" fillId="0" borderId="7" applyNumberFormat="0" applyFill="0" applyAlignment="0" applyProtection="0"/>
    <xf numFmtId="0" fontId="135" fillId="0" borderId="7" applyNumberFormat="0" applyFill="0" applyAlignment="0" applyProtection="0"/>
    <xf numFmtId="0" fontId="135" fillId="0" borderId="7" applyNumberFormat="0" applyFill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27" fillId="0" borderId="0" applyBorder="0">
      <alignment horizontal="center" vertical="center" wrapText="1"/>
    </xf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28" fillId="0" borderId="16" applyBorder="0">
      <alignment horizontal="center" vertical="center" wrapText="1"/>
    </xf>
    <xf numFmtId="208" fontId="267" fillId="25" borderId="2"/>
    <xf numFmtId="4" fontId="129" fillId="28" borderId="17" applyBorder="0">
      <alignment horizontal="right"/>
    </xf>
    <xf numFmtId="49" fontId="156" fillId="0" borderId="0" applyBorder="0">
      <alignment vertical="center"/>
    </xf>
    <xf numFmtId="0" fontId="190" fillId="0" borderId="18" applyNumberFormat="0" applyFill="0" applyAlignment="0" applyProtection="0"/>
    <xf numFmtId="0" fontId="190" fillId="0" borderId="18" applyNumberFormat="0" applyFill="0" applyAlignment="0" applyProtection="0"/>
    <xf numFmtId="0" fontId="190" fillId="0" borderId="18" applyNumberFormat="0" applyFill="0" applyAlignment="0" applyProtection="0"/>
    <xf numFmtId="0" fontId="190" fillId="0" borderId="18" applyNumberFormat="0" applyFill="0" applyAlignment="0" applyProtection="0"/>
    <xf numFmtId="0" fontId="190" fillId="0" borderId="18" applyNumberFormat="0" applyFill="0" applyAlignment="0" applyProtection="0"/>
    <xf numFmtId="0" fontId="190" fillId="0" borderId="18" applyNumberFormat="0" applyFill="0" applyAlignment="0" applyProtection="0"/>
    <xf numFmtId="0" fontId="190" fillId="0" borderId="18" applyNumberFormat="0" applyFill="0" applyAlignment="0" applyProtection="0"/>
    <xf numFmtId="0" fontId="190" fillId="0" borderId="18" applyNumberFormat="0" applyFill="0" applyAlignment="0" applyProtection="0"/>
    <xf numFmtId="0" fontId="190" fillId="0" borderId="18" applyNumberFormat="0" applyFill="0" applyAlignment="0" applyProtection="0"/>
    <xf numFmtId="0" fontId="190" fillId="0" borderId="18" applyNumberFormat="0" applyFill="0" applyAlignment="0" applyProtection="0"/>
    <xf numFmtId="0" fontId="190" fillId="0" borderId="18" applyNumberFormat="0" applyFill="0" applyAlignment="0" applyProtection="0"/>
    <xf numFmtId="0" fontId="190" fillId="0" borderId="18" applyNumberFormat="0" applyFill="0" applyAlignment="0" applyProtection="0"/>
    <xf numFmtId="0" fontId="190" fillId="0" borderId="18" applyNumberFormat="0" applyFill="0" applyAlignment="0" applyProtection="0"/>
    <xf numFmtId="0" fontId="190" fillId="0" borderId="18" applyNumberFormat="0" applyFill="0" applyAlignment="0" applyProtection="0"/>
    <xf numFmtId="0" fontId="190" fillId="0" borderId="18" applyNumberFormat="0" applyFill="0" applyAlignment="0" applyProtection="0"/>
    <xf numFmtId="0" fontId="190" fillId="0" borderId="18" applyNumberFormat="0" applyFill="0" applyAlignment="0" applyProtection="0"/>
    <xf numFmtId="0" fontId="190" fillId="0" borderId="18" applyNumberFormat="0" applyFill="0" applyAlignment="0" applyProtection="0"/>
    <xf numFmtId="0" fontId="190" fillId="0" borderId="18" applyNumberFormat="0" applyFill="0" applyAlignment="0" applyProtection="0"/>
    <xf numFmtId="0" fontId="190" fillId="0" borderId="18" applyNumberFormat="0" applyFill="0" applyAlignment="0" applyProtection="0"/>
    <xf numFmtId="0" fontId="190" fillId="0" borderId="18" applyNumberFormat="0" applyFill="0" applyAlignment="0" applyProtection="0"/>
    <xf numFmtId="0" fontId="190" fillId="0" borderId="18" applyNumberFormat="0" applyFill="0" applyAlignment="0" applyProtection="0"/>
    <xf numFmtId="0" fontId="190" fillId="0" borderId="18" applyNumberFormat="0" applyFill="0" applyAlignment="0" applyProtection="0"/>
    <xf numFmtId="0" fontId="190" fillId="0" borderId="18" applyNumberFormat="0" applyFill="0" applyAlignment="0" applyProtection="0"/>
    <xf numFmtId="0" fontId="190" fillId="0" borderId="18" applyNumberFormat="0" applyFill="0" applyAlignment="0" applyProtection="0"/>
    <xf numFmtId="3" fontId="267" fillId="0" borderId="17" applyBorder="0">
      <alignment vertical="center"/>
    </xf>
    <xf numFmtId="0" fontId="277" fillId="0" borderId="1" applyNumberFormat="0" applyFill="0" applyAlignment="0" applyProtection="0"/>
    <xf numFmtId="0" fontId="277" fillId="0" borderId="1" applyNumberFormat="0" applyFill="0" applyAlignment="0" applyProtection="0"/>
    <xf numFmtId="0" fontId="277" fillId="0" borderId="1" applyNumberFormat="0" applyFill="0" applyAlignment="0" applyProtection="0"/>
    <xf numFmtId="0" fontId="277" fillId="0" borderId="1" applyNumberFormat="0" applyFill="0" applyAlignment="0" applyProtection="0"/>
    <xf numFmtId="0" fontId="277" fillId="0" borderId="1" applyNumberFormat="0" applyFill="0" applyAlignment="0" applyProtection="0"/>
    <xf numFmtId="0" fontId="277" fillId="0" borderId="1" applyNumberFormat="0" applyFill="0" applyAlignment="0" applyProtection="0"/>
    <xf numFmtId="0" fontId="277" fillId="0" borderId="1" applyNumberFormat="0" applyFill="0" applyAlignment="0" applyProtection="0"/>
    <xf numFmtId="0" fontId="277" fillId="0" borderId="1" applyNumberFormat="0" applyFill="0" applyAlignment="0" applyProtection="0"/>
    <xf numFmtId="0" fontId="277" fillId="0" borderId="1" applyNumberFormat="0" applyFill="0" applyAlignment="0" applyProtection="0"/>
    <xf numFmtId="0" fontId="136" fillId="23" borderId="4" applyNumberFormat="0" applyAlignment="0" applyProtection="0"/>
    <xf numFmtId="0" fontId="136" fillId="23" borderId="4" applyNumberFormat="0" applyAlignment="0" applyProtection="0"/>
    <xf numFmtId="0" fontId="136" fillId="23" borderId="4" applyNumberFormat="0" applyAlignment="0" applyProtection="0"/>
    <xf numFmtId="0" fontId="136" fillId="23" borderId="4" applyNumberFormat="0" applyAlignment="0" applyProtection="0"/>
    <xf numFmtId="0" fontId="136" fillId="23" borderId="4" applyNumberFormat="0" applyAlignment="0" applyProtection="0"/>
    <xf numFmtId="0" fontId="136" fillId="23" borderId="4" applyNumberFormat="0" applyAlignment="0" applyProtection="0"/>
    <xf numFmtId="0" fontId="136" fillId="23" borderId="4" applyNumberFormat="0" applyAlignment="0" applyProtection="0"/>
    <xf numFmtId="0" fontId="136" fillId="23" borderId="4" applyNumberFormat="0" applyAlignment="0" applyProtection="0"/>
    <xf numFmtId="0" fontId="136" fillId="23" borderId="4" applyNumberFormat="0" applyAlignment="0" applyProtection="0"/>
    <xf numFmtId="0" fontId="136" fillId="23" borderId="4" applyNumberFormat="0" applyAlignment="0" applyProtection="0"/>
    <xf numFmtId="0" fontId="136" fillId="23" borderId="4" applyNumberFormat="0" applyAlignment="0" applyProtection="0"/>
    <xf numFmtId="0" fontId="136" fillId="23" borderId="4" applyNumberFormat="0" applyAlignment="0" applyProtection="0"/>
    <xf numFmtId="0" fontId="136" fillId="23" borderId="4" applyNumberFormat="0" applyAlignment="0" applyProtection="0"/>
    <xf numFmtId="0" fontId="136" fillId="23" borderId="4" applyNumberFormat="0" applyAlignment="0" applyProtection="0"/>
    <xf numFmtId="0" fontId="136" fillId="23" borderId="4" applyNumberFormat="0" applyAlignment="0" applyProtection="0"/>
    <xf numFmtId="0" fontId="136" fillId="23" borderId="4" applyNumberFormat="0" applyAlignment="0" applyProtection="0"/>
    <xf numFmtId="0" fontId="136" fillId="23" borderId="4" applyNumberFormat="0" applyAlignment="0" applyProtection="0"/>
    <xf numFmtId="0" fontId="136" fillId="23" borderId="4" applyNumberFormat="0" applyAlignment="0" applyProtection="0"/>
    <xf numFmtId="0" fontId="136" fillId="23" borderId="4" applyNumberFormat="0" applyAlignment="0" applyProtection="0"/>
    <xf numFmtId="0" fontId="136" fillId="23" borderId="4" applyNumberFormat="0" applyAlignment="0" applyProtection="0"/>
    <xf numFmtId="0" fontId="136" fillId="23" borderId="4" applyNumberFormat="0" applyAlignment="0" applyProtection="0"/>
    <xf numFmtId="0" fontId="136" fillId="23" borderId="4" applyNumberFormat="0" applyAlignment="0" applyProtection="0"/>
    <xf numFmtId="0" fontId="136" fillId="23" borderId="4" applyNumberFormat="0" applyAlignment="0" applyProtection="0"/>
    <xf numFmtId="0" fontId="136" fillId="23" borderId="4" applyNumberFormat="0" applyAlignment="0" applyProtection="0"/>
    <xf numFmtId="0" fontId="40" fillId="0" borderId="0">
      <alignment vertical="center"/>
    </xf>
    <xf numFmtId="0" fontId="277" fillId="3" borderId="0" applyFill="0">
      <alignment wrapText="1"/>
    </xf>
    <xf numFmtId="0" fontId="277" fillId="3" borderId="0" applyFill="0">
      <alignment wrapText="1"/>
    </xf>
    <xf numFmtId="0" fontId="277" fillId="3" borderId="0" applyFill="0">
      <alignment wrapText="1"/>
    </xf>
    <xf numFmtId="0" fontId="277" fillId="3" borderId="0" applyFill="0">
      <alignment wrapText="1"/>
    </xf>
    <xf numFmtId="0" fontId="277" fillId="3" borderId="0" applyFill="0">
      <alignment wrapText="1"/>
    </xf>
    <xf numFmtId="0" fontId="277" fillId="3" borderId="0" applyFill="0">
      <alignment wrapText="1"/>
    </xf>
    <xf numFmtId="0" fontId="277" fillId="3" borderId="0" applyFill="0">
      <alignment wrapText="1"/>
    </xf>
    <xf numFmtId="0" fontId="277" fillId="3" borderId="0" applyFill="0">
      <alignment wrapText="1"/>
    </xf>
    <xf numFmtId="0" fontId="277" fillId="3" borderId="0" applyFill="0">
      <alignment wrapText="1"/>
    </xf>
    <xf numFmtId="0" fontId="277" fillId="3" borderId="0" applyFill="0">
      <alignment wrapText="1"/>
    </xf>
    <xf numFmtId="0" fontId="277" fillId="3" borderId="0" applyFill="0">
      <alignment wrapText="1"/>
    </xf>
    <xf numFmtId="0" fontId="277" fillId="3" borderId="0" applyFill="0">
      <alignment wrapText="1"/>
    </xf>
    <xf numFmtId="0" fontId="277" fillId="3" borderId="0" applyFill="0">
      <alignment wrapText="1"/>
    </xf>
    <xf numFmtId="0" fontId="277" fillId="3" borderId="0" applyFill="0">
      <alignment wrapText="1"/>
    </xf>
    <xf numFmtId="0" fontId="277" fillId="3" borderId="0" applyFill="0">
      <alignment wrapText="1"/>
    </xf>
    <xf numFmtId="0" fontId="277" fillId="3" borderId="0" applyFill="0">
      <alignment wrapText="1"/>
    </xf>
    <xf numFmtId="0" fontId="277" fillId="3" borderId="0" applyFill="0">
      <alignment wrapText="1"/>
    </xf>
    <xf numFmtId="0" fontId="277" fillId="3" borderId="0" applyFill="0">
      <alignment wrapText="1"/>
    </xf>
    <xf numFmtId="0" fontId="277" fillId="3" borderId="0" applyFill="0">
      <alignment wrapText="1"/>
    </xf>
    <xf numFmtId="0" fontId="277" fillId="3" borderId="0" applyFill="0">
      <alignment wrapText="1"/>
    </xf>
    <xf numFmtId="0" fontId="277" fillId="3" borderId="0" applyFill="0">
      <alignment wrapText="1"/>
    </xf>
    <xf numFmtId="0" fontId="277" fillId="3" borderId="0" applyFill="0">
      <alignment wrapText="1"/>
    </xf>
    <xf numFmtId="0" fontId="277" fillId="3" borderId="0" applyFill="0">
      <alignment wrapText="1"/>
    </xf>
    <xf numFmtId="0" fontId="277" fillId="3" borderId="0" applyFill="0">
      <alignment wrapText="1"/>
    </xf>
    <xf numFmtId="0" fontId="277" fillId="3" borderId="0" applyFill="0">
      <alignment wrapText="1"/>
    </xf>
    <xf numFmtId="0" fontId="277" fillId="3" borderId="0" applyFill="0">
      <alignment wrapText="1"/>
    </xf>
    <xf numFmtId="0" fontId="277" fillId="3" borderId="0" applyFill="0">
      <alignment wrapText="1"/>
    </xf>
    <xf numFmtId="0" fontId="277" fillId="3" borderId="0" applyFill="0">
      <alignment wrapText="1"/>
    </xf>
    <xf numFmtId="0" fontId="277" fillId="3" borderId="0" applyFill="0">
      <alignment wrapText="1"/>
    </xf>
    <xf numFmtId="0" fontId="277" fillId="3" borderId="0" applyFill="0">
      <alignment wrapText="1"/>
    </xf>
    <xf numFmtId="0" fontId="277" fillId="3" borderId="0" applyFill="0">
      <alignment wrapText="1"/>
    </xf>
    <xf numFmtId="0" fontId="277" fillId="3" borderId="0" applyFill="0">
      <alignment wrapText="1"/>
    </xf>
    <xf numFmtId="0" fontId="277" fillId="3" borderId="0" applyFill="0">
      <alignment wrapText="1"/>
    </xf>
    <xf numFmtId="0" fontId="277" fillId="3" borderId="0" applyFill="0">
      <alignment wrapText="1"/>
    </xf>
    <xf numFmtId="0" fontId="277" fillId="3" borderId="0" applyFill="0">
      <alignment wrapText="1"/>
    </xf>
    <xf numFmtId="0" fontId="277" fillId="3" borderId="0" applyFill="0">
      <alignment wrapText="1"/>
    </xf>
    <xf numFmtId="0" fontId="277" fillId="3" borderId="0" applyFill="0">
      <alignment wrapText="1"/>
    </xf>
    <xf numFmtId="0" fontId="277" fillId="3" borderId="0" applyFill="0">
      <alignment wrapText="1"/>
    </xf>
    <xf numFmtId="0" fontId="277" fillId="3" borderId="0" applyFill="0">
      <alignment wrapText="1"/>
    </xf>
    <xf numFmtId="0" fontId="277" fillId="3" borderId="0" applyFill="0">
      <alignment wrapText="1"/>
    </xf>
    <xf numFmtId="0" fontId="277" fillId="3" borderId="0" applyFill="0">
      <alignment wrapText="1"/>
    </xf>
    <xf numFmtId="0" fontId="277" fillId="3" borderId="0" applyFill="0">
      <alignment wrapText="1"/>
    </xf>
    <xf numFmtId="0" fontId="277" fillId="3" borderId="0" applyFill="0">
      <alignment wrapText="1"/>
    </xf>
    <xf numFmtId="0" fontId="277" fillId="3" borderId="0" applyFill="0">
      <alignment wrapText="1"/>
    </xf>
    <xf numFmtId="0" fontId="277" fillId="3" borderId="0" applyFill="0">
      <alignment wrapText="1"/>
    </xf>
    <xf numFmtId="0" fontId="277" fillId="3" borderId="0" applyFill="0">
      <alignment wrapText="1"/>
    </xf>
    <xf numFmtId="0" fontId="277" fillId="3" borderId="0" applyFill="0">
      <alignment wrapText="1"/>
    </xf>
    <xf numFmtId="0" fontId="46" fillId="0" borderId="0">
      <alignment horizontal="center" vertical="top" wrapText="1"/>
    </xf>
    <xf numFmtId="0" fontId="177" fillId="0" borderId="0">
      <alignment horizontal="centerContinuous" vertical="center" wrapText="1"/>
    </xf>
    <xf numFmtId="169" fontId="77" fillId="3" borderId="17">
      <alignment wrapText="1"/>
    </xf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8" fillId="26" borderId="0" applyNumberFormat="0" applyBorder="0" applyAlignment="0" applyProtection="0"/>
    <xf numFmtId="0" fontId="138" fillId="26" borderId="0" applyNumberFormat="0" applyBorder="0" applyAlignment="0" applyProtection="0"/>
    <xf numFmtId="0" fontId="138" fillId="26" borderId="0" applyNumberFormat="0" applyBorder="0" applyAlignment="0" applyProtection="0"/>
    <xf numFmtId="0" fontId="138" fillId="26" borderId="0" applyNumberFormat="0" applyBorder="0" applyAlignment="0" applyProtection="0"/>
    <xf numFmtId="0" fontId="138" fillId="26" borderId="0" applyNumberFormat="0" applyBorder="0" applyAlignment="0" applyProtection="0"/>
    <xf numFmtId="0" fontId="138" fillId="26" borderId="0" applyNumberFormat="0" applyBorder="0" applyAlignment="0" applyProtection="0"/>
    <xf numFmtId="0" fontId="138" fillId="26" borderId="0" applyNumberFormat="0" applyBorder="0" applyAlignment="0" applyProtection="0"/>
    <xf numFmtId="0" fontId="138" fillId="26" borderId="0" applyNumberFormat="0" applyBorder="0" applyAlignment="0" applyProtection="0"/>
    <xf numFmtId="0" fontId="138" fillId="26" borderId="0" applyNumberFormat="0" applyBorder="0" applyAlignment="0" applyProtection="0"/>
    <xf numFmtId="0" fontId="138" fillId="26" borderId="0" applyNumberFormat="0" applyBorder="0" applyAlignment="0" applyProtection="0"/>
    <xf numFmtId="0" fontId="138" fillId="26" borderId="0" applyNumberFormat="0" applyBorder="0" applyAlignment="0" applyProtection="0"/>
    <xf numFmtId="0" fontId="138" fillId="26" borderId="0" applyNumberFormat="0" applyBorder="0" applyAlignment="0" applyProtection="0"/>
    <xf numFmtId="0" fontId="138" fillId="26" borderId="0" applyNumberFormat="0" applyBorder="0" applyAlignment="0" applyProtection="0"/>
    <xf numFmtId="0" fontId="138" fillId="26" borderId="0" applyNumberFormat="0" applyBorder="0" applyAlignment="0" applyProtection="0"/>
    <xf numFmtId="0" fontId="138" fillId="26" borderId="0" applyNumberFormat="0" applyBorder="0" applyAlignment="0" applyProtection="0"/>
    <xf numFmtId="0" fontId="138" fillId="26" borderId="0" applyNumberFormat="0" applyBorder="0" applyAlignment="0" applyProtection="0"/>
    <xf numFmtId="49" fontId="129" fillId="0" borderId="0" applyBorder="0">
      <alignment vertical="top"/>
    </xf>
    <xf numFmtId="0" fontId="288" fillId="0" borderId="0"/>
    <xf numFmtId="0" fontId="42" fillId="0" borderId="0"/>
    <xf numFmtId="0" fontId="296" fillId="0" borderId="0"/>
    <xf numFmtId="0" fontId="30" fillId="0" borderId="0"/>
    <xf numFmtId="0" fontId="5" fillId="0" borderId="0"/>
    <xf numFmtId="0" fontId="56" fillId="0" borderId="0"/>
    <xf numFmtId="0" fontId="42" fillId="0" borderId="0"/>
    <xf numFmtId="0" fontId="30" fillId="0" borderId="0"/>
    <xf numFmtId="0" fontId="30" fillId="0" borderId="0"/>
    <xf numFmtId="0" fontId="130" fillId="0" borderId="0"/>
    <xf numFmtId="0" fontId="30" fillId="0" borderId="0"/>
    <xf numFmtId="0" fontId="130" fillId="0" borderId="0"/>
    <xf numFmtId="0" fontId="19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289" fillId="0" borderId="0"/>
    <xf numFmtId="0" fontId="130" fillId="0" borderId="0"/>
    <xf numFmtId="0" fontId="30" fillId="0" borderId="0"/>
    <xf numFmtId="0" fontId="30" fillId="0" borderId="0"/>
    <xf numFmtId="0" fontId="42" fillId="0" borderId="0"/>
    <xf numFmtId="0" fontId="42" fillId="0" borderId="0"/>
    <xf numFmtId="0" fontId="30" fillId="0" borderId="0"/>
    <xf numFmtId="0" fontId="56" fillId="0" borderId="0"/>
    <xf numFmtId="0" fontId="296" fillId="0" borderId="0"/>
    <xf numFmtId="0" fontId="30" fillId="0" borderId="0"/>
    <xf numFmtId="0" fontId="42" fillId="0" borderId="0"/>
    <xf numFmtId="0" fontId="42" fillId="0" borderId="0"/>
    <xf numFmtId="0" fontId="42" fillId="0" borderId="0"/>
    <xf numFmtId="0" fontId="19" fillId="0" borderId="0"/>
    <xf numFmtId="0" fontId="296" fillId="0" borderId="0"/>
    <xf numFmtId="0" fontId="296" fillId="0" borderId="0"/>
    <xf numFmtId="0" fontId="30" fillId="0" borderId="0"/>
    <xf numFmtId="0" fontId="30" fillId="0" borderId="0"/>
    <xf numFmtId="0" fontId="42" fillId="0" borderId="0"/>
    <xf numFmtId="4" fontId="119" fillId="0" borderId="0">
      <alignment vertical="center"/>
    </xf>
    <xf numFmtId="0" fontId="30" fillId="0" borderId="0"/>
    <xf numFmtId="0" fontId="30" fillId="0" borderId="0"/>
    <xf numFmtId="0" fontId="291" fillId="0" borderId="0"/>
    <xf numFmtId="0" fontId="56" fillId="0" borderId="0"/>
    <xf numFmtId="0" fontId="56" fillId="0" borderId="0"/>
    <xf numFmtId="0" fontId="119" fillId="0" borderId="0"/>
    <xf numFmtId="0" fontId="30" fillId="0" borderId="0"/>
    <xf numFmtId="0" fontId="57" fillId="0" borderId="0"/>
    <xf numFmtId="0" fontId="139" fillId="5" borderId="0" applyNumberFormat="0" applyBorder="0" applyAlignment="0" applyProtection="0"/>
    <xf numFmtId="0" fontId="139" fillId="5" borderId="0" applyNumberFormat="0" applyBorder="0" applyAlignment="0" applyProtection="0"/>
    <xf numFmtId="0" fontId="139" fillId="5" borderId="0" applyNumberFormat="0" applyBorder="0" applyAlignment="0" applyProtection="0"/>
    <xf numFmtId="0" fontId="139" fillId="5" borderId="0" applyNumberFormat="0" applyBorder="0" applyAlignment="0" applyProtection="0"/>
    <xf numFmtId="0" fontId="139" fillId="5" borderId="0" applyNumberFormat="0" applyBorder="0" applyAlignment="0" applyProtection="0"/>
    <xf numFmtId="0" fontId="139" fillId="5" borderId="0" applyNumberFormat="0" applyBorder="0" applyAlignment="0" applyProtection="0"/>
    <xf numFmtId="0" fontId="139" fillId="5" borderId="0" applyNumberFormat="0" applyBorder="0" applyAlignment="0" applyProtection="0"/>
    <xf numFmtId="0" fontId="139" fillId="5" borderId="0" applyNumberFormat="0" applyBorder="0" applyAlignment="0" applyProtection="0"/>
    <xf numFmtId="0" fontId="139" fillId="5" borderId="0" applyNumberFormat="0" applyBorder="0" applyAlignment="0" applyProtection="0"/>
    <xf numFmtId="0" fontId="139" fillId="5" borderId="0" applyNumberFormat="0" applyBorder="0" applyAlignment="0" applyProtection="0"/>
    <xf numFmtId="0" fontId="139" fillId="5" borderId="0" applyNumberFormat="0" applyBorder="0" applyAlignment="0" applyProtection="0"/>
    <xf numFmtId="0" fontId="139" fillId="5" borderId="0" applyNumberFormat="0" applyBorder="0" applyAlignment="0" applyProtection="0"/>
    <xf numFmtId="0" fontId="139" fillId="5" borderId="0" applyNumberFormat="0" applyBorder="0" applyAlignment="0" applyProtection="0"/>
    <xf numFmtId="0" fontId="139" fillId="5" borderId="0" applyNumberFormat="0" applyBorder="0" applyAlignment="0" applyProtection="0"/>
    <xf numFmtId="0" fontId="139" fillId="5" borderId="0" applyNumberFormat="0" applyBorder="0" applyAlignment="0" applyProtection="0"/>
    <xf numFmtId="0" fontId="139" fillId="5" borderId="0" applyNumberFormat="0" applyBorder="0" applyAlignment="0" applyProtection="0"/>
    <xf numFmtId="0" fontId="30" fillId="0" borderId="0" applyFont="0" applyFill="0" applyBorder="0" applyProtection="0">
      <alignment horizontal="center" vertical="center" wrapText="1"/>
    </xf>
    <xf numFmtId="0" fontId="30" fillId="0" borderId="0" applyNumberFormat="0" applyFont="0" applyFill="0" applyBorder="0" applyProtection="0">
      <alignment horizontal="justify" vertical="center" wrapText="1"/>
    </xf>
    <xf numFmtId="164" fontId="290" fillId="28" borderId="19" applyNumberFormat="0" applyBorder="0" applyAlignment="0">
      <alignment vertical="center"/>
      <protection locked="0"/>
    </xf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30" fillId="27" borderId="10" applyNumberFormat="0" applyFont="0" applyAlignment="0" applyProtection="0"/>
    <xf numFmtId="0" fontId="30" fillId="27" borderId="10" applyNumberFormat="0" applyFont="0" applyAlignment="0" applyProtection="0"/>
    <xf numFmtId="0" fontId="30" fillId="27" borderId="10" applyNumberFormat="0" applyFont="0" applyAlignment="0" applyProtection="0"/>
    <xf numFmtId="0" fontId="30" fillId="27" borderId="10" applyNumberFormat="0" applyFont="0" applyAlignment="0" applyProtection="0"/>
    <xf numFmtId="0" fontId="30" fillId="27" borderId="10" applyNumberFormat="0" applyFont="0" applyAlignment="0" applyProtection="0"/>
    <xf numFmtId="0" fontId="30" fillId="27" borderId="10" applyNumberFormat="0" applyFont="0" applyAlignment="0" applyProtection="0"/>
    <xf numFmtId="0" fontId="30" fillId="27" borderId="10" applyNumberFormat="0" applyFont="0" applyAlignment="0" applyProtection="0"/>
    <xf numFmtId="0" fontId="30" fillId="27" borderId="10" applyNumberFormat="0" applyFont="0" applyAlignment="0" applyProtection="0"/>
    <xf numFmtId="0" fontId="30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0" fontId="42" fillId="27" borderId="10" applyNumberFormat="0" applyFont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141" fillId="0" borderId="9" applyNumberFormat="0" applyFill="0" applyAlignment="0" applyProtection="0"/>
    <xf numFmtId="0" fontId="141" fillId="0" borderId="9" applyNumberFormat="0" applyFill="0" applyAlignment="0" applyProtection="0"/>
    <xf numFmtId="0" fontId="141" fillId="0" borderId="9" applyNumberFormat="0" applyFill="0" applyAlignment="0" applyProtection="0"/>
    <xf numFmtId="0" fontId="141" fillId="0" borderId="9" applyNumberFormat="0" applyFill="0" applyAlignment="0" applyProtection="0"/>
    <xf numFmtId="0" fontId="141" fillId="0" borderId="9" applyNumberFormat="0" applyFill="0" applyAlignment="0" applyProtection="0"/>
    <xf numFmtId="0" fontId="141" fillId="0" borderId="9" applyNumberFormat="0" applyFill="0" applyAlignment="0" applyProtection="0"/>
    <xf numFmtId="0" fontId="141" fillId="0" borderId="9" applyNumberFormat="0" applyFill="0" applyAlignment="0" applyProtection="0"/>
    <xf numFmtId="0" fontId="141" fillId="0" borderId="9" applyNumberFormat="0" applyFill="0" applyAlignment="0" applyProtection="0"/>
    <xf numFmtId="0" fontId="141" fillId="0" borderId="9" applyNumberFormat="0" applyFill="0" applyAlignment="0" applyProtection="0"/>
    <xf numFmtId="0" fontId="141" fillId="0" borderId="9" applyNumberFormat="0" applyFill="0" applyAlignment="0" applyProtection="0"/>
    <xf numFmtId="0" fontId="141" fillId="0" borderId="9" applyNumberFormat="0" applyFill="0" applyAlignment="0" applyProtection="0"/>
    <xf numFmtId="0" fontId="141" fillId="0" borderId="9" applyNumberFormat="0" applyFill="0" applyAlignment="0" applyProtection="0"/>
    <xf numFmtId="0" fontId="141" fillId="0" borderId="9" applyNumberFormat="0" applyFill="0" applyAlignment="0" applyProtection="0"/>
    <xf numFmtId="0" fontId="141" fillId="0" borderId="9" applyNumberFormat="0" applyFill="0" applyAlignment="0" applyProtection="0"/>
    <xf numFmtId="0" fontId="141" fillId="0" borderId="9" applyNumberFormat="0" applyFill="0" applyAlignment="0" applyProtection="0"/>
    <xf numFmtId="0" fontId="141" fillId="0" borderId="9" applyNumberFormat="0" applyFill="0" applyAlignment="0" applyProtection="0"/>
    <xf numFmtId="0" fontId="141" fillId="0" borderId="9" applyNumberFormat="0" applyFill="0" applyAlignment="0" applyProtection="0"/>
    <xf numFmtId="0" fontId="141" fillId="0" borderId="9" applyNumberFormat="0" applyFill="0" applyAlignment="0" applyProtection="0"/>
    <xf numFmtId="0" fontId="141" fillId="0" borderId="9" applyNumberFormat="0" applyFill="0" applyAlignment="0" applyProtection="0"/>
    <xf numFmtId="0" fontId="141" fillId="0" borderId="9" applyNumberFormat="0" applyFill="0" applyAlignment="0" applyProtection="0"/>
    <xf numFmtId="0" fontId="141" fillId="0" borderId="9" applyNumberFormat="0" applyFill="0" applyAlignment="0" applyProtection="0"/>
    <xf numFmtId="0" fontId="141" fillId="0" borderId="9" applyNumberFormat="0" applyFill="0" applyAlignment="0" applyProtection="0"/>
    <xf numFmtId="0" fontId="141" fillId="0" borderId="9" applyNumberFormat="0" applyFill="0" applyAlignment="0" applyProtection="0"/>
    <xf numFmtId="0" fontId="141" fillId="0" borderId="9" applyNumberFormat="0" applyFill="0" applyAlignment="0" applyProtection="0"/>
    <xf numFmtId="0" fontId="36" fillId="0" borderId="0"/>
    <xf numFmtId="204" fontId="52" fillId="0" borderId="0">
      <alignment vertical="top"/>
    </xf>
    <xf numFmtId="0" fontId="30" fillId="0" borderId="0">
      <alignment vertical="justify"/>
    </xf>
    <xf numFmtId="0" fontId="30" fillId="46" borderId="17" applyNumberFormat="0" applyAlignment="0">
      <alignment horizontal="left"/>
    </xf>
    <xf numFmtId="0" fontId="30" fillId="46" borderId="17" applyNumberFormat="0" applyAlignment="0">
      <alignment horizontal="left"/>
    </xf>
    <xf numFmtId="164" fontId="277" fillId="0" borderId="0" applyFill="0" applyBorder="0" applyAlignment="0" applyProtection="0"/>
    <xf numFmtId="164" fontId="277" fillId="0" borderId="0" applyFill="0" applyBorder="0" applyAlignment="0" applyProtection="0"/>
    <xf numFmtId="164" fontId="277" fillId="0" borderId="0" applyFill="0" applyBorder="0" applyAlignment="0" applyProtection="0"/>
    <xf numFmtId="164" fontId="277" fillId="0" borderId="0" applyFill="0" applyBorder="0" applyAlignment="0" applyProtection="0"/>
    <xf numFmtId="164" fontId="277" fillId="0" borderId="0" applyFill="0" applyBorder="0" applyAlignment="0" applyProtection="0"/>
    <xf numFmtId="164" fontId="277" fillId="0" borderId="0" applyFill="0" applyBorder="0" applyAlignment="0" applyProtection="0"/>
    <xf numFmtId="164" fontId="277" fillId="0" borderId="0" applyFill="0" applyBorder="0" applyAlignment="0" applyProtection="0"/>
    <xf numFmtId="164" fontId="277" fillId="0" borderId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49" fontId="277" fillId="0" borderId="0">
      <alignment horizontal="center"/>
    </xf>
    <xf numFmtId="49" fontId="277" fillId="0" borderId="0">
      <alignment horizontal="center"/>
    </xf>
    <xf numFmtId="49" fontId="277" fillId="0" borderId="0">
      <alignment horizontal="center"/>
    </xf>
    <xf numFmtId="49" fontId="277" fillId="0" borderId="0">
      <alignment horizontal="center"/>
    </xf>
    <xf numFmtId="49" fontId="277" fillId="0" borderId="0">
      <alignment horizontal="center"/>
    </xf>
    <xf numFmtId="49" fontId="277" fillId="0" borderId="0">
      <alignment horizontal="center"/>
    </xf>
    <xf numFmtId="49" fontId="277" fillId="0" borderId="0">
      <alignment horizontal="center"/>
    </xf>
    <xf numFmtId="49" fontId="277" fillId="0" borderId="0">
      <alignment horizontal="center"/>
    </xf>
    <xf numFmtId="49" fontId="277" fillId="0" borderId="0">
      <alignment horizontal="center"/>
    </xf>
    <xf numFmtId="192" fontId="30" fillId="0" borderId="0" applyFont="0" applyFill="0" applyBorder="0" applyAlignment="0" applyProtection="0"/>
    <xf numFmtId="3" fontId="16" fillId="0" borderId="20" applyFont="0" applyBorder="0">
      <alignment horizontal="right"/>
      <protection locked="0"/>
    </xf>
    <xf numFmtId="193" fontId="30" fillId="0" borderId="0" applyFont="0" applyFill="0" applyBorder="0" applyAlignment="0" applyProtection="0"/>
    <xf numFmtId="2" fontId="277" fillId="0" borderId="0" applyFill="0" applyBorder="0" applyAlignment="0" applyProtection="0"/>
    <xf numFmtId="2" fontId="277" fillId="0" borderId="0" applyFill="0" applyBorder="0" applyAlignment="0" applyProtection="0"/>
    <xf numFmtId="2" fontId="277" fillId="0" borderId="0" applyFill="0" applyBorder="0" applyAlignment="0" applyProtection="0"/>
    <xf numFmtId="2" fontId="277" fillId="0" borderId="0" applyFill="0" applyBorder="0" applyAlignment="0" applyProtection="0"/>
    <xf numFmtId="2" fontId="277" fillId="0" borderId="0" applyFill="0" applyBorder="0" applyAlignment="0" applyProtection="0"/>
    <xf numFmtId="2" fontId="277" fillId="0" borderId="0" applyFill="0" applyBorder="0" applyAlignment="0" applyProtection="0"/>
    <xf numFmtId="2" fontId="277" fillId="0" borderId="0" applyFill="0" applyBorder="0" applyAlignment="0" applyProtection="0"/>
    <xf numFmtId="2" fontId="277" fillId="0" borderId="0" applyFill="0" applyBorder="0" applyAlignment="0" applyProtection="0"/>
    <xf numFmtId="2" fontId="277" fillId="0" borderId="0" applyFill="0" applyBorder="0" applyAlignment="0" applyProtection="0"/>
    <xf numFmtId="43" fontId="56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215" fontId="130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30" fillId="0" borderId="0" applyFont="0" applyFill="0" applyBorder="0" applyAlignment="0" applyProtection="0"/>
    <xf numFmtId="4" fontId="129" fillId="3" borderId="0" applyBorder="0">
      <alignment horizontal="right"/>
    </xf>
    <xf numFmtId="4" fontId="129" fillId="3" borderId="0" applyBorder="0">
      <alignment horizontal="right"/>
    </xf>
    <xf numFmtId="4" fontId="129" fillId="3" borderId="0" applyBorder="0">
      <alignment horizontal="right"/>
    </xf>
    <xf numFmtId="4" fontId="129" fillId="47" borderId="21" applyBorder="0">
      <alignment horizontal="right"/>
    </xf>
    <xf numFmtId="4" fontId="129" fillId="3" borderId="17" applyFont="0" applyBorder="0">
      <alignment horizontal="right"/>
    </xf>
    <xf numFmtId="0" fontId="143" fillId="6" borderId="0" applyNumberFormat="0" applyBorder="0" applyAlignment="0" applyProtection="0"/>
    <xf numFmtId="0" fontId="143" fillId="6" borderId="0" applyNumberFormat="0" applyBorder="0" applyAlignment="0" applyProtection="0"/>
    <xf numFmtId="0" fontId="143" fillId="6" borderId="0" applyNumberFormat="0" applyBorder="0" applyAlignment="0" applyProtection="0"/>
    <xf numFmtId="0" fontId="143" fillId="6" borderId="0" applyNumberFormat="0" applyBorder="0" applyAlignment="0" applyProtection="0"/>
    <xf numFmtId="0" fontId="143" fillId="6" borderId="0" applyNumberFormat="0" applyBorder="0" applyAlignment="0" applyProtection="0"/>
    <xf numFmtId="0" fontId="143" fillId="6" borderId="0" applyNumberFormat="0" applyBorder="0" applyAlignment="0" applyProtection="0"/>
    <xf numFmtId="0" fontId="143" fillId="6" borderId="0" applyNumberFormat="0" applyBorder="0" applyAlignment="0" applyProtection="0"/>
    <xf numFmtId="0" fontId="143" fillId="6" borderId="0" applyNumberFormat="0" applyBorder="0" applyAlignment="0" applyProtection="0"/>
    <xf numFmtId="0" fontId="143" fillId="6" borderId="0" applyNumberFormat="0" applyBorder="0" applyAlignment="0" applyProtection="0"/>
    <xf numFmtId="0" fontId="143" fillId="6" borderId="0" applyNumberFormat="0" applyBorder="0" applyAlignment="0" applyProtection="0"/>
    <xf numFmtId="0" fontId="143" fillId="6" borderId="0" applyNumberFormat="0" applyBorder="0" applyAlignment="0" applyProtection="0"/>
    <xf numFmtId="0" fontId="143" fillId="6" borderId="0" applyNumberFormat="0" applyBorder="0" applyAlignment="0" applyProtection="0"/>
    <xf numFmtId="0" fontId="143" fillId="6" borderId="0" applyNumberFormat="0" applyBorder="0" applyAlignment="0" applyProtection="0"/>
    <xf numFmtId="0" fontId="143" fillId="6" borderId="0" applyNumberFormat="0" applyBorder="0" applyAlignment="0" applyProtection="0"/>
    <xf numFmtId="0" fontId="143" fillId="6" borderId="0" applyNumberFormat="0" applyBorder="0" applyAlignment="0" applyProtection="0"/>
    <xf numFmtId="0" fontId="143" fillId="6" borderId="0" applyNumberFormat="0" applyBorder="0" applyAlignment="0" applyProtection="0"/>
    <xf numFmtId="170" fontId="30" fillId="0" borderId="17" applyFont="0" applyFill="0" applyBorder="0" applyProtection="0">
      <alignment horizontal="center" vertical="center"/>
    </xf>
    <xf numFmtId="0" fontId="38" fillId="0" borderId="0">
      <protection locked="0"/>
    </xf>
    <xf numFmtId="0" fontId="19" fillId="0" borderId="17" applyBorder="0">
      <alignment horizontal="center" vertical="center" wrapText="1"/>
    </xf>
    <xf numFmtId="43" fontId="5" fillId="0" borderId="0" applyFont="0" applyFill="0" applyBorder="0" applyAlignment="0" applyProtection="0"/>
    <xf numFmtId="0" fontId="5" fillId="0" borderId="0"/>
    <xf numFmtId="0" fontId="36" fillId="0" borderId="0"/>
    <xf numFmtId="0" fontId="5" fillId="0" borderId="0"/>
    <xf numFmtId="0" fontId="5" fillId="0" borderId="0"/>
    <xf numFmtId="0" fontId="4" fillId="0" borderId="0"/>
    <xf numFmtId="9" fontId="5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34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6" fillId="0" borderId="0"/>
    <xf numFmtId="0" fontId="36" fillId="0" borderId="0"/>
    <xf numFmtId="0" fontId="42" fillId="0" borderId="0"/>
    <xf numFmtId="0" fontId="4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7" fillId="0" borderId="0"/>
    <xf numFmtId="0" fontId="37" fillId="0" borderId="0"/>
    <xf numFmtId="0" fontId="36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37" fillId="0" borderId="0"/>
    <xf numFmtId="0" fontId="36" fillId="0" borderId="0"/>
    <xf numFmtId="0" fontId="42" fillId="0" borderId="0"/>
    <xf numFmtId="0" fontId="42" fillId="0" borderId="0"/>
    <xf numFmtId="0" fontId="36" fillId="0" borderId="0"/>
    <xf numFmtId="0" fontId="36" fillId="0" borderId="0"/>
    <xf numFmtId="0" fontId="36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36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2" fillId="0" borderId="0"/>
    <xf numFmtId="0" fontId="42" fillId="0" borderId="0"/>
    <xf numFmtId="0" fontId="36" fillId="0" borderId="0"/>
    <xf numFmtId="0" fontId="37" fillId="0" borderId="0"/>
    <xf numFmtId="0" fontId="36" fillId="0" borderId="0"/>
    <xf numFmtId="0" fontId="36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36" fillId="0" borderId="0"/>
    <xf numFmtId="0" fontId="289" fillId="0" borderId="0"/>
    <xf numFmtId="0" fontId="42" fillId="0" borderId="0"/>
    <xf numFmtId="0" fontId="37" fillId="0" borderId="0"/>
    <xf numFmtId="0" fontId="28" fillId="0" borderId="0"/>
    <xf numFmtId="0" fontId="28" fillId="0" borderId="0"/>
    <xf numFmtId="0" fontId="42" fillId="0" borderId="0"/>
    <xf numFmtId="0" fontId="42" fillId="0" borderId="0"/>
    <xf numFmtId="0" fontId="36" fillId="0" borderId="0"/>
    <xf numFmtId="0" fontId="36" fillId="0" borderId="0"/>
    <xf numFmtId="0" fontId="36" fillId="0" borderId="0"/>
    <xf numFmtId="0" fontId="37" fillId="0" borderId="0"/>
    <xf numFmtId="0" fontId="266" fillId="0" borderId="0">
      <protection locked="0"/>
    </xf>
    <xf numFmtId="0" fontId="38" fillId="0" borderId="0">
      <protection locked="0"/>
    </xf>
    <xf numFmtId="0" fontId="266" fillId="0" borderId="0">
      <protection locked="0"/>
    </xf>
    <xf numFmtId="0" fontId="38" fillId="0" borderId="0">
      <protection locked="0"/>
    </xf>
    <xf numFmtId="0" fontId="266" fillId="0" borderId="0">
      <protection locked="0"/>
    </xf>
    <xf numFmtId="0" fontId="38" fillId="0" borderId="0">
      <protection locked="0"/>
    </xf>
    <xf numFmtId="0" fontId="266" fillId="0" borderId="1">
      <protection locked="0"/>
    </xf>
    <xf numFmtId="0" fontId="38" fillId="0" borderId="1">
      <protection locked="0"/>
    </xf>
    <xf numFmtId="0" fontId="361" fillId="0" borderId="0">
      <protection locked="0"/>
    </xf>
    <xf numFmtId="0" fontId="39" fillId="0" borderId="0">
      <protection locked="0"/>
    </xf>
    <xf numFmtId="0" fontId="361" fillId="0" borderId="0">
      <protection locked="0"/>
    </xf>
    <xf numFmtId="0" fontId="39" fillId="0" borderId="0">
      <protection locked="0"/>
    </xf>
    <xf numFmtId="0" fontId="266" fillId="0" borderId="0">
      <protection locked="0"/>
    </xf>
    <xf numFmtId="0" fontId="266" fillId="0" borderId="1">
      <protection locked="0"/>
    </xf>
    <xf numFmtId="0" fontId="38" fillId="0" borderId="0">
      <protection locked="0"/>
    </xf>
    <xf numFmtId="0" fontId="38" fillId="0" borderId="1">
      <protection locked="0"/>
    </xf>
    <xf numFmtId="0" fontId="38" fillId="0" borderId="0">
      <protection locked="0"/>
    </xf>
    <xf numFmtId="0" fontId="38" fillId="0" borderId="1">
      <protection locked="0"/>
    </xf>
    <xf numFmtId="0" fontId="38" fillId="0" borderId="0">
      <protection locked="0"/>
    </xf>
    <xf numFmtId="0" fontId="38" fillId="0" borderId="1">
      <protection locked="0"/>
    </xf>
    <xf numFmtId="0" fontId="38" fillId="0" borderId="0">
      <protection locked="0"/>
    </xf>
    <xf numFmtId="0" fontId="38" fillId="0" borderId="1">
      <protection locked="0"/>
    </xf>
    <xf numFmtId="0" fontId="38" fillId="0" borderId="0">
      <protection locked="0"/>
    </xf>
    <xf numFmtId="0" fontId="38" fillId="0" borderId="1">
      <protection locked="0"/>
    </xf>
    <xf numFmtId="0" fontId="362" fillId="0" borderId="0">
      <protection locked="0"/>
    </xf>
    <xf numFmtId="0" fontId="362" fillId="0" borderId="145">
      <protection locked="0"/>
    </xf>
    <xf numFmtId="0" fontId="363" fillId="0" borderId="0">
      <protection locked="0"/>
    </xf>
    <xf numFmtId="0" fontId="363" fillId="0" borderId="145">
      <protection locked="0"/>
    </xf>
    <xf numFmtId="0" fontId="266" fillId="0" borderId="0">
      <protection locked="0"/>
    </xf>
    <xf numFmtId="0" fontId="266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0" fontId="362" fillId="0" borderId="0">
      <protection locked="0"/>
    </xf>
    <xf numFmtId="0" fontId="362" fillId="0" borderId="0">
      <protection locked="0"/>
    </xf>
    <xf numFmtId="0" fontId="363" fillId="0" borderId="0">
      <protection locked="0"/>
    </xf>
    <xf numFmtId="0" fontId="363" fillId="0" borderId="0">
      <protection locked="0"/>
    </xf>
    <xf numFmtId="0" fontId="266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0" fontId="361" fillId="0" borderId="0">
      <protection locked="0"/>
    </xf>
    <xf numFmtId="0" fontId="39" fillId="0" borderId="0">
      <protection locked="0"/>
    </xf>
    <xf numFmtId="0" fontId="361" fillId="0" borderId="0">
      <protection locked="0"/>
    </xf>
    <xf numFmtId="0" fontId="39" fillId="0" borderId="0">
      <protection locked="0"/>
    </xf>
    <xf numFmtId="219" fontId="40" fillId="0" borderId="0">
      <alignment horizontal="center"/>
    </xf>
    <xf numFmtId="0" fontId="34" fillId="0" borderId="0" applyNumberFormat="0" applyFill="0" applyBorder="0" applyAlignment="0" applyProtection="0">
      <alignment vertical="top"/>
      <protection locked="0"/>
    </xf>
    <xf numFmtId="0" fontId="41" fillId="0" borderId="0" applyFill="0" applyBorder="0" applyAlignment="0"/>
    <xf numFmtId="3" fontId="42" fillId="24" borderId="0" applyFont="0" applyFill="0" applyBorder="0" applyAlignment="0" applyProtection="0"/>
    <xf numFmtId="0" fontId="42" fillId="24" borderId="0" applyFont="0" applyFill="0" applyBorder="0" applyAlignment="0" applyProtection="0"/>
    <xf numFmtId="180" fontId="40" fillId="0" borderId="0" applyFont="0" applyFill="0" applyBorder="0" applyAlignment="0" applyProtection="0">
      <alignment vertical="center"/>
    </xf>
    <xf numFmtId="2" fontId="42" fillId="24" borderId="0" applyFont="0" applyFill="0" applyBorder="0" applyAlignment="0" applyProtection="0"/>
    <xf numFmtId="0" fontId="45" fillId="24" borderId="0" applyNumberFormat="0" applyFill="0" applyBorder="0" applyAlignment="0" applyProtection="0"/>
    <xf numFmtId="0" fontId="46" fillId="24" borderId="0" applyNumberForma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49" fillId="0" borderId="0">
      <alignment vertical="center"/>
    </xf>
    <xf numFmtId="0" fontId="52" fillId="24" borderId="0" applyFill="0" applyBorder="0" applyProtection="0">
      <alignment horizontal="center"/>
    </xf>
    <xf numFmtId="0" fontId="53" fillId="0" borderId="0"/>
    <xf numFmtId="0" fontId="48" fillId="0" borderId="0" applyNumberFormat="0" applyFont="0" applyFill="0" applyBorder="0" applyAlignment="0" applyProtection="0">
      <alignment horizontal="left"/>
    </xf>
    <xf numFmtId="0" fontId="364" fillId="0" borderId="69">
      <alignment horizontal="center"/>
    </xf>
    <xf numFmtId="0" fontId="53" fillId="0" borderId="0"/>
    <xf numFmtId="0" fontId="42" fillId="24" borderId="13" applyNumberFormat="0" applyFont="0" applyFill="0" applyAlignment="0" applyProtection="0"/>
    <xf numFmtId="0" fontId="55" fillId="0" borderId="0"/>
    <xf numFmtId="0" fontId="55" fillId="0" borderId="0"/>
    <xf numFmtId="0" fontId="1" fillId="0" borderId="0"/>
    <xf numFmtId="0" fontId="365" fillId="0" borderId="0"/>
    <xf numFmtId="0" fontId="1" fillId="0" borderId="0"/>
    <xf numFmtId="0" fontId="5" fillId="0" borderId="0"/>
    <xf numFmtId="0" fontId="56" fillId="0" borderId="0"/>
    <xf numFmtId="0" fontId="5" fillId="0" borderId="0"/>
    <xf numFmtId="0" fontId="9" fillId="0" borderId="0"/>
    <xf numFmtId="0" fontId="42" fillId="0" borderId="0"/>
    <xf numFmtId="0" fontId="42" fillId="0" borderId="0"/>
    <xf numFmtId="0" fontId="5" fillId="46" borderId="143" applyNumberFormat="0" applyAlignment="0">
      <alignment horizontal="left"/>
    </xf>
    <xf numFmtId="0" fontId="5" fillId="46" borderId="143" applyNumberFormat="0" applyAlignment="0">
      <alignment horizontal="left"/>
    </xf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6" fillId="0" borderId="0" applyFont="0" applyFill="0" applyBorder="0" applyAlignment="0" applyProtection="0"/>
    <xf numFmtId="215" fontId="36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6" fillId="0" borderId="0">
      <protection locked="0"/>
    </xf>
    <xf numFmtId="0" fontId="38" fillId="0" borderId="0">
      <protection locked="0"/>
    </xf>
  </cellStyleXfs>
  <cellXfs count="4432">
    <xf numFmtId="0" fontId="0" fillId="0" borderId="0" xfId="0"/>
    <xf numFmtId="0" fontId="9" fillId="0" borderId="17" xfId="0" applyFont="1" applyBorder="1" applyAlignment="1">
      <alignment wrapText="1"/>
    </xf>
    <xf numFmtId="0" fontId="9" fillId="0" borderId="17" xfId="0" applyFont="1" applyBorder="1" applyAlignment="1">
      <alignment vertical="top" wrapText="1"/>
    </xf>
    <xf numFmtId="0" fontId="9" fillId="0" borderId="20" xfId="0" applyFont="1" applyBorder="1" applyAlignment="1">
      <alignment vertical="top" wrapText="1"/>
    </xf>
    <xf numFmtId="0" fontId="9" fillId="0" borderId="22" xfId="0" applyFont="1" applyBorder="1" applyAlignment="1">
      <alignment vertical="top" wrapText="1"/>
    </xf>
    <xf numFmtId="0" fontId="9" fillId="0" borderId="0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23" xfId="0" applyFont="1" applyBorder="1" applyAlignment="1">
      <alignment vertical="top" wrapText="1"/>
    </xf>
    <xf numFmtId="0" fontId="9" fillId="0" borderId="24" xfId="0" applyFont="1" applyBorder="1" applyAlignment="1">
      <alignment vertical="top" wrapText="1"/>
    </xf>
    <xf numFmtId="0" fontId="9" fillId="0" borderId="25" xfId="0" applyFont="1" applyBorder="1" applyAlignment="1">
      <alignment vertical="top" wrapText="1"/>
    </xf>
    <xf numFmtId="0" fontId="9" fillId="0" borderId="0" xfId="0" applyFont="1"/>
    <xf numFmtId="0" fontId="9" fillId="0" borderId="0" xfId="0" applyFont="1" applyAlignment="1">
      <alignment horizontal="right"/>
    </xf>
    <xf numFmtId="0" fontId="9" fillId="0" borderId="23" xfId="0" applyFont="1" applyBorder="1" applyAlignment="1">
      <alignment horizontal="center" vertical="top" wrapText="1"/>
    </xf>
    <xf numFmtId="0" fontId="9" fillId="0" borderId="26" xfId="0" applyFont="1" applyBorder="1" applyAlignment="1">
      <alignment horizontal="center" vertical="top" wrapText="1"/>
    </xf>
    <xf numFmtId="0" fontId="9" fillId="0" borderId="22" xfId="0" applyFont="1" applyBorder="1" applyAlignment="1">
      <alignment horizontal="center" vertical="top" wrapText="1"/>
    </xf>
    <xf numFmtId="0" fontId="9" fillId="0" borderId="25" xfId="0" applyFont="1" applyBorder="1" applyAlignment="1">
      <alignment horizontal="center" vertical="top" wrapText="1"/>
    </xf>
    <xf numFmtId="0" fontId="9" fillId="0" borderId="25" xfId="0" applyFont="1" applyBorder="1" applyAlignment="1">
      <alignment horizontal="left" vertical="top" wrapText="1"/>
    </xf>
    <xf numFmtId="0" fontId="9" fillId="0" borderId="17" xfId="0" applyFont="1" applyBorder="1" applyAlignment="1">
      <alignment horizontal="center" vertical="top" wrapText="1"/>
    </xf>
    <xf numFmtId="0" fontId="9" fillId="0" borderId="0" xfId="0" applyFont="1" applyAlignment="1">
      <alignment horizontal="justify"/>
    </xf>
    <xf numFmtId="0" fontId="10" fillId="0" borderId="0" xfId="0" applyFont="1"/>
    <xf numFmtId="0" fontId="9" fillId="0" borderId="19" xfId="0" applyFont="1" applyBorder="1" applyAlignment="1">
      <alignment vertical="top" wrapText="1"/>
    </xf>
    <xf numFmtId="0" fontId="9" fillId="0" borderId="20" xfId="0" applyFont="1" applyBorder="1" applyAlignment="1">
      <alignment horizontal="center" vertical="top" wrapText="1"/>
    </xf>
    <xf numFmtId="168" fontId="9" fillId="0" borderId="25" xfId="0" applyNumberFormat="1" applyFont="1" applyBorder="1" applyAlignment="1">
      <alignment vertical="top" wrapText="1"/>
    </xf>
    <xf numFmtId="168" fontId="9" fillId="0" borderId="17" xfId="0" applyNumberFormat="1" applyFont="1" applyBorder="1" applyAlignment="1">
      <alignment vertical="top" wrapText="1"/>
    </xf>
    <xf numFmtId="0" fontId="9" fillId="0" borderId="17" xfId="0" applyFont="1" applyBorder="1"/>
    <xf numFmtId="168" fontId="9" fillId="0" borderId="23" xfId="0" applyNumberFormat="1" applyFont="1" applyBorder="1" applyAlignment="1">
      <alignment vertical="top" wrapText="1"/>
    </xf>
    <xf numFmtId="0" fontId="11" fillId="0" borderId="0" xfId="0" applyFont="1"/>
    <xf numFmtId="0" fontId="9" fillId="0" borderId="19" xfId="0" applyFont="1" applyBorder="1" applyAlignment="1">
      <alignment horizontal="center" vertical="top" wrapText="1"/>
    </xf>
    <xf numFmtId="0" fontId="9" fillId="0" borderId="27" xfId="0" applyFont="1" applyBorder="1" applyAlignment="1">
      <alignment horizontal="center" vertical="top" wrapText="1"/>
    </xf>
    <xf numFmtId="0" fontId="10" fillId="0" borderId="17" xfId="0" applyFont="1" applyBorder="1" applyAlignment="1">
      <alignment vertical="top" wrapText="1"/>
    </xf>
    <xf numFmtId="0" fontId="10" fillId="0" borderId="22" xfId="0" applyFont="1" applyBorder="1" applyAlignment="1">
      <alignment vertical="top" wrapText="1"/>
    </xf>
    <xf numFmtId="0" fontId="10" fillId="0" borderId="25" xfId="0" applyFont="1" applyBorder="1" applyAlignment="1">
      <alignment vertical="top" wrapText="1"/>
    </xf>
    <xf numFmtId="0" fontId="9" fillId="0" borderId="26" xfId="0" applyFont="1" applyBorder="1" applyAlignment="1">
      <alignment vertical="top" wrapText="1"/>
    </xf>
    <xf numFmtId="0" fontId="10" fillId="0" borderId="25" xfId="0" applyFont="1" applyBorder="1" applyAlignment="1">
      <alignment horizontal="center" vertical="top" wrapText="1"/>
    </xf>
    <xf numFmtId="0" fontId="9" fillId="0" borderId="0" xfId="0" applyFont="1" applyAlignment="1">
      <alignment horizontal="left"/>
    </xf>
    <xf numFmtId="2" fontId="9" fillId="0" borderId="25" xfId="0" applyNumberFormat="1" applyFont="1" applyBorder="1" applyAlignment="1">
      <alignment vertical="top" wrapText="1"/>
    </xf>
    <xf numFmtId="1" fontId="9" fillId="0" borderId="0" xfId="0" applyNumberFormat="1" applyFont="1"/>
    <xf numFmtId="0" fontId="10" fillId="0" borderId="24" xfId="0" applyFont="1" applyBorder="1" applyAlignment="1">
      <alignment vertical="top" wrapText="1"/>
    </xf>
    <xf numFmtId="0" fontId="9" fillId="0" borderId="0" xfId="0" applyFont="1" applyBorder="1"/>
    <xf numFmtId="0" fontId="9" fillId="0" borderId="17" xfId="0" applyFont="1" applyBorder="1" applyAlignment="1">
      <alignment horizontal="center" wrapText="1"/>
    </xf>
    <xf numFmtId="0" fontId="14" fillId="0" borderId="0" xfId="0" applyFont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0" xfId="0" applyFont="1" applyBorder="1" applyAlignment="1">
      <alignment horizontal="center" wrapText="1"/>
    </xf>
    <xf numFmtId="0" fontId="9" fillId="0" borderId="17" xfId="0" applyFont="1" applyBorder="1" applyAlignment="1">
      <alignment horizontal="center" vertical="center"/>
    </xf>
    <xf numFmtId="1" fontId="15" fillId="0" borderId="17" xfId="0" applyNumberFormat="1" applyFont="1" applyBorder="1"/>
    <xf numFmtId="1" fontId="15" fillId="0" borderId="0" xfId="0" applyNumberFormat="1" applyFont="1" applyBorder="1"/>
    <xf numFmtId="168" fontId="9" fillId="0" borderId="17" xfId="0" applyNumberFormat="1" applyFont="1" applyBorder="1"/>
    <xf numFmtId="168" fontId="15" fillId="0" borderId="0" xfId="0" applyNumberFormat="1" applyFont="1" applyBorder="1"/>
    <xf numFmtId="164" fontId="9" fillId="0" borderId="0" xfId="0" applyNumberFormat="1" applyFont="1"/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17" fontId="9" fillId="0" borderId="0" xfId="0" applyNumberFormat="1" applyFont="1" applyBorder="1" applyAlignment="1">
      <alignment horizontal="center" vertical="center" wrapText="1"/>
    </xf>
    <xf numFmtId="0" fontId="17" fillId="0" borderId="0" xfId="0" applyFont="1"/>
    <xf numFmtId="0" fontId="17" fillId="0" borderId="0" xfId="0" applyFont="1" applyAlignment="1">
      <alignment horizontal="center"/>
    </xf>
    <xf numFmtId="164" fontId="17" fillId="0" borderId="25" xfId="0" applyNumberFormat="1" applyFont="1" applyBorder="1" applyAlignment="1">
      <alignment vertical="top" wrapText="1"/>
    </xf>
    <xf numFmtId="2" fontId="17" fillId="0" borderId="25" xfId="0" applyNumberFormat="1" applyFont="1" applyBorder="1" applyAlignment="1">
      <alignment vertical="top" wrapText="1"/>
    </xf>
    <xf numFmtId="0" fontId="17" fillId="0" borderId="17" xfId="0" applyFont="1" applyBorder="1"/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2" fontId="9" fillId="0" borderId="0" xfId="0" applyNumberFormat="1" applyFont="1" applyBorder="1" applyAlignment="1">
      <alignment horizontal="center"/>
    </xf>
    <xf numFmtId="2" fontId="9" fillId="0" borderId="0" xfId="0" applyNumberFormat="1" applyFont="1"/>
    <xf numFmtId="168" fontId="17" fillId="0" borderId="0" xfId="0" applyNumberFormat="1" applyFont="1"/>
    <xf numFmtId="1" fontId="17" fillId="0" borderId="17" xfId="0" applyNumberFormat="1" applyFont="1" applyBorder="1"/>
    <xf numFmtId="0" fontId="9" fillId="0" borderId="24" xfId="0" quotePrefix="1" applyFont="1" applyBorder="1" applyAlignment="1">
      <alignment horizontal="center"/>
    </xf>
    <xf numFmtId="168" fontId="9" fillId="0" borderId="0" xfId="0" applyNumberFormat="1" applyFont="1"/>
    <xf numFmtId="0" fontId="19" fillId="0" borderId="0" xfId="0" applyFont="1"/>
    <xf numFmtId="0" fontId="19" fillId="0" borderId="0" xfId="0" quotePrefix="1" applyFont="1" applyAlignment="1">
      <alignment horizontal="left"/>
    </xf>
    <xf numFmtId="0" fontId="21" fillId="0" borderId="0" xfId="0" applyFont="1"/>
    <xf numFmtId="2" fontId="19" fillId="0" borderId="0" xfId="0" applyNumberFormat="1" applyFont="1"/>
    <xf numFmtId="0" fontId="23" fillId="0" borderId="0" xfId="0" applyFont="1"/>
    <xf numFmtId="0" fontId="21" fillId="0" borderId="0" xfId="0" quotePrefix="1" applyFont="1" applyAlignment="1">
      <alignment horizontal="left"/>
    </xf>
    <xf numFmtId="0" fontId="19" fillId="0" borderId="0" xfId="0" applyFont="1" applyAlignment="1">
      <alignment horizontal="left"/>
    </xf>
    <xf numFmtId="0" fontId="19" fillId="0" borderId="0" xfId="0" applyFont="1" applyAlignment="1">
      <alignment horizontal="right"/>
    </xf>
    <xf numFmtId="0" fontId="5" fillId="0" borderId="0" xfId="0" applyFont="1"/>
    <xf numFmtId="0" fontId="24" fillId="0" borderId="0" xfId="0" applyFont="1"/>
    <xf numFmtId="0" fontId="0" fillId="0" borderId="0" xfId="0" quotePrefix="1" applyAlignment="1">
      <alignment horizontal="left"/>
    </xf>
    <xf numFmtId="0" fontId="26" fillId="0" borderId="0" xfId="0" applyFont="1" applyAlignment="1">
      <alignment horizontal="center"/>
    </xf>
    <xf numFmtId="164" fontId="9" fillId="0" borderId="25" xfId="0" applyNumberFormat="1" applyFont="1" applyBorder="1" applyAlignment="1">
      <alignment vertical="top" wrapText="1"/>
    </xf>
    <xf numFmtId="0" fontId="15" fillId="0" borderId="0" xfId="0" applyFont="1"/>
    <xf numFmtId="166" fontId="9" fillId="0" borderId="0" xfId="0" applyNumberFormat="1" applyFont="1"/>
    <xf numFmtId="0" fontId="11" fillId="0" borderId="0" xfId="0" applyFont="1" applyBorder="1"/>
    <xf numFmtId="0" fontId="11" fillId="0" borderId="17" xfId="0" applyFont="1" applyBorder="1" applyAlignment="1">
      <alignment horizontal="center" vertical="top" wrapText="1"/>
    </xf>
    <xf numFmtId="0" fontId="11" fillId="0" borderId="17" xfId="0" applyFont="1" applyBorder="1" applyAlignment="1">
      <alignment horizontal="center" vertical="top"/>
    </xf>
    <xf numFmtId="0" fontId="26" fillId="0" borderId="24" xfId="0" applyFont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center" vertical="top" wrapText="1"/>
    </xf>
    <xf numFmtId="0" fontId="28" fillId="0" borderId="0" xfId="0" applyFont="1" applyAlignment="1">
      <alignment horizontal="left"/>
    </xf>
    <xf numFmtId="0" fontId="29" fillId="0" borderId="0" xfId="0" applyFont="1" applyFill="1" applyBorder="1" applyAlignment="1">
      <alignment horizontal="center"/>
    </xf>
    <xf numFmtId="164" fontId="17" fillId="0" borderId="27" xfId="0" applyNumberFormat="1" applyFont="1" applyBorder="1" applyAlignment="1">
      <alignment vertical="top" wrapText="1"/>
    </xf>
    <xf numFmtId="0" fontId="26" fillId="0" borderId="0" xfId="0" applyFont="1" applyAlignment="1">
      <alignment horizontal="centerContinuous"/>
    </xf>
    <xf numFmtId="0" fontId="31" fillId="0" borderId="0" xfId="0" applyFont="1"/>
    <xf numFmtId="0" fontId="32" fillId="45" borderId="0" xfId="0" applyFont="1" applyFill="1"/>
    <xf numFmtId="4" fontId="0" fillId="0" borderId="0" xfId="0" applyNumberFormat="1"/>
    <xf numFmtId="0" fontId="33" fillId="48" borderId="0" xfId="0" applyFont="1" applyFill="1"/>
    <xf numFmtId="167" fontId="33" fillId="48" borderId="0" xfId="0" applyNumberFormat="1" applyFont="1" applyFill="1"/>
    <xf numFmtId="0" fontId="9" fillId="0" borderId="0" xfId="0" applyFont="1" applyAlignment="1"/>
    <xf numFmtId="0" fontId="10" fillId="0" borderId="0" xfId="0" applyFont="1" applyAlignment="1">
      <alignment horizontal="justify" vertical="center" wrapText="1"/>
    </xf>
    <xf numFmtId="173" fontId="9" fillId="46" borderId="17" xfId="1216" applyNumberFormat="1" applyFont="1" applyFill="1" applyBorder="1" applyAlignment="1">
      <alignment horizontal="right" vertical="top"/>
    </xf>
    <xf numFmtId="0" fontId="18" fillId="46" borderId="0" xfId="0" applyFont="1" applyFill="1"/>
    <xf numFmtId="0" fontId="11" fillId="0" borderId="0" xfId="0" applyFont="1" applyAlignment="1">
      <alignment horizontal="right"/>
    </xf>
    <xf numFmtId="0" fontId="9" fillId="0" borderId="0" xfId="0" applyFont="1" applyAlignment="1">
      <alignment horizontal="centerContinuous" vertical="center" wrapText="1"/>
    </xf>
    <xf numFmtId="173" fontId="17" fillId="46" borderId="17" xfId="1216" applyNumberFormat="1" applyFont="1" applyFill="1" applyBorder="1" applyAlignment="1">
      <alignment horizontal="right" wrapText="1"/>
    </xf>
    <xf numFmtId="0" fontId="10" fillId="0" borderId="22" xfId="0" applyFont="1" applyBorder="1" applyAlignment="1">
      <alignment horizontal="center" vertical="top" wrapText="1"/>
    </xf>
    <xf numFmtId="0" fontId="13" fillId="0" borderId="0" xfId="0" applyFont="1" applyAlignment="1">
      <alignment horizontal="center" vertical="center" wrapText="1"/>
    </xf>
    <xf numFmtId="0" fontId="10" fillId="0" borderId="26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top" wrapText="1"/>
    </xf>
    <xf numFmtId="0" fontId="60" fillId="0" borderId="0" xfId="0" applyFont="1"/>
    <xf numFmtId="195" fontId="17" fillId="46" borderId="17" xfId="1216" applyNumberFormat="1" applyFont="1" applyFill="1" applyBorder="1" applyAlignment="1">
      <alignment horizontal="right" wrapText="1"/>
    </xf>
    <xf numFmtId="198" fontId="17" fillId="46" borderId="17" xfId="1216" applyNumberFormat="1" applyFont="1" applyFill="1" applyBorder="1" applyAlignment="1">
      <alignment horizontal="right" wrapText="1"/>
    </xf>
    <xf numFmtId="0" fontId="58" fillId="0" borderId="0" xfId="0" applyFont="1" applyAlignment="1">
      <alignment horizontal="centerContinuous"/>
    </xf>
    <xf numFmtId="0" fontId="9" fillId="0" borderId="0" xfId="0" applyFont="1" applyAlignment="1">
      <alignment horizontal="centerContinuous"/>
    </xf>
    <xf numFmtId="0" fontId="12" fillId="0" borderId="25" xfId="0" applyFont="1" applyBorder="1" applyAlignment="1">
      <alignment horizontal="center" vertical="top" wrapText="1"/>
    </xf>
    <xf numFmtId="0" fontId="12" fillId="0" borderId="26" xfId="0" applyFont="1" applyBorder="1" applyAlignment="1">
      <alignment horizontal="center" vertical="top" wrapText="1"/>
    </xf>
    <xf numFmtId="0" fontId="10" fillId="46" borderId="0" xfId="0" applyFont="1" applyFill="1"/>
    <xf numFmtId="4" fontId="9" fillId="0" borderId="25" xfId="0" applyNumberFormat="1" applyFont="1" applyBorder="1" applyAlignment="1">
      <alignment vertical="top" wrapText="1"/>
    </xf>
    <xf numFmtId="0" fontId="58" fillId="0" borderId="0" xfId="0" applyFont="1" applyAlignment="1">
      <alignment horizontal="centerContinuous" vertical="center" wrapText="1"/>
    </xf>
    <xf numFmtId="2" fontId="9" fillId="0" borderId="17" xfId="0" applyNumberFormat="1" applyFont="1" applyBorder="1"/>
    <xf numFmtId="0" fontId="12" fillId="0" borderId="0" xfId="0" applyFont="1" applyAlignment="1">
      <alignment horizontal="center"/>
    </xf>
    <xf numFmtId="0" fontId="12" fillId="0" borderId="17" xfId="0" applyFont="1" applyBorder="1" applyAlignment="1">
      <alignment horizontal="center" vertical="top" wrapText="1"/>
    </xf>
    <xf numFmtId="0" fontId="10" fillId="0" borderId="28" xfId="0" applyFont="1" applyBorder="1" applyAlignment="1">
      <alignment horizontal="centerContinuous" vertical="top" wrapText="1"/>
    </xf>
    <xf numFmtId="0" fontId="10" fillId="0" borderId="29" xfId="0" applyFont="1" applyBorder="1" applyAlignment="1">
      <alignment horizontal="centerContinuous" vertical="top" wrapText="1"/>
    </xf>
    <xf numFmtId="0" fontId="10" fillId="0" borderId="27" xfId="0" applyFont="1" applyBorder="1" applyAlignment="1">
      <alignment horizontal="centerContinuous" vertical="top" wrapText="1"/>
    </xf>
    <xf numFmtId="0" fontId="10" fillId="0" borderId="30" xfId="0" applyFont="1" applyBorder="1" applyAlignment="1">
      <alignment horizontal="centerContinuous" vertical="top" wrapText="1"/>
    </xf>
    <xf numFmtId="0" fontId="10" fillId="0" borderId="24" xfId="0" applyFont="1" applyBorder="1" applyAlignment="1">
      <alignment horizontal="centerContinuous" vertical="top" wrapText="1"/>
    </xf>
    <xf numFmtId="0" fontId="10" fillId="0" borderId="25" xfId="0" applyFont="1" applyBorder="1" applyAlignment="1">
      <alignment horizontal="centerContinuous" vertical="top" wrapText="1"/>
    </xf>
    <xf numFmtId="173" fontId="9" fillId="46" borderId="23" xfId="1216" applyNumberFormat="1" applyFont="1" applyFill="1" applyBorder="1" applyAlignment="1">
      <alignment horizontal="right" vertical="top"/>
    </xf>
    <xf numFmtId="164" fontId="9" fillId="0" borderId="17" xfId="0" applyNumberFormat="1" applyFont="1" applyBorder="1" applyAlignment="1">
      <alignment vertical="top" wrapText="1"/>
    </xf>
    <xf numFmtId="164" fontId="9" fillId="0" borderId="22" xfId="0" applyNumberFormat="1" applyFont="1" applyBorder="1" applyAlignment="1">
      <alignment vertical="top" wrapText="1"/>
    </xf>
    <xf numFmtId="0" fontId="66" fillId="0" borderId="0" xfId="1215" applyFont="1" applyFill="1" applyAlignment="1">
      <alignment horizontal="centerContinuous" wrapText="1"/>
    </xf>
    <xf numFmtId="0" fontId="15" fillId="0" borderId="0" xfId="0" applyFont="1" applyAlignment="1">
      <alignment horizontal="center"/>
    </xf>
    <xf numFmtId="0" fontId="9" fillId="0" borderId="25" xfId="0" applyFont="1" applyBorder="1" applyAlignment="1">
      <alignment wrapText="1"/>
    </xf>
    <xf numFmtId="0" fontId="11" fillId="0" borderId="0" xfId="0" applyFont="1" applyAlignment="1">
      <alignment horizontal="centerContinuous" wrapText="1"/>
    </xf>
    <xf numFmtId="0" fontId="64" fillId="0" borderId="0" xfId="0" applyFont="1"/>
    <xf numFmtId="0" fontId="11" fillId="0" borderId="0" xfId="0" applyFont="1" applyAlignment="1">
      <alignment horizontal="centerContinuous"/>
    </xf>
    <xf numFmtId="0" fontId="11" fillId="0" borderId="17" xfId="0" applyFont="1" applyBorder="1" applyAlignment="1">
      <alignment horizontal="centerContinuous" vertical="top" wrapText="1"/>
    </xf>
    <xf numFmtId="0" fontId="56" fillId="0" borderId="0" xfId="1176"/>
    <xf numFmtId="0" fontId="71" fillId="0" borderId="0" xfId="1176" applyFont="1"/>
    <xf numFmtId="0" fontId="73" fillId="0" borderId="0" xfId="1176" applyFont="1" applyAlignment="1">
      <alignment horizontal="centerContinuous" wrapText="1"/>
    </xf>
    <xf numFmtId="0" fontId="73" fillId="0" borderId="0" xfId="1176" applyFont="1" applyAlignment="1">
      <alignment horizontal="center"/>
    </xf>
    <xf numFmtId="0" fontId="75" fillId="0" borderId="0" xfId="1176" applyFont="1"/>
    <xf numFmtId="0" fontId="70" fillId="0" borderId="0" xfId="1176" applyFont="1"/>
    <xf numFmtId="173" fontId="9" fillId="46" borderId="17" xfId="1216" applyNumberFormat="1" applyFont="1" applyFill="1" applyBorder="1" applyAlignment="1">
      <alignment horizontal="right" wrapText="1"/>
    </xf>
    <xf numFmtId="170" fontId="15" fillId="0" borderId="25" xfId="0" applyNumberFormat="1" applyFont="1" applyBorder="1" applyAlignment="1">
      <alignment vertical="top" wrapText="1"/>
    </xf>
    <xf numFmtId="170" fontId="86" fillId="0" borderId="0" xfId="0" applyNumberFormat="1" applyFont="1"/>
    <xf numFmtId="195" fontId="9" fillId="0" borderId="0" xfId="0" applyNumberFormat="1" applyFont="1"/>
    <xf numFmtId="0" fontId="89" fillId="0" borderId="0" xfId="0" applyFont="1" applyAlignment="1">
      <alignment horizontal="center" wrapText="1"/>
    </xf>
    <xf numFmtId="3" fontId="89" fillId="0" borderId="0" xfId="0" applyNumberFormat="1" applyFont="1" applyAlignment="1">
      <alignment horizontal="center" wrapText="1"/>
    </xf>
    <xf numFmtId="170" fontId="9" fillId="46" borderId="25" xfId="0" applyNumberFormat="1" applyFont="1" applyFill="1" applyBorder="1" applyAlignment="1">
      <alignment wrapText="1"/>
    </xf>
    <xf numFmtId="164" fontId="9" fillId="46" borderId="25" xfId="0" applyNumberFormat="1" applyFont="1" applyFill="1" applyBorder="1" applyAlignment="1">
      <alignment wrapText="1"/>
    </xf>
    <xf numFmtId="2" fontId="9" fillId="46" borderId="25" xfId="0" applyNumberFormat="1" applyFont="1" applyFill="1" applyBorder="1" applyAlignment="1">
      <alignment wrapText="1"/>
    </xf>
    <xf numFmtId="170" fontId="17" fillId="0" borderId="17" xfId="0" applyNumberFormat="1" applyFont="1" applyBorder="1"/>
    <xf numFmtId="170" fontId="90" fillId="0" borderId="0" xfId="0" applyNumberFormat="1" applyFont="1"/>
    <xf numFmtId="170" fontId="17" fillId="0" borderId="0" xfId="0" applyNumberFormat="1" applyFont="1"/>
    <xf numFmtId="170" fontId="64" fillId="0" borderId="0" xfId="0" applyNumberFormat="1" applyFont="1"/>
    <xf numFmtId="0" fontId="0" fillId="0" borderId="0" xfId="0" applyFill="1"/>
    <xf numFmtId="0" fontId="76" fillId="0" borderId="0" xfId="0" applyFont="1" applyFill="1"/>
    <xf numFmtId="0" fontId="82" fillId="0" borderId="0" xfId="0" applyFont="1" applyFill="1"/>
    <xf numFmtId="0" fontId="81" fillId="0" borderId="0" xfId="0" applyFont="1" applyFill="1"/>
    <xf numFmtId="0" fontId="80" fillId="0" borderId="0" xfId="0" applyFont="1"/>
    <xf numFmtId="0" fontId="17" fillId="46" borderId="17" xfId="0" applyFont="1" applyFill="1" applyBorder="1" applyAlignment="1">
      <alignment wrapText="1"/>
    </xf>
    <xf numFmtId="170" fontId="9" fillId="0" borderId="0" xfId="0" applyNumberFormat="1" applyFont="1"/>
    <xf numFmtId="0" fontId="56" fillId="0" borderId="0" xfId="1176" applyFont="1"/>
    <xf numFmtId="0" fontId="70" fillId="0" borderId="0" xfId="1176" applyFont="1" applyAlignment="1">
      <alignment horizontal="center" vertical="top" wrapText="1"/>
    </xf>
    <xf numFmtId="0" fontId="74" fillId="0" borderId="0" xfId="1176" applyFont="1"/>
    <xf numFmtId="0" fontId="60" fillId="0" borderId="17" xfId="1176" applyFont="1" applyBorder="1" applyAlignment="1">
      <alignment horizontal="left" wrapText="1"/>
    </xf>
    <xf numFmtId="49" fontId="29" fillId="0" borderId="0" xfId="1176" applyNumberFormat="1" applyFont="1" applyFill="1" applyBorder="1" applyAlignment="1"/>
    <xf numFmtId="0" fontId="29" fillId="0" borderId="0" xfId="1176" applyFont="1"/>
    <xf numFmtId="0" fontId="93" fillId="48" borderId="0" xfId="0" applyFont="1" applyFill="1"/>
    <xf numFmtId="0" fontId="94" fillId="0" borderId="0" xfId="1208" applyFont="1" applyAlignment="1">
      <alignment horizontal="center"/>
    </xf>
    <xf numFmtId="0" fontId="94" fillId="48" borderId="39" xfId="1208" applyFont="1" applyFill="1" applyBorder="1" applyAlignment="1">
      <alignment horizontal="center"/>
    </xf>
    <xf numFmtId="0" fontId="94" fillId="48" borderId="0" xfId="1208" applyFont="1" applyFill="1" applyAlignment="1">
      <alignment horizontal="left"/>
    </xf>
    <xf numFmtId="0" fontId="94" fillId="48" borderId="0" xfId="1208" applyFont="1" applyFill="1" applyAlignment="1">
      <alignment horizontal="center"/>
    </xf>
    <xf numFmtId="0" fontId="11" fillId="46" borderId="0" xfId="0" applyFont="1" applyFill="1"/>
    <xf numFmtId="0" fontId="9" fillId="0" borderId="25" xfId="0" quotePrefix="1" applyFont="1" applyBorder="1" applyAlignment="1">
      <alignment horizontal="center" vertical="top" wrapText="1"/>
    </xf>
    <xf numFmtId="0" fontId="60" fillId="0" borderId="17" xfId="0" applyFont="1" applyBorder="1" applyAlignment="1">
      <alignment horizontal="center" vertical="top" wrapText="1"/>
    </xf>
    <xf numFmtId="0" fontId="72" fillId="0" borderId="0" xfId="0" applyFont="1" applyAlignment="1">
      <alignment horizontal="center"/>
    </xf>
    <xf numFmtId="0" fontId="14" fillId="0" borderId="17" xfId="0" applyFont="1" applyBorder="1" applyAlignment="1">
      <alignment horizontal="center" vertical="top" wrapText="1"/>
    </xf>
    <xf numFmtId="0" fontId="95" fillId="0" borderId="23" xfId="0" applyFont="1" applyBorder="1" applyAlignment="1">
      <alignment horizontal="centerContinuous" vertical="top"/>
    </xf>
    <xf numFmtId="0" fontId="95" fillId="0" borderId="23" xfId="0" applyFont="1" applyBorder="1" applyAlignment="1">
      <alignment horizontal="centerContinuous" vertical="top" wrapText="1"/>
    </xf>
    <xf numFmtId="0" fontId="95" fillId="0" borderId="17" xfId="0" applyFont="1" applyBorder="1" applyAlignment="1">
      <alignment horizontal="centerContinuous" vertical="top" wrapText="1"/>
    </xf>
    <xf numFmtId="0" fontId="11" fillId="46" borderId="17" xfId="1209" applyFont="1" applyFill="1" applyBorder="1" applyAlignment="1">
      <alignment vertical="center" wrapText="1"/>
    </xf>
    <xf numFmtId="0" fontId="60" fillId="46" borderId="17" xfId="1209" applyFont="1" applyFill="1" applyBorder="1" applyAlignment="1">
      <alignment horizontal="center" vertical="center" wrapText="1"/>
    </xf>
    <xf numFmtId="173" fontId="11" fillId="46" borderId="17" xfId="1216" applyNumberFormat="1" applyFont="1" applyFill="1" applyBorder="1" applyAlignment="1">
      <alignment horizontal="right" vertical="center" wrapText="1"/>
    </xf>
    <xf numFmtId="0" fontId="11" fillId="46" borderId="0" xfId="0" applyFont="1" applyFill="1" applyBorder="1"/>
    <xf numFmtId="0" fontId="58" fillId="28" borderId="17" xfId="0" applyFont="1" applyFill="1" applyBorder="1" applyAlignment="1">
      <alignment vertical="center"/>
    </xf>
    <xf numFmtId="170" fontId="58" fillId="28" borderId="17" xfId="0" applyNumberFormat="1" applyFont="1" applyFill="1" applyBorder="1" applyAlignment="1">
      <alignment vertical="center"/>
    </xf>
    <xf numFmtId="0" fontId="58" fillId="46" borderId="0" xfId="0" applyFont="1" applyFill="1"/>
    <xf numFmtId="170" fontId="60" fillId="46" borderId="0" xfId="0" applyNumberFormat="1" applyFont="1" applyFill="1"/>
    <xf numFmtId="170" fontId="60" fillId="46" borderId="0" xfId="0" applyNumberFormat="1" applyFont="1" applyFill="1" applyAlignment="1">
      <alignment horizontal="right"/>
    </xf>
    <xf numFmtId="0" fontId="60" fillId="46" borderId="0" xfId="0" applyFont="1" applyFill="1"/>
    <xf numFmtId="0" fontId="11" fillId="0" borderId="0" xfId="0" applyFont="1" applyFill="1"/>
    <xf numFmtId="4" fontId="9" fillId="0" borderId="17" xfId="0" applyNumberFormat="1" applyFont="1" applyBorder="1"/>
    <xf numFmtId="164" fontId="64" fillId="0" borderId="0" xfId="0" applyNumberFormat="1" applyFont="1"/>
    <xf numFmtId="172" fontId="31" fillId="0" borderId="0" xfId="0" applyNumberFormat="1" applyFont="1"/>
    <xf numFmtId="173" fontId="8" fillId="46" borderId="17" xfId="1216" applyNumberFormat="1" applyFont="1" applyFill="1" applyBorder="1" applyAlignment="1">
      <alignment horizontal="right" wrapText="1"/>
    </xf>
    <xf numFmtId="0" fontId="84" fillId="0" borderId="0" xfId="0" applyFont="1" applyFill="1"/>
    <xf numFmtId="0" fontId="85" fillId="0" borderId="0" xfId="0" applyFont="1" applyFill="1"/>
    <xf numFmtId="4" fontId="84" fillId="0" borderId="0" xfId="0" applyNumberFormat="1" applyFont="1" applyFill="1"/>
    <xf numFmtId="0" fontId="11" fillId="48" borderId="0" xfId="0" applyFont="1" applyFill="1"/>
    <xf numFmtId="9" fontId="9" fillId="0" borderId="0" xfId="0" applyNumberFormat="1" applyFont="1"/>
    <xf numFmtId="168" fontId="193" fillId="0" borderId="0" xfId="0" applyNumberFormat="1" applyFont="1"/>
    <xf numFmtId="0" fontId="9" fillId="46" borderId="0" xfId="0" applyFont="1" applyFill="1"/>
    <xf numFmtId="0" fontId="9" fillId="46" borderId="25" xfId="0" applyFont="1" applyFill="1" applyBorder="1" applyAlignment="1">
      <alignment vertical="top" wrapText="1"/>
    </xf>
    <xf numFmtId="0" fontId="9" fillId="46" borderId="17" xfId="0" applyFont="1" applyFill="1" applyBorder="1" applyAlignment="1">
      <alignment vertical="top" wrapText="1"/>
    </xf>
    <xf numFmtId="0" fontId="9" fillId="46" borderId="26" xfId="0" applyFont="1" applyFill="1" applyBorder="1" applyAlignment="1">
      <alignment vertical="top" wrapText="1"/>
    </xf>
    <xf numFmtId="1" fontId="9" fillId="46" borderId="25" xfId="0" applyNumberFormat="1" applyFont="1" applyFill="1" applyBorder="1" applyAlignment="1">
      <alignment vertical="top" wrapText="1"/>
    </xf>
    <xf numFmtId="3" fontId="194" fillId="0" borderId="0" xfId="0" applyNumberFormat="1" applyFont="1"/>
    <xf numFmtId="0" fontId="194" fillId="0" borderId="0" xfId="0" applyFont="1"/>
    <xf numFmtId="0" fontId="15" fillId="44" borderId="40" xfId="0" applyFont="1" applyFill="1" applyBorder="1" applyAlignment="1">
      <alignment horizontal="centerContinuous"/>
    </xf>
    <xf numFmtId="0" fontId="9" fillId="44" borderId="41" xfId="0" applyFont="1" applyFill="1" applyBorder="1" applyAlignment="1">
      <alignment horizontal="centerContinuous"/>
    </xf>
    <xf numFmtId="0" fontId="9" fillId="44" borderId="42" xfId="0" applyFont="1" applyFill="1" applyBorder="1" applyAlignment="1">
      <alignment horizontal="centerContinuous"/>
    </xf>
    <xf numFmtId="0" fontId="9" fillId="44" borderId="24" xfId="0" applyFont="1" applyFill="1" applyBorder="1"/>
    <xf numFmtId="10" fontId="9" fillId="44" borderId="39" xfId="0" applyNumberFormat="1" applyFont="1" applyFill="1" applyBorder="1" applyAlignment="1"/>
    <xf numFmtId="0" fontId="9" fillId="44" borderId="43" xfId="0" applyFont="1" applyFill="1" applyBorder="1"/>
    <xf numFmtId="169" fontId="9" fillId="44" borderId="44" xfId="0" applyNumberFormat="1" applyFont="1" applyFill="1" applyBorder="1" applyAlignment="1">
      <alignment horizontal="left"/>
    </xf>
    <xf numFmtId="49" fontId="194" fillId="44" borderId="44" xfId="0" applyNumberFormat="1" applyFont="1" applyFill="1" applyBorder="1" applyAlignment="1">
      <alignment horizontal="right"/>
    </xf>
    <xf numFmtId="169" fontId="194" fillId="44" borderId="44" xfId="0" applyNumberFormat="1" applyFont="1" applyFill="1" applyBorder="1" applyAlignment="1">
      <alignment horizontal="left"/>
    </xf>
    <xf numFmtId="0" fontId="9" fillId="44" borderId="45" xfId="0" applyFont="1" applyFill="1" applyBorder="1"/>
    <xf numFmtId="0" fontId="195" fillId="46" borderId="0" xfId="0" applyFont="1" applyFill="1" applyAlignment="1">
      <alignment horizontal="left"/>
    </xf>
    <xf numFmtId="0" fontId="196" fillId="46" borderId="0" xfId="0" applyFont="1" applyFill="1" applyAlignment="1">
      <alignment horizontal="left"/>
    </xf>
    <xf numFmtId="0" fontId="9" fillId="0" borderId="24" xfId="0" applyFont="1" applyBorder="1"/>
    <xf numFmtId="0" fontId="194" fillId="46" borderId="0" xfId="0" applyFont="1" applyFill="1" applyAlignment="1">
      <alignment horizontal="right"/>
    </xf>
    <xf numFmtId="4" fontId="194" fillId="46" borderId="0" xfId="0" applyNumberFormat="1" applyFont="1" applyFill="1" applyAlignment="1">
      <alignment horizontal="left"/>
    </xf>
    <xf numFmtId="0" fontId="194" fillId="46" borderId="0" xfId="0" applyFont="1" applyFill="1" applyAlignment="1">
      <alignment horizontal="left"/>
    </xf>
    <xf numFmtId="0" fontId="195" fillId="46" borderId="17" xfId="0" applyFont="1" applyFill="1" applyBorder="1" applyAlignment="1">
      <alignment horizontal="center" vertical="center" wrapText="1"/>
    </xf>
    <xf numFmtId="0" fontId="195" fillId="46" borderId="33" xfId="0" applyFont="1" applyFill="1" applyBorder="1" applyAlignment="1">
      <alignment horizontal="center" vertical="center" wrapText="1"/>
    </xf>
    <xf numFmtId="4" fontId="195" fillId="3" borderId="17" xfId="0" applyNumberFormat="1" applyFont="1" applyFill="1" applyBorder="1" applyAlignment="1">
      <alignment horizontal="center" vertical="top" wrapText="1"/>
    </xf>
    <xf numFmtId="4" fontId="197" fillId="49" borderId="17" xfId="0" applyNumberFormat="1" applyFont="1" applyFill="1" applyBorder="1" applyAlignment="1">
      <alignment horizontal="center" wrapText="1"/>
    </xf>
    <xf numFmtId="4" fontId="195" fillId="46" borderId="17" xfId="0" applyNumberFormat="1" applyFont="1" applyFill="1" applyBorder="1" applyAlignment="1">
      <alignment horizontal="center"/>
    </xf>
    <xf numFmtId="4" fontId="195" fillId="46" borderId="26" xfId="0" applyNumberFormat="1" applyFont="1" applyFill="1" applyBorder="1" applyAlignment="1">
      <alignment horizontal="center"/>
    </xf>
    <xf numFmtId="4" fontId="195" fillId="46" borderId="33" xfId="0" applyNumberFormat="1" applyFont="1" applyFill="1" applyBorder="1" applyAlignment="1">
      <alignment horizontal="center"/>
    </xf>
    <xf numFmtId="4" fontId="195" fillId="3" borderId="17" xfId="0" applyNumberFormat="1" applyFont="1" applyFill="1" applyBorder="1" applyAlignment="1">
      <alignment horizontal="center"/>
    </xf>
    <xf numFmtId="1" fontId="198" fillId="46" borderId="17" xfId="0" applyNumberFormat="1" applyFont="1" applyFill="1" applyBorder="1" applyAlignment="1">
      <alignment horizontal="center" vertical="center"/>
    </xf>
    <xf numFmtId="1" fontId="198" fillId="46" borderId="26" xfId="0" applyNumberFormat="1" applyFont="1" applyFill="1" applyBorder="1" applyAlignment="1">
      <alignment horizontal="center" vertical="center"/>
    </xf>
    <xf numFmtId="1" fontId="199" fillId="46" borderId="33" xfId="0" applyNumberFormat="1" applyFont="1" applyFill="1" applyBorder="1" applyAlignment="1">
      <alignment horizontal="center" vertical="center" wrapText="1"/>
    </xf>
    <xf numFmtId="1" fontId="199" fillId="0" borderId="0" xfId="0" applyNumberFormat="1" applyFont="1" applyAlignment="1">
      <alignment horizontal="center" vertical="center"/>
    </xf>
    <xf numFmtId="173" fontId="196" fillId="46" borderId="17" xfId="1216" applyNumberFormat="1" applyFont="1" applyFill="1" applyBorder="1" applyAlignment="1">
      <alignment horizontal="left" vertical="top"/>
    </xf>
    <xf numFmtId="173" fontId="9" fillId="46" borderId="26" xfId="1216" applyNumberFormat="1" applyFont="1" applyFill="1" applyBorder="1" applyAlignment="1">
      <alignment horizontal="right" vertical="top"/>
    </xf>
    <xf numFmtId="173" fontId="9" fillId="46" borderId="6" xfId="1216" applyNumberFormat="1" applyFont="1" applyFill="1" applyBorder="1" applyAlignment="1">
      <alignment horizontal="right" vertical="top"/>
    </xf>
    <xf numFmtId="173" fontId="195" fillId="3" borderId="17" xfId="1216" applyNumberFormat="1" applyFont="1" applyFill="1" applyBorder="1" applyAlignment="1">
      <alignment horizontal="right" vertical="top"/>
    </xf>
    <xf numFmtId="4" fontId="200" fillId="46" borderId="17" xfId="0" applyNumberFormat="1" applyFont="1" applyFill="1" applyBorder="1" applyAlignment="1">
      <alignment horizontal="right"/>
    </xf>
    <xf numFmtId="4" fontId="196" fillId="46" borderId="17" xfId="0" applyNumberFormat="1" applyFont="1" applyFill="1" applyBorder="1" applyAlignment="1">
      <alignment horizontal="left"/>
    </xf>
    <xf numFmtId="169" fontId="196" fillId="46" borderId="17" xfId="0" applyNumberFormat="1" applyFont="1" applyFill="1" applyBorder="1" applyAlignment="1">
      <alignment horizontal="right"/>
    </xf>
    <xf numFmtId="4" fontId="196" fillId="46" borderId="26" xfId="0" applyNumberFormat="1" applyFont="1" applyFill="1" applyBorder="1" applyAlignment="1">
      <alignment horizontal="right"/>
    </xf>
    <xf numFmtId="4" fontId="195" fillId="3" borderId="17" xfId="0" applyNumberFormat="1" applyFont="1" applyFill="1" applyBorder="1" applyAlignment="1">
      <alignment horizontal="right"/>
    </xf>
    <xf numFmtId="169" fontId="9" fillId="46" borderId="17" xfId="0" applyNumberFormat="1" applyFont="1" applyFill="1" applyBorder="1" applyAlignment="1">
      <alignment horizontal="right"/>
    </xf>
    <xf numFmtId="4" fontId="196" fillId="46" borderId="17" xfId="0" applyNumberFormat="1" applyFont="1" applyFill="1" applyBorder="1" applyAlignment="1">
      <alignment horizontal="right"/>
    </xf>
    <xf numFmtId="194" fontId="195" fillId="3" borderId="17" xfId="1216" applyNumberFormat="1" applyFont="1" applyFill="1" applyBorder="1" applyAlignment="1">
      <alignment horizontal="right" vertical="top"/>
    </xf>
    <xf numFmtId="3" fontId="194" fillId="0" borderId="17" xfId="0" applyNumberFormat="1" applyFont="1" applyBorder="1" applyAlignment="1">
      <alignment horizontal="right"/>
    </xf>
    <xf numFmtId="4" fontId="194" fillId="0" borderId="17" xfId="0" applyNumberFormat="1" applyFont="1" applyBorder="1" applyAlignment="1">
      <alignment horizontal="right"/>
    </xf>
    <xf numFmtId="0" fontId="194" fillId="46" borderId="0" xfId="0" applyFont="1" applyFill="1"/>
    <xf numFmtId="4" fontId="194" fillId="46" borderId="0" xfId="0" applyNumberFormat="1" applyFont="1" applyFill="1" applyAlignment="1">
      <alignment horizontal="right"/>
    </xf>
    <xf numFmtId="0" fontId="15" fillId="25" borderId="28" xfId="0" applyFont="1" applyFill="1" applyBorder="1" applyAlignment="1">
      <alignment horizontal="centerContinuous" wrapText="1"/>
    </xf>
    <xf numFmtId="0" fontId="9" fillId="25" borderId="29" xfId="0" applyFont="1" applyFill="1" applyBorder="1" applyAlignment="1">
      <alignment horizontal="centerContinuous" wrapText="1"/>
    </xf>
    <xf numFmtId="0" fontId="9" fillId="25" borderId="27" xfId="0" applyFont="1" applyFill="1" applyBorder="1" applyAlignment="1">
      <alignment horizontal="centerContinuous" wrapText="1"/>
    </xf>
    <xf numFmtId="0" fontId="9" fillId="25" borderId="17" xfId="0" applyFont="1" applyFill="1" applyBorder="1" applyAlignment="1">
      <alignment horizontal="right" vertical="center" wrapText="1"/>
    </xf>
    <xf numFmtId="0" fontId="9" fillId="25" borderId="17" xfId="0" applyFont="1" applyFill="1" applyBorder="1" applyAlignment="1">
      <alignment horizontal="center" vertical="center" wrapText="1"/>
    </xf>
    <xf numFmtId="0" fontId="9" fillId="25" borderId="17" xfId="0" applyFont="1" applyFill="1" applyBorder="1" applyAlignment="1">
      <alignment horizontal="right"/>
    </xf>
    <xf numFmtId="0" fontId="9" fillId="25" borderId="17" xfId="0" applyFont="1" applyFill="1" applyBorder="1"/>
    <xf numFmtId="4" fontId="9" fillId="25" borderId="17" xfId="0" applyNumberFormat="1" applyFont="1" applyFill="1" applyBorder="1" applyAlignment="1">
      <alignment horizontal="right"/>
    </xf>
    <xf numFmtId="4" fontId="9" fillId="25" borderId="17" xfId="0" applyNumberFormat="1" applyFont="1" applyFill="1" applyBorder="1"/>
    <xf numFmtId="170" fontId="9" fillId="25" borderId="17" xfId="0" applyNumberFormat="1" applyFont="1" applyFill="1" applyBorder="1" applyAlignment="1">
      <alignment horizontal="right"/>
    </xf>
    <xf numFmtId="170" fontId="9" fillId="25" borderId="17" xfId="0" applyNumberFormat="1" applyFont="1" applyFill="1" applyBorder="1"/>
    <xf numFmtId="4" fontId="9" fillId="46" borderId="29" xfId="0" applyNumberFormat="1" applyFont="1" applyFill="1" applyBorder="1" applyAlignment="1">
      <alignment horizontal="right"/>
    </xf>
    <xf numFmtId="49" fontId="9" fillId="44" borderId="17" xfId="0" applyNumberFormat="1" applyFont="1" applyFill="1" applyBorder="1" applyAlignment="1">
      <alignment horizontal="right"/>
    </xf>
    <xf numFmtId="170" fontId="9" fillId="44" borderId="33" xfId="0" applyNumberFormat="1" applyFont="1" applyFill="1" applyBorder="1"/>
    <xf numFmtId="170" fontId="9" fillId="44" borderId="17" xfId="0" applyNumberFormat="1" applyFont="1" applyFill="1" applyBorder="1"/>
    <xf numFmtId="0" fontId="15" fillId="33" borderId="28" xfId="0" applyFont="1" applyFill="1" applyBorder="1" applyAlignment="1">
      <alignment horizontal="centerContinuous" wrapText="1"/>
    </xf>
    <xf numFmtId="0" fontId="9" fillId="33" borderId="26" xfId="0" applyFont="1" applyFill="1" applyBorder="1" applyAlignment="1">
      <alignment horizontal="centerContinuous"/>
    </xf>
    <xf numFmtId="0" fontId="9" fillId="33" borderId="17" xfId="0" applyFont="1" applyFill="1" applyBorder="1" applyAlignment="1">
      <alignment horizontal="centerContinuous"/>
    </xf>
    <xf numFmtId="170" fontId="9" fillId="33" borderId="17" xfId="0" applyNumberFormat="1" applyFont="1" applyFill="1" applyBorder="1"/>
    <xf numFmtId="170" fontId="201" fillId="33" borderId="17" xfId="0" applyNumberFormat="1" applyFont="1" applyFill="1" applyBorder="1"/>
    <xf numFmtId="0" fontId="201" fillId="0" borderId="0" xfId="0" applyFont="1"/>
    <xf numFmtId="3" fontId="9" fillId="0" borderId="0" xfId="0" applyNumberFormat="1" applyFont="1"/>
    <xf numFmtId="10" fontId="202" fillId="0" borderId="0" xfId="0" applyNumberFormat="1" applyFont="1" applyAlignment="1">
      <alignment horizontal="center" vertical="center"/>
    </xf>
    <xf numFmtId="169" fontId="196" fillId="44" borderId="0" xfId="0" applyNumberFormat="1" applyFont="1" applyFill="1" applyBorder="1" applyAlignment="1">
      <alignment horizontal="left"/>
    </xf>
    <xf numFmtId="170" fontId="194" fillId="0" borderId="0" xfId="0" applyNumberFormat="1" applyFont="1"/>
    <xf numFmtId="0" fontId="72" fillId="46" borderId="0" xfId="1176" applyFont="1" applyFill="1"/>
    <xf numFmtId="0" fontId="9" fillId="46" borderId="0" xfId="0" applyFont="1" applyFill="1" applyAlignment="1">
      <alignment horizontal="right"/>
    </xf>
    <xf numFmtId="0" fontId="15" fillId="46" borderId="0" xfId="0" applyFont="1" applyFill="1"/>
    <xf numFmtId="0" fontId="58" fillId="46" borderId="0" xfId="0" applyFont="1" applyFill="1" applyAlignment="1">
      <alignment horizontal="centerContinuous"/>
    </xf>
    <xf numFmtId="0" fontId="9" fillId="46" borderId="17" xfId="0" applyFont="1" applyFill="1" applyBorder="1" applyAlignment="1">
      <alignment horizontal="center" vertical="top" wrapText="1"/>
    </xf>
    <xf numFmtId="0" fontId="17" fillId="46" borderId="0" xfId="0" applyFont="1" applyFill="1"/>
    <xf numFmtId="0" fontId="17" fillId="46" borderId="0" xfId="0" applyFont="1" applyFill="1" applyAlignment="1">
      <alignment horizontal="center"/>
    </xf>
    <xf numFmtId="0" fontId="9" fillId="44" borderId="29" xfId="0" applyFont="1" applyFill="1" applyBorder="1" applyAlignment="1">
      <alignment horizontal="centerContinuous"/>
    </xf>
    <xf numFmtId="4" fontId="9" fillId="44" borderId="17" xfId="0" applyNumberFormat="1" applyFont="1" applyFill="1" applyBorder="1" applyAlignment="1">
      <alignment horizontal="centerContinuous"/>
    </xf>
    <xf numFmtId="0" fontId="15" fillId="44" borderId="28" xfId="0" applyFont="1" applyFill="1" applyBorder="1" applyAlignment="1">
      <alignment horizontal="centerContinuous" wrapText="1"/>
    </xf>
    <xf numFmtId="0" fontId="68" fillId="46" borderId="0" xfId="0" applyFont="1" applyFill="1"/>
    <xf numFmtId="4" fontId="68" fillId="46" borderId="0" xfId="0" applyNumberFormat="1" applyFont="1" applyFill="1"/>
    <xf numFmtId="0" fontId="64" fillId="46" borderId="0" xfId="0" applyFont="1" applyFill="1" applyAlignment="1">
      <alignment horizontal="center"/>
    </xf>
    <xf numFmtId="0" fontId="64" fillId="46" borderId="0" xfId="0" applyFont="1" applyFill="1"/>
    <xf numFmtId="4" fontId="64" fillId="46" borderId="0" xfId="0" applyNumberFormat="1" applyFont="1" applyFill="1" applyAlignment="1">
      <alignment horizontal="center"/>
    </xf>
    <xf numFmtId="0" fontId="203" fillId="49" borderId="0" xfId="0" applyFont="1" applyFill="1"/>
    <xf numFmtId="0" fontId="204" fillId="49" borderId="0" xfId="0" applyFont="1" applyFill="1"/>
    <xf numFmtId="0" fontId="76" fillId="46" borderId="0" xfId="0" applyFont="1" applyFill="1"/>
    <xf numFmtId="0" fontId="0" fillId="46" borderId="0" xfId="0" applyFill="1"/>
    <xf numFmtId="4" fontId="202" fillId="46" borderId="0" xfId="0" applyNumberFormat="1" applyFont="1" applyFill="1"/>
    <xf numFmtId="4" fontId="9" fillId="0" borderId="0" xfId="0" applyNumberFormat="1" applyFont="1"/>
    <xf numFmtId="170" fontId="11" fillId="46" borderId="17" xfId="0" applyNumberFormat="1" applyFont="1" applyFill="1" applyBorder="1"/>
    <xf numFmtId="170" fontId="201" fillId="0" borderId="0" xfId="0" applyNumberFormat="1" applyFont="1"/>
    <xf numFmtId="0" fontId="58" fillId="46" borderId="17" xfId="0" applyFont="1" applyFill="1" applyBorder="1" applyAlignment="1">
      <alignment wrapText="1"/>
    </xf>
    <xf numFmtId="0" fontId="9" fillId="46" borderId="0" xfId="0" applyFont="1" applyFill="1" applyAlignment="1">
      <alignment horizontal="centerContinuous"/>
    </xf>
    <xf numFmtId="0" fontId="9" fillId="46" borderId="25" xfId="0" applyFont="1" applyFill="1" applyBorder="1" applyAlignment="1">
      <alignment horizontal="center" vertical="top" wrapText="1"/>
    </xf>
    <xf numFmtId="0" fontId="10" fillId="46" borderId="22" xfId="0" applyFont="1" applyFill="1" applyBorder="1" applyAlignment="1">
      <alignment vertical="top" wrapText="1"/>
    </xf>
    <xf numFmtId="195" fontId="9" fillId="46" borderId="17" xfId="1216" applyNumberFormat="1" applyFont="1" applyFill="1" applyBorder="1" applyAlignment="1">
      <alignment horizontal="right" wrapText="1"/>
    </xf>
    <xf numFmtId="2" fontId="9" fillId="46" borderId="25" xfId="0" applyNumberFormat="1" applyFont="1" applyFill="1" applyBorder="1" applyAlignment="1">
      <alignment vertical="top" wrapText="1"/>
    </xf>
    <xf numFmtId="4" fontId="9" fillId="46" borderId="25" xfId="0" applyNumberFormat="1" applyFont="1" applyFill="1" applyBorder="1" applyAlignment="1">
      <alignment vertical="top" wrapText="1"/>
    </xf>
    <xf numFmtId="194" fontId="9" fillId="46" borderId="17" xfId="1216" applyNumberFormat="1" applyFont="1" applyFill="1" applyBorder="1" applyAlignment="1">
      <alignment horizontal="right" wrapText="1"/>
    </xf>
    <xf numFmtId="0" fontId="9" fillId="46" borderId="17" xfId="1209" applyFont="1" applyFill="1" applyBorder="1" applyAlignment="1">
      <alignment horizontal="center" vertical="center" wrapText="1"/>
    </xf>
    <xf numFmtId="0" fontId="205" fillId="46" borderId="17" xfId="1209" applyFont="1" applyFill="1" applyBorder="1" applyAlignment="1">
      <alignment horizontal="left" vertical="center" wrapText="1"/>
    </xf>
    <xf numFmtId="0" fontId="205" fillId="46" borderId="17" xfId="1209" applyFont="1" applyFill="1" applyBorder="1" applyAlignment="1">
      <alignment horizontal="center" vertical="center" wrapText="1"/>
    </xf>
    <xf numFmtId="0" fontId="206" fillId="46" borderId="17" xfId="1209" applyFont="1" applyFill="1" applyBorder="1" applyAlignment="1">
      <alignment horizontal="center" vertical="center" wrapText="1"/>
    </xf>
    <xf numFmtId="170" fontId="200" fillId="49" borderId="33" xfId="0" applyNumberFormat="1" applyFont="1" applyFill="1" applyBorder="1"/>
    <xf numFmtId="4" fontId="9" fillId="28" borderId="17" xfId="0" applyNumberFormat="1" applyFont="1" applyFill="1" applyBorder="1" applyAlignment="1">
      <alignment horizontal="center" wrapText="1"/>
    </xf>
    <xf numFmtId="10" fontId="9" fillId="44" borderId="43" xfId="0" applyNumberFormat="1" applyFont="1" applyFill="1" applyBorder="1" applyAlignment="1">
      <alignment horizontal="right"/>
    </xf>
    <xf numFmtId="10" fontId="9" fillId="44" borderId="43" xfId="0" applyNumberFormat="1" applyFont="1" applyFill="1" applyBorder="1" applyAlignment="1"/>
    <xf numFmtId="170" fontId="201" fillId="48" borderId="17" xfId="0" applyNumberFormat="1" applyFont="1" applyFill="1" applyBorder="1"/>
    <xf numFmtId="0" fontId="111" fillId="0" borderId="0" xfId="0" applyFont="1" applyAlignment="1">
      <alignment horizontal="right"/>
    </xf>
    <xf numFmtId="0" fontId="111" fillId="0" borderId="0" xfId="0" applyFont="1"/>
    <xf numFmtId="170" fontId="197" fillId="49" borderId="17" xfId="0" applyNumberFormat="1" applyFont="1" applyFill="1" applyBorder="1"/>
    <xf numFmtId="3" fontId="195" fillId="34" borderId="0" xfId="0" applyNumberFormat="1" applyFont="1" applyFill="1"/>
    <xf numFmtId="0" fontId="11" fillId="46" borderId="0" xfId="0" applyFont="1" applyFill="1" applyAlignment="1">
      <alignment horizontal="centerContinuous"/>
    </xf>
    <xf numFmtId="0" fontId="65" fillId="46" borderId="0" xfId="0" applyFont="1" applyFill="1"/>
    <xf numFmtId="0" fontId="58" fillId="0" borderId="17" xfId="0" applyFont="1" applyBorder="1" applyAlignment="1">
      <alignment horizontal="center" vertical="top" wrapText="1"/>
    </xf>
    <xf numFmtId="4" fontId="11" fillId="28" borderId="17" xfId="0" applyNumberFormat="1" applyFont="1" applyFill="1" applyBorder="1" applyAlignment="1">
      <alignment horizontal="center" wrapText="1"/>
    </xf>
    <xf numFmtId="4" fontId="11" fillId="0" borderId="17" xfId="0" applyNumberFormat="1" applyFont="1" applyBorder="1" applyAlignment="1">
      <alignment horizontal="center" wrapText="1"/>
    </xf>
    <xf numFmtId="3" fontId="65" fillId="46" borderId="0" xfId="0" applyNumberFormat="1" applyFont="1" applyFill="1"/>
    <xf numFmtId="0" fontId="65" fillId="46" borderId="0" xfId="0" applyFont="1" applyFill="1" applyAlignment="1">
      <alignment horizontal="center"/>
    </xf>
    <xf numFmtId="0" fontId="11" fillId="0" borderId="0" xfId="0" applyFont="1" applyAlignment="1">
      <alignment horizontal="center"/>
    </xf>
    <xf numFmtId="0" fontId="11" fillId="46" borderId="0" xfId="0" applyFont="1" applyFill="1" applyAlignment="1">
      <alignment horizontal="center"/>
    </xf>
    <xf numFmtId="0" fontId="11" fillId="0" borderId="17" xfId="0" applyFont="1" applyBorder="1" applyAlignment="1">
      <alignment horizontal="center" wrapText="1"/>
    </xf>
    <xf numFmtId="3" fontId="11" fillId="0" borderId="0" xfId="0" applyNumberFormat="1" applyFont="1"/>
    <xf numFmtId="4" fontId="11" fillId="28" borderId="0" xfId="0" applyNumberFormat="1" applyFont="1" applyFill="1" applyBorder="1" applyAlignment="1">
      <alignment horizontal="center" wrapText="1"/>
    </xf>
    <xf numFmtId="4" fontId="11" fillId="0" borderId="0" xfId="0" applyNumberFormat="1" applyFont="1" applyBorder="1" applyAlignment="1">
      <alignment horizontal="center" wrapText="1"/>
    </xf>
    <xf numFmtId="0" fontId="11" fillId="0" borderId="21" xfId="0" applyFont="1" applyBorder="1" applyAlignment="1">
      <alignment horizontal="centerContinuous"/>
    </xf>
    <xf numFmtId="0" fontId="11" fillId="0" borderId="46" xfId="0" applyFont="1" applyBorder="1" applyAlignment="1">
      <alignment horizontal="centerContinuous"/>
    </xf>
    <xf numFmtId="0" fontId="11" fillId="0" borderId="47" xfId="0" applyFont="1" applyBorder="1" applyAlignment="1">
      <alignment horizontal="centerContinuous"/>
    </xf>
    <xf numFmtId="0" fontId="58" fillId="0" borderId="49" xfId="0" applyFont="1" applyBorder="1" applyAlignment="1">
      <alignment horizontal="centerContinuous"/>
    </xf>
    <xf numFmtId="0" fontId="11" fillId="0" borderId="50" xfId="0" applyFont="1" applyBorder="1" applyAlignment="1">
      <alignment horizontal="centerContinuous"/>
    </xf>
    <xf numFmtId="0" fontId="58" fillId="46" borderId="50" xfId="0" applyFont="1" applyFill="1" applyBorder="1" applyAlignment="1">
      <alignment horizontal="centerContinuous"/>
    </xf>
    <xf numFmtId="0" fontId="11" fillId="46" borderId="50" xfId="0" applyFont="1" applyFill="1" applyBorder="1" applyAlignment="1">
      <alignment horizontal="centerContinuous"/>
    </xf>
    <xf numFmtId="0" fontId="11" fillId="46" borderId="51" xfId="0" applyFont="1" applyFill="1" applyBorder="1" applyAlignment="1">
      <alignment horizontal="centerContinuous"/>
    </xf>
    <xf numFmtId="0" fontId="60" fillId="0" borderId="32" xfId="0" applyFont="1" applyBorder="1" applyAlignment="1">
      <alignment horizontal="centerContinuous" vertical="center"/>
    </xf>
    <xf numFmtId="0" fontId="60" fillId="0" borderId="17" xfId="0" applyFont="1" applyBorder="1" applyAlignment="1">
      <alignment horizontal="centerContinuous" vertical="center"/>
    </xf>
    <xf numFmtId="0" fontId="60" fillId="0" borderId="34" xfId="0" applyFont="1" applyBorder="1" applyAlignment="1">
      <alignment horizontal="center" vertical="center" wrapText="1"/>
    </xf>
    <xf numFmtId="0" fontId="58" fillId="0" borderId="21" xfId="0" applyFont="1" applyBorder="1" applyAlignment="1">
      <alignment horizontal="centerContinuous" vertical="center"/>
    </xf>
    <xf numFmtId="0" fontId="58" fillId="0" borderId="46" xfId="0" applyFont="1" applyBorder="1" applyAlignment="1">
      <alignment horizontal="centerContinuous" vertical="center"/>
    </xf>
    <xf numFmtId="0" fontId="58" fillId="0" borderId="47" xfId="0" applyFont="1" applyBorder="1" applyAlignment="1">
      <alignment horizontal="centerContinuous" vertical="center"/>
    </xf>
    <xf numFmtId="0" fontId="58" fillId="46" borderId="46" xfId="0" applyFont="1" applyFill="1" applyBorder="1" applyAlignment="1">
      <alignment horizontal="centerContinuous" vertical="center"/>
    </xf>
    <xf numFmtId="0" fontId="60" fillId="0" borderId="33" xfId="0" applyFont="1" applyBorder="1" applyAlignment="1">
      <alignment horizontal="center" vertical="top" wrapText="1"/>
    </xf>
    <xf numFmtId="0" fontId="9" fillId="0" borderId="32" xfId="0" applyFont="1" applyBorder="1" applyAlignment="1">
      <alignment horizontal="center" vertical="top" wrapText="1"/>
    </xf>
    <xf numFmtId="0" fontId="9" fillId="0" borderId="34" xfId="0" applyFont="1" applyBorder="1" applyAlignment="1">
      <alignment horizontal="center" vertical="top" wrapText="1"/>
    </xf>
    <xf numFmtId="0" fontId="60" fillId="0" borderId="32" xfId="0" applyFont="1" applyBorder="1" applyAlignment="1">
      <alignment horizontal="center" vertical="top" wrapText="1"/>
    </xf>
    <xf numFmtId="0" fontId="60" fillId="0" borderId="34" xfId="0" applyFont="1" applyBorder="1" applyAlignment="1">
      <alignment horizontal="center" vertical="top" wrapText="1"/>
    </xf>
    <xf numFmtId="0" fontId="60" fillId="46" borderId="32" xfId="0" applyFont="1" applyFill="1" applyBorder="1" applyAlignment="1">
      <alignment horizontal="center" vertical="top" wrapText="1"/>
    </xf>
    <xf numFmtId="0" fontId="60" fillId="46" borderId="17" xfId="0" applyFont="1" applyFill="1" applyBorder="1" applyAlignment="1">
      <alignment horizontal="center" vertical="top" wrapText="1"/>
    </xf>
    <xf numFmtId="0" fontId="60" fillId="46" borderId="34" xfId="0" applyFont="1" applyFill="1" applyBorder="1" applyAlignment="1">
      <alignment horizontal="center" vertical="top" wrapText="1"/>
    </xf>
    <xf numFmtId="0" fontId="60" fillId="0" borderId="0" xfId="0" applyFont="1" applyAlignment="1">
      <alignment horizontal="center" vertical="top" wrapText="1"/>
    </xf>
    <xf numFmtId="0" fontId="113" fillId="0" borderId="31" xfId="0" applyFont="1" applyBorder="1" applyAlignment="1">
      <alignment horizontal="center"/>
    </xf>
    <xf numFmtId="0" fontId="113" fillId="46" borderId="22" xfId="0" applyFont="1" applyFill="1" applyBorder="1" applyAlignment="1">
      <alignment horizontal="center" vertical="center"/>
    </xf>
    <xf numFmtId="0" fontId="113" fillId="46" borderId="17" xfId="0" applyFont="1" applyFill="1" applyBorder="1" applyAlignment="1">
      <alignment horizontal="center" vertical="top" wrapText="1"/>
    </xf>
    <xf numFmtId="0" fontId="113" fillId="46" borderId="33" xfId="0" applyFont="1" applyFill="1" applyBorder="1" applyAlignment="1">
      <alignment horizontal="center" vertical="top" wrapText="1"/>
    </xf>
    <xf numFmtId="0" fontId="113" fillId="46" borderId="32" xfId="0" applyFont="1" applyFill="1" applyBorder="1" applyAlignment="1">
      <alignment horizontal="center" vertical="top" wrapText="1"/>
    </xf>
    <xf numFmtId="0" fontId="113" fillId="46" borderId="34" xfId="0" applyFont="1" applyFill="1" applyBorder="1" applyAlignment="1">
      <alignment horizontal="center" vertical="top" wrapText="1"/>
    </xf>
    <xf numFmtId="0" fontId="113" fillId="0" borderId="32" xfId="0" applyFont="1" applyBorder="1" applyAlignment="1">
      <alignment horizontal="center" vertical="top" wrapText="1"/>
    </xf>
    <xf numFmtId="0" fontId="113" fillId="0" borderId="17" xfId="0" applyFont="1" applyBorder="1" applyAlignment="1">
      <alignment horizontal="center" vertical="top" wrapText="1"/>
    </xf>
    <xf numFmtId="0" fontId="113" fillId="0" borderId="34" xfId="0" applyFont="1" applyBorder="1" applyAlignment="1">
      <alignment horizontal="center" vertical="top" wrapText="1"/>
    </xf>
    <xf numFmtId="170" fontId="31" fillId="0" borderId="0" xfId="0" applyNumberFormat="1" applyFont="1" applyBorder="1"/>
    <xf numFmtId="170" fontId="31" fillId="0" borderId="48" xfId="0" applyNumberFormat="1" applyFont="1" applyBorder="1"/>
    <xf numFmtId="0" fontId="113" fillId="0" borderId="0" xfId="0" applyFont="1" applyAlignment="1">
      <alignment horizontal="center" vertical="top" wrapText="1"/>
    </xf>
    <xf numFmtId="0" fontId="58" fillId="0" borderId="32" xfId="0" applyFont="1" applyBorder="1" applyAlignment="1">
      <alignment horizontal="center"/>
    </xf>
    <xf numFmtId="0" fontId="11" fillId="46" borderId="17" xfId="0" applyFont="1" applyFill="1" applyBorder="1"/>
    <xf numFmtId="0" fontId="11" fillId="46" borderId="33" xfId="0" applyFont="1" applyFill="1" applyBorder="1"/>
    <xf numFmtId="0" fontId="11" fillId="46" borderId="32" xfId="0" applyFont="1" applyFill="1" applyBorder="1"/>
    <xf numFmtId="0" fontId="11" fillId="46" borderId="34" xfId="0" applyFont="1" applyFill="1" applyBorder="1"/>
    <xf numFmtId="170" fontId="207" fillId="48" borderId="32" xfId="0" applyNumberFormat="1" applyFont="1" applyFill="1" applyBorder="1"/>
    <xf numFmtId="170" fontId="207" fillId="48" borderId="17" xfId="0" applyNumberFormat="1" applyFont="1" applyFill="1" applyBorder="1"/>
    <xf numFmtId="170" fontId="11" fillId="48" borderId="34" xfId="0" applyNumberFormat="1" applyFont="1" applyFill="1" applyBorder="1"/>
    <xf numFmtId="169" fontId="11" fillId="46" borderId="32" xfId="0" applyNumberFormat="1" applyFont="1" applyFill="1" applyBorder="1"/>
    <xf numFmtId="169" fontId="11" fillId="46" borderId="17" xfId="0" applyNumberFormat="1" applyFont="1" applyFill="1" applyBorder="1"/>
    <xf numFmtId="170" fontId="55" fillId="46" borderId="34" xfId="0" applyNumberFormat="1" applyFont="1" applyFill="1" applyBorder="1"/>
    <xf numFmtId="0" fontId="11" fillId="0" borderId="32" xfId="0" applyFont="1" applyBorder="1"/>
    <xf numFmtId="0" fontId="11" fillId="46" borderId="35" xfId="0" applyFont="1" applyFill="1" applyBorder="1"/>
    <xf numFmtId="0" fontId="11" fillId="46" borderId="37" xfId="0" applyFont="1" applyFill="1" applyBorder="1"/>
    <xf numFmtId="0" fontId="11" fillId="46" borderId="38" xfId="0" applyFont="1" applyFill="1" applyBorder="1"/>
    <xf numFmtId="170" fontId="11" fillId="48" borderId="17" xfId="0" applyNumberFormat="1" applyFont="1" applyFill="1" applyBorder="1"/>
    <xf numFmtId="170" fontId="11" fillId="46" borderId="32" xfId="0" applyNumberFormat="1" applyFont="1" applyFill="1" applyBorder="1"/>
    <xf numFmtId="170" fontId="11" fillId="46" borderId="34" xfId="0" applyNumberFormat="1" applyFont="1" applyFill="1" applyBorder="1"/>
    <xf numFmtId="0" fontId="11" fillId="0" borderId="52" xfId="0" applyFont="1" applyBorder="1"/>
    <xf numFmtId="0" fontId="11" fillId="46" borderId="23" xfId="0" applyFont="1" applyFill="1" applyBorder="1"/>
    <xf numFmtId="0" fontId="11" fillId="46" borderId="28" xfId="0" applyFont="1" applyFill="1" applyBorder="1"/>
    <xf numFmtId="0" fontId="11" fillId="46" borderId="53" xfId="0" applyFont="1" applyFill="1" applyBorder="1"/>
    <xf numFmtId="0" fontId="11" fillId="46" borderId="20" xfId="0" applyFont="1" applyFill="1" applyBorder="1"/>
    <xf numFmtId="0" fontId="11" fillId="46" borderId="54" xfId="0" applyFont="1" applyFill="1" applyBorder="1"/>
    <xf numFmtId="1" fontId="58" fillId="48" borderId="52" xfId="0" applyNumberFormat="1" applyFont="1" applyFill="1" applyBorder="1" applyAlignment="1">
      <alignment horizontal="centerContinuous"/>
    </xf>
    <xf numFmtId="1" fontId="55" fillId="48" borderId="23" xfId="0" applyNumberFormat="1" applyFont="1" applyFill="1" applyBorder="1" applyAlignment="1">
      <alignment horizontal="centerContinuous"/>
    </xf>
    <xf numFmtId="1" fontId="55" fillId="48" borderId="55" xfId="0" applyNumberFormat="1" applyFont="1" applyFill="1" applyBorder="1" applyAlignment="1">
      <alignment horizontal="centerContinuous"/>
    </xf>
    <xf numFmtId="1" fontId="58" fillId="46" borderId="52" xfId="0" applyNumberFormat="1" applyFont="1" applyFill="1" applyBorder="1" applyAlignment="1">
      <alignment horizontal="centerContinuous"/>
    </xf>
    <xf numFmtId="1" fontId="55" fillId="46" borderId="23" xfId="0" applyNumberFormat="1" applyFont="1" applyFill="1" applyBorder="1" applyAlignment="1">
      <alignment horizontal="centerContinuous"/>
    </xf>
    <xf numFmtId="1" fontId="55" fillId="46" borderId="55" xfId="0" applyNumberFormat="1" applyFont="1" applyFill="1" applyBorder="1" applyAlignment="1">
      <alignment horizontal="centerContinuous"/>
    </xf>
    <xf numFmtId="0" fontId="11" fillId="46" borderId="56" xfId="0" applyFont="1" applyFill="1" applyBorder="1"/>
    <xf numFmtId="0" fontId="11" fillId="46" borderId="57" xfId="0" applyFont="1" applyFill="1" applyBorder="1"/>
    <xf numFmtId="0" fontId="11" fillId="46" borderId="58" xfId="0" applyFont="1" applyFill="1" applyBorder="1"/>
    <xf numFmtId="170" fontId="58" fillId="46" borderId="21" xfId="0" applyNumberFormat="1" applyFont="1" applyFill="1" applyBorder="1" applyAlignment="1">
      <alignment horizontal="centerContinuous"/>
    </xf>
    <xf numFmtId="170" fontId="58" fillId="46" borderId="46" xfId="0" applyNumberFormat="1" applyFont="1" applyFill="1" applyBorder="1" applyAlignment="1">
      <alignment horizontal="centerContinuous"/>
    </xf>
    <xf numFmtId="170" fontId="58" fillId="46" borderId="47" xfId="0" applyNumberFormat="1" applyFont="1" applyFill="1" applyBorder="1" applyAlignment="1">
      <alignment horizontal="centerContinuous"/>
    </xf>
    <xf numFmtId="170" fontId="58" fillId="46" borderId="21" xfId="0" applyNumberFormat="1" applyFont="1" applyFill="1" applyBorder="1" applyAlignment="1">
      <alignment horizontal="centerContinuous" wrapText="1"/>
    </xf>
    <xf numFmtId="0" fontId="11" fillId="46" borderId="58" xfId="0" applyFont="1" applyFill="1" applyBorder="1" applyAlignment="1">
      <alignment horizontal="centerContinuous"/>
    </xf>
    <xf numFmtId="0" fontId="11" fillId="46" borderId="59" xfId="0" applyFont="1" applyFill="1" applyBorder="1"/>
    <xf numFmtId="0" fontId="11" fillId="46" borderId="24" xfId="0" applyFont="1" applyFill="1" applyBorder="1"/>
    <xf numFmtId="0" fontId="11" fillId="46" borderId="60" xfId="0" applyFont="1" applyFill="1" applyBorder="1"/>
    <xf numFmtId="170" fontId="58" fillId="46" borderId="32" xfId="0" applyNumberFormat="1" applyFont="1" applyFill="1" applyBorder="1"/>
    <xf numFmtId="170" fontId="58" fillId="46" borderId="17" xfId="0" applyNumberFormat="1" applyFont="1" applyFill="1" applyBorder="1"/>
    <xf numFmtId="170" fontId="58" fillId="46" borderId="34" xfId="0" applyNumberFormat="1" applyFont="1" applyFill="1" applyBorder="1"/>
    <xf numFmtId="169" fontId="11" fillId="46" borderId="17" xfId="0" applyNumberFormat="1" applyFont="1" applyFill="1" applyBorder="1" applyAlignment="1">
      <alignment horizontal="center"/>
    </xf>
    <xf numFmtId="0" fontId="60" fillId="46" borderId="17" xfId="0" applyFont="1" applyFill="1" applyBorder="1"/>
    <xf numFmtId="4" fontId="11" fillId="46" borderId="32" xfId="0" applyNumberFormat="1" applyFont="1" applyFill="1" applyBorder="1" applyAlignment="1">
      <alignment horizontal="center" wrapText="1"/>
    </xf>
    <xf numFmtId="4" fontId="11" fillId="46" borderId="17" xfId="0" applyNumberFormat="1" applyFont="1" applyFill="1" applyBorder="1" applyAlignment="1">
      <alignment horizontal="center" wrapText="1"/>
    </xf>
    <xf numFmtId="4" fontId="11" fillId="46" borderId="34" xfId="0" applyNumberFormat="1" applyFont="1" applyFill="1" applyBorder="1" applyAlignment="1">
      <alignment horizontal="center" wrapText="1"/>
    </xf>
    <xf numFmtId="0" fontId="60" fillId="46" borderId="17" xfId="0" applyFont="1" applyFill="1" applyBorder="1" applyAlignment="1">
      <alignment wrapText="1"/>
    </xf>
    <xf numFmtId="169" fontId="11" fillId="46" borderId="37" xfId="0" applyNumberFormat="1" applyFont="1" applyFill="1" applyBorder="1" applyAlignment="1">
      <alignment horizontal="center"/>
    </xf>
    <xf numFmtId="169" fontId="11" fillId="46" borderId="36" xfId="0" applyNumberFormat="1" applyFont="1" applyFill="1" applyBorder="1" applyAlignment="1">
      <alignment horizontal="center"/>
    </xf>
    <xf numFmtId="170" fontId="11" fillId="46" borderId="35" xfId="0" applyNumberFormat="1" applyFont="1" applyFill="1" applyBorder="1"/>
    <xf numFmtId="170" fontId="11" fillId="46" borderId="37" xfId="0" applyNumberFormat="1" applyFont="1" applyFill="1" applyBorder="1"/>
    <xf numFmtId="170" fontId="11" fillId="46" borderId="38" xfId="0" applyNumberFormat="1" applyFont="1" applyFill="1" applyBorder="1"/>
    <xf numFmtId="169" fontId="11" fillId="46" borderId="22" xfId="0" applyNumberFormat="1" applyFont="1" applyFill="1" applyBorder="1" applyAlignment="1">
      <alignment horizontal="centerContinuous" vertical="center"/>
    </xf>
    <xf numFmtId="170" fontId="58" fillId="46" borderId="31" xfId="0" applyNumberFormat="1" applyFont="1" applyFill="1" applyBorder="1" applyAlignment="1">
      <alignment horizontal="centerContinuous"/>
    </xf>
    <xf numFmtId="170" fontId="58" fillId="46" borderId="22" xfId="0" applyNumberFormat="1" applyFont="1" applyFill="1" applyBorder="1" applyAlignment="1">
      <alignment horizontal="centerContinuous"/>
    </xf>
    <xf numFmtId="170" fontId="58" fillId="46" borderId="61" xfId="0" applyNumberFormat="1" applyFont="1" applyFill="1" applyBorder="1" applyAlignment="1">
      <alignment horizontal="centerContinuous"/>
    </xf>
    <xf numFmtId="0" fontId="9" fillId="46" borderId="17" xfId="0" applyFont="1" applyFill="1" applyBorder="1" applyAlignment="1">
      <alignment horizontal="center"/>
    </xf>
    <xf numFmtId="0" fontId="11" fillId="0" borderId="32" xfId="0" applyFont="1" applyBorder="1" applyAlignment="1">
      <alignment horizontal="center"/>
    </xf>
    <xf numFmtId="0" fontId="11" fillId="0" borderId="35" xfId="0" applyFont="1" applyBorder="1" applyAlignment="1">
      <alignment horizontal="center"/>
    </xf>
    <xf numFmtId="4" fontId="11" fillId="0" borderId="0" xfId="0" applyNumberFormat="1" applyFont="1"/>
    <xf numFmtId="4" fontId="11" fillId="44" borderId="0" xfId="0" applyNumberFormat="1" applyFont="1" applyFill="1"/>
    <xf numFmtId="3" fontId="11" fillId="44" borderId="0" xfId="0" applyNumberFormat="1" applyFont="1" applyFill="1"/>
    <xf numFmtId="4" fontId="9" fillId="46" borderId="17" xfId="0" applyNumberFormat="1" applyFont="1" applyFill="1" applyBorder="1" applyAlignment="1">
      <alignment horizontal="right"/>
    </xf>
    <xf numFmtId="168" fontId="194" fillId="46" borderId="0" xfId="0" applyNumberFormat="1" applyFont="1" applyFill="1" applyAlignment="1">
      <alignment horizontal="right"/>
    </xf>
    <xf numFmtId="1" fontId="199" fillId="46" borderId="17" xfId="0" applyNumberFormat="1" applyFont="1" applyFill="1" applyBorder="1" applyAlignment="1">
      <alignment horizontal="center" vertical="center"/>
    </xf>
    <xf numFmtId="1" fontId="199" fillId="3" borderId="17" xfId="0" applyNumberFormat="1" applyFont="1" applyFill="1" applyBorder="1" applyAlignment="1">
      <alignment horizontal="center" vertical="center" wrapText="1"/>
    </xf>
    <xf numFmtId="4" fontId="194" fillId="46" borderId="26" xfId="0" applyNumberFormat="1" applyFont="1" applyFill="1" applyBorder="1" applyAlignment="1">
      <alignment horizontal="center"/>
    </xf>
    <xf numFmtId="4" fontId="201" fillId="46" borderId="17" xfId="0" applyNumberFormat="1" applyFont="1" applyFill="1" applyBorder="1" applyAlignment="1">
      <alignment horizontal="left"/>
    </xf>
    <xf numFmtId="4" fontId="194" fillId="3" borderId="17" xfId="0" applyNumberFormat="1" applyFont="1" applyFill="1" applyBorder="1" applyAlignment="1">
      <alignment horizontal="right"/>
    </xf>
    <xf numFmtId="4" fontId="201" fillId="46" borderId="17" xfId="0" applyNumberFormat="1" applyFont="1" applyFill="1" applyBorder="1" applyAlignment="1">
      <alignment horizontal="right"/>
    </xf>
    <xf numFmtId="49" fontId="9" fillId="46" borderId="0" xfId="0" applyNumberFormat="1" applyFont="1" applyFill="1" applyBorder="1" applyAlignment="1"/>
    <xf numFmtId="0" fontId="196" fillId="0" borderId="0" xfId="0" applyFont="1"/>
    <xf numFmtId="169" fontId="194" fillId="46" borderId="0" xfId="0" applyNumberFormat="1" applyFont="1" applyFill="1" applyAlignment="1">
      <alignment horizontal="right"/>
    </xf>
    <xf numFmtId="0" fontId="115" fillId="46" borderId="0" xfId="0" applyFont="1" applyFill="1"/>
    <xf numFmtId="0" fontId="115" fillId="46" borderId="0" xfId="0" applyFont="1" applyFill="1" applyAlignment="1">
      <alignment horizontal="right"/>
    </xf>
    <xf numFmtId="0" fontId="115" fillId="28" borderId="0" xfId="0" applyFont="1" applyFill="1"/>
    <xf numFmtId="170" fontId="201" fillId="25" borderId="17" xfId="0" applyNumberFormat="1" applyFont="1" applyFill="1" applyBorder="1" applyAlignment="1">
      <alignment horizontal="right"/>
    </xf>
    <xf numFmtId="4" fontId="194" fillId="43" borderId="17" xfId="0" applyNumberFormat="1" applyFont="1" applyFill="1" applyBorder="1" applyAlignment="1">
      <alignment horizontal="right"/>
    </xf>
    <xf numFmtId="170" fontId="201" fillId="43" borderId="29" xfId="0" applyNumberFormat="1" applyFont="1" applyFill="1" applyBorder="1"/>
    <xf numFmtId="4" fontId="196" fillId="46" borderId="17" xfId="0" applyNumberFormat="1" applyFont="1" applyFill="1" applyBorder="1" applyAlignment="1">
      <alignment horizontal="left" wrapText="1"/>
    </xf>
    <xf numFmtId="194" fontId="196" fillId="46" borderId="6" xfId="1216" applyNumberFormat="1" applyFont="1" applyFill="1" applyBorder="1" applyAlignment="1">
      <alignment horizontal="right"/>
    </xf>
    <xf numFmtId="0" fontId="11" fillId="46" borderId="22" xfId="0" applyFont="1" applyFill="1" applyBorder="1"/>
    <xf numFmtId="0" fontId="11" fillId="0" borderId="52" xfId="0" applyFont="1" applyBorder="1" applyAlignment="1">
      <alignment horizontal="center"/>
    </xf>
    <xf numFmtId="169" fontId="11" fillId="46" borderId="30" xfId="0" applyNumberFormat="1" applyFont="1" applyFill="1" applyBorder="1" applyAlignment="1">
      <alignment horizontal="centerContinuous" vertical="center"/>
    </xf>
    <xf numFmtId="0" fontId="60" fillId="46" borderId="33" xfId="0" applyFont="1" applyFill="1" applyBorder="1" applyAlignment="1">
      <alignment horizontal="center" vertical="top" wrapText="1"/>
    </xf>
    <xf numFmtId="169" fontId="11" fillId="46" borderId="31" xfId="0" applyNumberFormat="1" applyFont="1" applyFill="1" applyBorder="1" applyAlignment="1">
      <alignment horizontal="centerContinuous" vertical="center"/>
    </xf>
    <xf numFmtId="0" fontId="9" fillId="46" borderId="32" xfId="0" applyFont="1" applyFill="1" applyBorder="1" applyAlignment="1">
      <alignment horizontal="center"/>
    </xf>
    <xf numFmtId="0" fontId="0" fillId="46" borderId="0" xfId="0" applyFill="1" applyAlignment="1"/>
    <xf numFmtId="0" fontId="0" fillId="46" borderId="0" xfId="0" applyFont="1" applyFill="1" applyAlignment="1">
      <alignment vertical="center"/>
    </xf>
    <xf numFmtId="0" fontId="9" fillId="28" borderId="0" xfId="0" applyFont="1" applyFill="1"/>
    <xf numFmtId="0" fontId="115" fillId="28" borderId="0" xfId="0" applyFont="1" applyFill="1" applyAlignment="1">
      <alignment horizontal="left"/>
    </xf>
    <xf numFmtId="0" fontId="115" fillId="28" borderId="0" xfId="0" applyFont="1" applyFill="1" applyAlignment="1"/>
    <xf numFmtId="0" fontId="201" fillId="0" borderId="17" xfId="0" applyFont="1" applyBorder="1" applyAlignment="1">
      <alignment horizontal="center" vertical="top" wrapText="1"/>
    </xf>
    <xf numFmtId="4" fontId="201" fillId="28" borderId="17" xfId="0" applyNumberFormat="1" applyFont="1" applyFill="1" applyBorder="1" applyAlignment="1">
      <alignment horizontal="center" wrapText="1"/>
    </xf>
    <xf numFmtId="4" fontId="113" fillId="46" borderId="29" xfId="0" applyNumberFormat="1" applyFont="1" applyFill="1" applyBorder="1" applyAlignment="1">
      <alignment horizontal="left"/>
    </xf>
    <xf numFmtId="4" fontId="113" fillId="46" borderId="29" xfId="0" applyNumberFormat="1" applyFont="1" applyFill="1" applyBorder="1"/>
    <xf numFmtId="170" fontId="113" fillId="0" borderId="0" xfId="0" applyNumberFormat="1" applyFont="1"/>
    <xf numFmtId="0" fontId="208" fillId="49" borderId="0" xfId="0" applyFont="1" applyFill="1"/>
    <xf numFmtId="168" fontId="17" fillId="46" borderId="0" xfId="0" applyNumberFormat="1" applyFont="1" applyFill="1"/>
    <xf numFmtId="165" fontId="9" fillId="0" borderId="17" xfId="0" applyNumberFormat="1" applyFont="1" applyBorder="1"/>
    <xf numFmtId="165" fontId="17" fillId="0" borderId="17" xfId="0" applyNumberFormat="1" applyFont="1" applyBorder="1"/>
    <xf numFmtId="10" fontId="200" fillId="50" borderId="43" xfId="0" applyNumberFormat="1" applyFont="1" applyFill="1" applyBorder="1" applyAlignment="1"/>
    <xf numFmtId="169" fontId="200" fillId="50" borderId="0" xfId="0" applyNumberFormat="1" applyFont="1" applyFill="1" applyBorder="1" applyAlignment="1">
      <alignment horizontal="left"/>
    </xf>
    <xf numFmtId="10" fontId="200" fillId="50" borderId="39" xfId="0" applyNumberFormat="1" applyFont="1" applyFill="1" applyBorder="1" applyAlignment="1"/>
    <xf numFmtId="10" fontId="9" fillId="44" borderId="62" xfId="0" applyNumberFormat="1" applyFont="1" applyFill="1" applyBorder="1" applyAlignment="1"/>
    <xf numFmtId="0" fontId="15" fillId="44" borderId="63" xfId="0" applyFont="1" applyFill="1" applyBorder="1" applyAlignment="1">
      <alignment horizontal="centerContinuous"/>
    </xf>
    <xf numFmtId="0" fontId="9" fillId="44" borderId="30" xfId="0" applyFont="1" applyFill="1" applyBorder="1"/>
    <xf numFmtId="10" fontId="9" fillId="44" borderId="48" xfId="0" applyNumberFormat="1" applyFont="1" applyFill="1" applyBorder="1" applyAlignment="1"/>
    <xf numFmtId="10" fontId="201" fillId="44" borderId="48" xfId="0" applyNumberFormat="1" applyFont="1" applyFill="1" applyBorder="1" applyAlignment="1"/>
    <xf numFmtId="10" fontId="200" fillId="50" borderId="48" xfId="0" applyNumberFormat="1" applyFont="1" applyFill="1" applyBorder="1" applyAlignment="1">
      <alignment wrapText="1"/>
    </xf>
    <xf numFmtId="49" fontId="9" fillId="44" borderId="64" xfId="0" applyNumberFormat="1" applyFont="1" applyFill="1" applyBorder="1" applyAlignment="1"/>
    <xf numFmtId="3" fontId="194" fillId="46" borderId="0" xfId="0" applyNumberFormat="1" applyFont="1" applyFill="1"/>
    <xf numFmtId="0" fontId="207" fillId="0" borderId="0" xfId="0" applyFont="1"/>
    <xf numFmtId="169" fontId="9" fillId="0" borderId="0" xfId="0" applyNumberFormat="1" applyFont="1" applyAlignment="1">
      <alignment horizontal="left"/>
    </xf>
    <xf numFmtId="10" fontId="9" fillId="44" borderId="65" xfId="0" applyNumberFormat="1" applyFont="1" applyFill="1" applyBorder="1" applyAlignment="1">
      <alignment horizontal="center" wrapText="1"/>
    </xf>
    <xf numFmtId="167" fontId="194" fillId="46" borderId="0" xfId="0" applyNumberFormat="1" applyFont="1" applyFill="1" applyAlignment="1">
      <alignment horizontal="right"/>
    </xf>
    <xf numFmtId="171" fontId="9" fillId="46" borderId="17" xfId="0" applyNumberFormat="1" applyFont="1" applyFill="1" applyBorder="1" applyAlignment="1">
      <alignment horizontal="right"/>
    </xf>
    <xf numFmtId="4" fontId="200" fillId="50" borderId="17" xfId="0" applyNumberFormat="1" applyFont="1" applyFill="1" applyBorder="1" applyAlignment="1">
      <alignment horizontal="right"/>
    </xf>
    <xf numFmtId="0" fontId="200" fillId="50" borderId="0" xfId="0" applyFont="1" applyFill="1"/>
    <xf numFmtId="196" fontId="9" fillId="46" borderId="17" xfId="0" applyNumberFormat="1" applyFont="1" applyFill="1" applyBorder="1" applyAlignment="1">
      <alignment horizontal="right"/>
    </xf>
    <xf numFmtId="196" fontId="194" fillId="46" borderId="0" xfId="0" applyNumberFormat="1" applyFont="1" applyFill="1" applyAlignment="1">
      <alignment horizontal="right"/>
    </xf>
    <xf numFmtId="170" fontId="199" fillId="0" borderId="0" xfId="0" applyNumberFormat="1" applyFont="1"/>
    <xf numFmtId="0" fontId="207" fillId="0" borderId="35" xfId="0" applyFont="1" applyBorder="1"/>
    <xf numFmtId="0" fontId="209" fillId="46" borderId="0" xfId="0" applyFont="1" applyFill="1"/>
    <xf numFmtId="0" fontId="210" fillId="46" borderId="0" xfId="0" applyFont="1" applyFill="1" applyAlignment="1">
      <alignment horizontal="left"/>
    </xf>
    <xf numFmtId="0" fontId="211" fillId="49" borderId="0" xfId="0" applyFont="1" applyFill="1"/>
    <xf numFmtId="165" fontId="9" fillId="0" borderId="0" xfId="0" applyNumberFormat="1" applyFont="1"/>
    <xf numFmtId="175" fontId="9" fillId="0" borderId="0" xfId="0" applyNumberFormat="1" applyFont="1"/>
    <xf numFmtId="170" fontId="11" fillId="46" borderId="26" xfId="0" applyNumberFormat="1" applyFont="1" applyFill="1" applyBorder="1"/>
    <xf numFmtId="4" fontId="11" fillId="46" borderId="35" xfId="0" applyNumberFormat="1" applyFont="1" applyFill="1" applyBorder="1" applyAlignment="1">
      <alignment horizontal="center" wrapText="1"/>
    </xf>
    <xf numFmtId="4" fontId="11" fillId="46" borderId="37" xfId="0" applyNumberFormat="1" applyFont="1" applyFill="1" applyBorder="1" applyAlignment="1">
      <alignment horizontal="center" wrapText="1"/>
    </xf>
    <xf numFmtId="4" fontId="11" fillId="46" borderId="38" xfId="0" applyNumberFormat="1" applyFont="1" applyFill="1" applyBorder="1" applyAlignment="1">
      <alignment horizontal="center" wrapText="1"/>
    </xf>
    <xf numFmtId="164" fontId="0" fillId="0" borderId="0" xfId="0" applyNumberFormat="1"/>
    <xf numFmtId="0" fontId="9" fillId="46" borderId="17" xfId="0" applyFont="1" applyFill="1" applyBorder="1" applyAlignment="1">
      <alignment horizontal="center" wrapText="1"/>
    </xf>
    <xf numFmtId="0" fontId="195" fillId="3" borderId="17" xfId="0" applyFont="1" applyFill="1" applyBorder="1"/>
    <xf numFmtId="169" fontId="195" fillId="3" borderId="17" xfId="0" applyNumberFormat="1" applyFont="1" applyFill="1" applyBorder="1" applyAlignment="1">
      <alignment horizontal="centerContinuous" vertical="center"/>
    </xf>
    <xf numFmtId="0" fontId="195" fillId="3" borderId="17" xfId="0" applyFont="1" applyFill="1" applyBorder="1" applyAlignment="1">
      <alignment horizontal="center"/>
    </xf>
    <xf numFmtId="0" fontId="195" fillId="3" borderId="17" xfId="0" applyFont="1" applyFill="1" applyBorder="1" applyAlignment="1">
      <alignment horizontal="center" wrapText="1"/>
    </xf>
    <xf numFmtId="164" fontId="195" fillId="3" borderId="17" xfId="0" applyNumberFormat="1" applyFont="1" applyFill="1" applyBorder="1"/>
    <xf numFmtId="0" fontId="195" fillId="3" borderId="17" xfId="0" applyFont="1" applyFill="1" applyBorder="1" applyAlignment="1">
      <alignment horizontal="centerContinuous"/>
    </xf>
    <xf numFmtId="4" fontId="195" fillId="3" borderId="26" xfId="0" applyNumberFormat="1" applyFont="1" applyFill="1" applyBorder="1" applyAlignment="1">
      <alignment horizontal="center"/>
    </xf>
    <xf numFmtId="4" fontId="195" fillId="3" borderId="33" xfId="0" applyNumberFormat="1" applyFont="1" applyFill="1" applyBorder="1" applyAlignment="1">
      <alignment horizontal="center"/>
    </xf>
    <xf numFmtId="168" fontId="8" fillId="0" borderId="0" xfId="0" applyNumberFormat="1" applyFont="1"/>
    <xf numFmtId="194" fontId="17" fillId="46" borderId="17" xfId="1216" applyNumberFormat="1" applyFont="1" applyFill="1" applyBorder="1" applyAlignment="1">
      <alignment horizontal="right" wrapText="1"/>
    </xf>
    <xf numFmtId="195" fontId="17" fillId="46" borderId="23" xfId="1216" applyNumberFormat="1" applyFont="1" applyFill="1" applyBorder="1" applyAlignment="1">
      <alignment horizontal="right" wrapText="1"/>
    </xf>
    <xf numFmtId="0" fontId="10" fillId="46" borderId="25" xfId="0" applyFont="1" applyFill="1" applyBorder="1" applyAlignment="1">
      <alignment horizontal="center" vertical="top" wrapText="1"/>
    </xf>
    <xf numFmtId="198" fontId="9" fillId="46" borderId="23" xfId="1216" applyNumberFormat="1" applyFont="1" applyFill="1" applyBorder="1" applyAlignment="1">
      <alignment horizontal="right" vertical="top"/>
    </xf>
    <xf numFmtId="195" fontId="9" fillId="46" borderId="17" xfId="1216" applyNumberFormat="1" applyFont="1" applyFill="1" applyBorder="1" applyAlignment="1">
      <alignment horizontal="right" vertical="top"/>
    </xf>
    <xf numFmtId="3" fontId="9" fillId="46" borderId="25" xfId="0" applyNumberFormat="1" applyFont="1" applyFill="1" applyBorder="1" applyAlignment="1">
      <alignment vertical="top" wrapText="1"/>
    </xf>
    <xf numFmtId="3" fontId="9" fillId="46" borderId="26" xfId="0" applyNumberFormat="1" applyFont="1" applyFill="1" applyBorder="1" applyAlignment="1">
      <alignment vertical="top" wrapText="1"/>
    </xf>
    <xf numFmtId="170" fontId="9" fillId="46" borderId="25" xfId="0" applyNumberFormat="1" applyFont="1" applyFill="1" applyBorder="1" applyAlignment="1">
      <alignment vertical="top" wrapText="1"/>
    </xf>
    <xf numFmtId="170" fontId="9" fillId="46" borderId="26" xfId="0" applyNumberFormat="1" applyFont="1" applyFill="1" applyBorder="1" applyAlignment="1">
      <alignment vertical="top" wrapText="1"/>
    </xf>
    <xf numFmtId="198" fontId="9" fillId="46" borderId="17" xfId="1216" applyNumberFormat="1" applyFont="1" applyFill="1" applyBorder="1" applyAlignment="1">
      <alignment horizontal="right" vertical="top"/>
    </xf>
    <xf numFmtId="0" fontId="102" fillId="46" borderId="0" xfId="0" applyFont="1" applyFill="1"/>
    <xf numFmtId="0" fontId="0" fillId="46" borderId="0" xfId="0" applyFont="1" applyFill="1"/>
    <xf numFmtId="194" fontId="9" fillId="46" borderId="17" xfId="1216" applyNumberFormat="1" applyFont="1" applyFill="1" applyBorder="1" applyAlignment="1">
      <alignment horizontal="right" vertical="top"/>
    </xf>
    <xf numFmtId="0" fontId="12" fillId="0" borderId="66" xfId="0" applyFont="1" applyBorder="1" applyAlignment="1">
      <alignment horizontal="center" vertical="center" wrapText="1"/>
    </xf>
    <xf numFmtId="0" fontId="9" fillId="0" borderId="66" xfId="0" applyFont="1" applyBorder="1"/>
    <xf numFmtId="0" fontId="9" fillId="0" borderId="66" xfId="0" applyFont="1" applyBorder="1" applyAlignment="1">
      <alignment horizontal="center"/>
    </xf>
    <xf numFmtId="0" fontId="9" fillId="0" borderId="66" xfId="0" applyFont="1" applyBorder="1" applyAlignment="1"/>
    <xf numFmtId="195" fontId="15" fillId="51" borderId="66" xfId="1217" applyNumberFormat="1" applyFont="1" applyFill="1" applyBorder="1" applyAlignment="1">
      <alignment horizontal="center" vertical="top"/>
    </xf>
    <xf numFmtId="0" fontId="9" fillId="0" borderId="67" xfId="0" applyFont="1" applyBorder="1" applyAlignment="1">
      <alignment horizontal="center"/>
    </xf>
    <xf numFmtId="0" fontId="9" fillId="0" borderId="68" xfId="0" applyFont="1" applyBorder="1" applyAlignment="1">
      <alignment horizontal="left" vertical="center" indent="7"/>
    </xf>
    <xf numFmtId="0" fontId="12" fillId="0" borderId="66" xfId="0" applyFont="1" applyBorder="1" applyAlignment="1">
      <alignment horizontal="left" vertical="center" wrapText="1" indent="1"/>
    </xf>
    <xf numFmtId="0" fontId="9" fillId="0" borderId="66" xfId="0" applyFont="1" applyBorder="1" applyAlignment="1">
      <alignment horizontal="left" vertical="center" indent="1"/>
    </xf>
    <xf numFmtId="195" fontId="9" fillId="51" borderId="66" xfId="1217" applyNumberFormat="1" applyFont="1" applyFill="1" applyBorder="1" applyAlignment="1">
      <alignment horizontal="center" vertical="top"/>
    </xf>
    <xf numFmtId="200" fontId="9" fillId="0" borderId="66" xfId="0" applyNumberFormat="1" applyFont="1" applyBorder="1" applyAlignment="1">
      <alignment horizontal="left" vertical="center" wrapText="1" indent="1"/>
    </xf>
    <xf numFmtId="0" fontId="9" fillId="0" borderId="66" xfId="0" applyFont="1" applyBorder="1" applyAlignment="1">
      <alignment horizontal="center" wrapText="1"/>
    </xf>
    <xf numFmtId="195" fontId="9" fillId="51" borderId="66" xfId="1217" applyNumberFormat="1" applyFont="1" applyFill="1" applyBorder="1" applyAlignment="1">
      <alignment horizontal="center"/>
    </xf>
    <xf numFmtId="0" fontId="9" fillId="0" borderId="67" xfId="0" applyFont="1" applyBorder="1" applyAlignment="1">
      <alignment horizontal="left" vertical="center" indent="1"/>
    </xf>
    <xf numFmtId="0" fontId="12" fillId="0" borderId="67" xfId="0" applyFont="1" applyBorder="1" applyAlignment="1">
      <alignment horizontal="center" vertical="center" wrapText="1"/>
    </xf>
    <xf numFmtId="173" fontId="9" fillId="51" borderId="66" xfId="1217" applyNumberFormat="1" applyFont="1" applyFill="1" applyBorder="1" applyAlignment="1">
      <alignment horizontal="center" vertical="top"/>
    </xf>
    <xf numFmtId="200" fontId="9" fillId="0" borderId="0" xfId="0" applyNumberFormat="1" applyFont="1" applyAlignment="1">
      <alignment horizontal="center"/>
    </xf>
    <xf numFmtId="164" fontId="9" fillId="0" borderId="66" xfId="0" applyNumberFormat="1" applyFont="1" applyBorder="1" applyAlignment="1">
      <alignment horizontal="center" vertical="center"/>
    </xf>
    <xf numFmtId="173" fontId="9" fillId="51" borderId="66" xfId="1217" applyNumberFormat="1" applyFont="1" applyFill="1" applyBorder="1" applyAlignment="1">
      <alignment horizontal="center" vertical="center"/>
    </xf>
    <xf numFmtId="200" fontId="9" fillId="0" borderId="66" xfId="0" applyNumberFormat="1" applyFont="1" applyBorder="1" applyAlignment="1">
      <alignment horizontal="center" vertical="center"/>
    </xf>
    <xf numFmtId="173" fontId="15" fillId="51" borderId="66" xfId="1217" applyNumberFormat="1" applyFont="1" applyFill="1" applyBorder="1" applyAlignment="1">
      <alignment horizontal="center" vertical="top"/>
    </xf>
    <xf numFmtId="3" fontId="60" fillId="0" borderId="0" xfId="0" applyNumberFormat="1" applyFont="1" applyBorder="1" applyAlignment="1">
      <alignment horizontal="left"/>
    </xf>
    <xf numFmtId="0" fontId="11" fillId="46" borderId="0" xfId="0" applyFont="1" applyFill="1" applyAlignment="1">
      <alignment horizontal="left"/>
    </xf>
    <xf numFmtId="0" fontId="55" fillId="0" borderId="0" xfId="0" applyFont="1" applyAlignment="1">
      <alignment horizontal="left"/>
    </xf>
    <xf numFmtId="0" fontId="28" fillId="0" borderId="0" xfId="0" applyFont="1" applyAlignment="1">
      <alignment horizontal="right"/>
    </xf>
    <xf numFmtId="0" fontId="118" fillId="46" borderId="0" xfId="0" applyFont="1" applyFill="1" applyAlignment="1">
      <alignment horizontal="centerContinuous"/>
    </xf>
    <xf numFmtId="0" fontId="121" fillId="46" borderId="0" xfId="0" quotePrefix="1" applyFont="1" applyFill="1" applyAlignment="1">
      <alignment horizontal="centerContinuous"/>
    </xf>
    <xf numFmtId="0" fontId="58" fillId="0" borderId="69" xfId="0" applyFont="1" applyBorder="1" applyAlignment="1">
      <alignment horizontal="centerContinuous"/>
    </xf>
    <xf numFmtId="0" fontId="28" fillId="0" borderId="17" xfId="0" applyFont="1" applyBorder="1" applyAlignment="1">
      <alignment horizontal="center"/>
    </xf>
    <xf numFmtId="169" fontId="17" fillId="46" borderId="0" xfId="0" applyNumberFormat="1" applyFont="1" applyFill="1"/>
    <xf numFmtId="0" fontId="15" fillId="0" borderId="17" xfId="0" applyFont="1" applyBorder="1" applyAlignment="1">
      <alignment horizontal="centerContinuous" vertical="center"/>
    </xf>
    <xf numFmtId="0" fontId="28" fillId="0" borderId="17" xfId="0" applyFont="1" applyBorder="1" applyAlignment="1">
      <alignment horizontal="centerContinuous" vertical="center"/>
    </xf>
    <xf numFmtId="169" fontId="28" fillId="0" borderId="17" xfId="0" applyNumberFormat="1" applyFont="1" applyBorder="1"/>
    <xf numFmtId="170" fontId="59" fillId="46" borderId="17" xfId="0" applyNumberFormat="1" applyFont="1" applyFill="1" applyBorder="1"/>
    <xf numFmtId="169" fontId="59" fillId="0" borderId="17" xfId="0" applyNumberFormat="1" applyFont="1" applyBorder="1"/>
    <xf numFmtId="170" fontId="59" fillId="0" borderId="17" xfId="0" applyNumberFormat="1" applyFont="1" applyBorder="1"/>
    <xf numFmtId="169" fontId="28" fillId="0" borderId="17" xfId="0" applyNumberFormat="1" applyFont="1" applyBorder="1" applyAlignment="1">
      <alignment horizontal="left"/>
    </xf>
    <xf numFmtId="169" fontId="59" fillId="46" borderId="17" xfId="0" applyNumberFormat="1" applyFont="1" applyFill="1" applyBorder="1"/>
    <xf numFmtId="0" fontId="28" fillId="46" borderId="17" xfId="0" applyFont="1" applyFill="1" applyBorder="1" applyAlignment="1">
      <alignment horizontal="centerContinuous" vertical="center"/>
    </xf>
    <xf numFmtId="0" fontId="15" fillId="46" borderId="23" xfId="0" applyFont="1" applyFill="1" applyBorder="1" applyAlignment="1">
      <alignment horizontal="centerContinuous" vertical="center"/>
    </xf>
    <xf numFmtId="0" fontId="11" fillId="46" borderId="23" xfId="0" applyFont="1" applyFill="1" applyBorder="1" applyAlignment="1">
      <alignment horizontal="centerContinuous" vertical="center"/>
    </xf>
    <xf numFmtId="170" fontId="207" fillId="46" borderId="23" xfId="0" applyNumberFormat="1" applyFont="1" applyFill="1" applyBorder="1" applyAlignment="1">
      <alignment horizontal="centerContinuous" vertical="center"/>
    </xf>
    <xf numFmtId="0" fontId="11" fillId="46" borderId="22" xfId="0" applyFont="1" applyFill="1" applyBorder="1" applyAlignment="1">
      <alignment horizontal="centerContinuous" vertical="center"/>
    </xf>
    <xf numFmtId="170" fontId="60" fillId="46" borderId="17" xfId="0" applyNumberFormat="1" applyFont="1" applyFill="1" applyBorder="1"/>
    <xf numFmtId="173" fontId="60" fillId="46" borderId="17" xfId="1216" applyNumberFormat="1" applyFont="1" applyFill="1" applyBorder="1" applyAlignment="1">
      <alignment horizontal="right" wrapText="1"/>
    </xf>
    <xf numFmtId="169" fontId="11" fillId="46" borderId="17" xfId="0" applyNumberFormat="1" applyFont="1" applyFill="1" applyBorder="1" applyAlignment="1">
      <alignment horizontal="left"/>
    </xf>
    <xf numFmtId="169" fontId="60" fillId="46" borderId="17" xfId="0" applyNumberFormat="1" applyFont="1" applyFill="1" applyBorder="1"/>
    <xf numFmtId="195" fontId="60" fillId="46" borderId="17" xfId="1216" applyNumberFormat="1" applyFont="1" applyFill="1" applyBorder="1" applyAlignment="1">
      <alignment horizontal="right" wrapText="1"/>
    </xf>
    <xf numFmtId="0" fontId="28" fillId="0" borderId="23" xfId="0" applyFont="1" applyBorder="1" applyAlignment="1">
      <alignment horizontal="centerContinuous" vertical="center"/>
    </xf>
    <xf numFmtId="0" fontId="67" fillId="0" borderId="30" xfId="0" applyFont="1" applyBorder="1" applyAlignment="1">
      <alignment horizontal="left" vertical="center"/>
    </xf>
    <xf numFmtId="0" fontId="28" fillId="0" borderId="24" xfId="0" applyFont="1" applyBorder="1" applyAlignment="1">
      <alignment horizontal="centerContinuous" vertical="center"/>
    </xf>
    <xf numFmtId="0" fontId="28" fillId="0" borderId="25" xfId="0" applyFont="1" applyBorder="1" applyAlignment="1">
      <alignment horizontal="centerContinuous" vertical="center"/>
    </xf>
    <xf numFmtId="0" fontId="15" fillId="0" borderId="23" xfId="0" applyFont="1" applyBorder="1" applyAlignment="1">
      <alignment horizontal="centerContinuous" vertical="center"/>
    </xf>
    <xf numFmtId="169" fontId="212" fillId="0" borderId="0" xfId="0" applyNumberFormat="1" applyFont="1"/>
    <xf numFmtId="0" fontId="213" fillId="46" borderId="0" xfId="0" applyFont="1" applyFill="1"/>
    <xf numFmtId="0" fontId="213" fillId="0" borderId="0" xfId="0" applyFont="1"/>
    <xf numFmtId="0" fontId="207" fillId="0" borderId="0" xfId="0" applyFont="1" applyAlignment="1">
      <alignment horizontal="right"/>
    </xf>
    <xf numFmtId="0" fontId="207" fillId="0" borderId="0" xfId="0" applyFont="1" applyAlignment="1">
      <alignment horizontal="left"/>
    </xf>
    <xf numFmtId="0" fontId="207" fillId="46" borderId="0" xfId="0" applyFont="1" applyFill="1"/>
    <xf numFmtId="0" fontId="9" fillId="46" borderId="0" xfId="0" applyFont="1" applyFill="1" applyAlignment="1">
      <alignment horizontal="left"/>
    </xf>
    <xf numFmtId="0" fontId="11" fillId="46" borderId="0" xfId="0" quotePrefix="1" applyFont="1" applyFill="1" applyAlignment="1">
      <alignment horizontal="centerContinuous"/>
    </xf>
    <xf numFmtId="10" fontId="194" fillId="46" borderId="0" xfId="0" applyNumberFormat="1" applyFont="1" applyFill="1"/>
    <xf numFmtId="0" fontId="17" fillId="46" borderId="0" xfId="0" applyFont="1" applyFill="1" applyAlignment="1">
      <alignment horizontal="right"/>
    </xf>
    <xf numFmtId="168" fontId="213" fillId="46" borderId="0" xfId="0" applyNumberFormat="1" applyFont="1" applyFill="1"/>
    <xf numFmtId="169" fontId="17" fillId="46" borderId="0" xfId="0" applyNumberFormat="1" applyFont="1" applyFill="1" applyAlignment="1">
      <alignment horizontal="right"/>
    </xf>
    <xf numFmtId="169" fontId="17" fillId="0" borderId="0" xfId="0" applyNumberFormat="1" applyFont="1"/>
    <xf numFmtId="0" fontId="78" fillId="0" borderId="0" xfId="1218" applyFont="1" applyBorder="1" applyAlignment="1">
      <alignment horizontal="centerContinuous" wrapText="1"/>
    </xf>
    <xf numFmtId="0" fontId="123" fillId="0" borderId="0" xfId="1176" applyFont="1" applyAlignment="1">
      <alignment horizontal="right"/>
    </xf>
    <xf numFmtId="0" fontId="214" fillId="48" borderId="0" xfId="1176" applyFont="1" applyFill="1"/>
    <xf numFmtId="0" fontId="215" fillId="46" borderId="0" xfId="1176" applyFont="1" applyFill="1"/>
    <xf numFmtId="0" fontId="216" fillId="0" borderId="0" xfId="1176" applyFont="1"/>
    <xf numFmtId="0" fontId="217" fillId="0" borderId="0" xfId="1176" applyFont="1"/>
    <xf numFmtId="164" fontId="214" fillId="48" borderId="0" xfId="1176" applyNumberFormat="1" applyFont="1" applyFill="1"/>
    <xf numFmtId="164" fontId="215" fillId="46" borderId="0" xfId="1176" applyNumberFormat="1" applyFont="1" applyFill="1"/>
    <xf numFmtId="164" fontId="217" fillId="0" borderId="0" xfId="1176" applyNumberFormat="1" applyFont="1"/>
    <xf numFmtId="0" fontId="0" fillId="0" borderId="22" xfId="0" applyBorder="1" applyAlignment="1">
      <alignment horizontal="center" vertical="center" wrapText="1"/>
    </xf>
    <xf numFmtId="44" fontId="218" fillId="48" borderId="0" xfId="931" applyFont="1" applyFill="1"/>
    <xf numFmtId="44" fontId="124" fillId="48" borderId="0" xfId="931" applyFont="1" applyFill="1" applyAlignment="1">
      <alignment horizontal="center" vertical="center" wrapText="1"/>
    </xf>
    <xf numFmtId="1" fontId="9" fillId="0" borderId="26" xfId="0" applyNumberFormat="1" applyFont="1" applyBorder="1" applyAlignment="1">
      <alignment vertical="top" wrapText="1"/>
    </xf>
    <xf numFmtId="0" fontId="78" fillId="0" borderId="0" xfId="1215" applyFont="1" applyFill="1" applyAlignment="1">
      <alignment horizontal="centerContinuous" wrapText="1"/>
    </xf>
    <xf numFmtId="168" fontId="194" fillId="46" borderId="0" xfId="1209" applyNumberFormat="1" applyFont="1" applyFill="1" applyBorder="1" applyAlignment="1">
      <alignment vertical="top" wrapText="1"/>
    </xf>
    <xf numFmtId="0" fontId="70" fillId="0" borderId="0" xfId="0" applyFont="1" applyAlignment="1">
      <alignment horizontal="center"/>
    </xf>
    <xf numFmtId="0" fontId="219" fillId="0" borderId="0" xfId="0" applyFont="1" applyAlignment="1">
      <alignment horizontal="center"/>
    </xf>
    <xf numFmtId="0" fontId="11" fillId="46" borderId="17" xfId="0" applyFont="1" applyFill="1" applyBorder="1" applyAlignment="1">
      <alignment horizontal="center" vertical="top" wrapText="1"/>
    </xf>
    <xf numFmtId="0" fontId="11" fillId="46" borderId="17" xfId="0" applyFont="1" applyFill="1" applyBorder="1" applyAlignment="1">
      <alignment horizontal="centerContinuous" vertical="top" wrapText="1"/>
    </xf>
    <xf numFmtId="0" fontId="194" fillId="0" borderId="0" xfId="0" applyFont="1" applyBorder="1" applyAlignment="1">
      <alignment horizontal="center" vertical="top" wrapText="1"/>
    </xf>
    <xf numFmtId="0" fontId="60" fillId="46" borderId="17" xfId="1209" applyFont="1" applyFill="1" applyBorder="1" applyAlignment="1">
      <alignment wrapText="1"/>
    </xf>
    <xf numFmtId="201" fontId="9" fillId="46" borderId="17" xfId="1209" applyNumberFormat="1" applyFont="1" applyFill="1" applyBorder="1" applyAlignment="1">
      <alignment horizontal="center" wrapText="1"/>
    </xf>
    <xf numFmtId="0" fontId="9" fillId="46" borderId="17" xfId="1209" applyFont="1" applyFill="1" applyBorder="1" applyAlignment="1">
      <alignment horizontal="center" wrapText="1"/>
    </xf>
    <xf numFmtId="168" fontId="194" fillId="0" borderId="0" xfId="1209" applyNumberFormat="1" applyFont="1" applyBorder="1" applyAlignment="1">
      <alignment vertical="top" wrapText="1"/>
    </xf>
    <xf numFmtId="168" fontId="31" fillId="0" borderId="0" xfId="1209" applyNumberFormat="1" applyFont="1" applyBorder="1" applyAlignment="1">
      <alignment horizontal="right" vertical="top" wrapText="1"/>
    </xf>
    <xf numFmtId="0" fontId="11" fillId="0" borderId="0" xfId="0" applyFont="1" applyAlignment="1"/>
    <xf numFmtId="0" fontId="15" fillId="46" borderId="17" xfId="1209" applyFont="1" applyFill="1" applyBorder="1" applyAlignment="1">
      <alignment horizontal="center" wrapText="1"/>
    </xf>
    <xf numFmtId="0" fontId="14" fillId="46" borderId="17" xfId="1209" applyFont="1" applyFill="1" applyBorder="1" applyAlignment="1">
      <alignment horizontal="centerContinuous" wrapText="1"/>
    </xf>
    <xf numFmtId="0" fontId="60" fillId="46" borderId="23" xfId="1209" applyFont="1" applyFill="1" applyBorder="1" applyAlignment="1">
      <alignment wrapText="1"/>
    </xf>
    <xf numFmtId="0" fontId="77" fillId="0" borderId="17" xfId="0" applyFont="1" applyBorder="1" applyAlignment="1">
      <alignment horizontal="centerContinuous" vertical="center" wrapText="1"/>
    </xf>
    <xf numFmtId="4" fontId="60" fillId="46" borderId="17" xfId="1209" applyNumberFormat="1" applyFont="1" applyFill="1" applyBorder="1" applyAlignment="1">
      <alignment wrapText="1"/>
    </xf>
    <xf numFmtId="4" fontId="60" fillId="46" borderId="23" xfId="1209" applyNumberFormat="1" applyFont="1" applyFill="1" applyBorder="1" applyAlignment="1">
      <alignment wrapText="1"/>
    </xf>
    <xf numFmtId="4" fontId="14" fillId="46" borderId="17" xfId="1209" applyNumberFormat="1" applyFont="1" applyFill="1" applyBorder="1" applyAlignment="1">
      <alignment wrapText="1"/>
    </xf>
    <xf numFmtId="4" fontId="202" fillId="0" borderId="0" xfId="1209" applyNumberFormat="1" applyFont="1" applyBorder="1" applyAlignment="1">
      <alignment wrapText="1"/>
    </xf>
    <xf numFmtId="0" fontId="11" fillId="0" borderId="6" xfId="0" applyFont="1" applyBorder="1"/>
    <xf numFmtId="0" fontId="77" fillId="0" borderId="0" xfId="0" applyFont="1" applyBorder="1" applyAlignment="1">
      <alignment horizontal="centerContinuous" vertical="center" wrapText="1"/>
    </xf>
    <xf numFmtId="201" fontId="9" fillId="46" borderId="0" xfId="1209" applyNumberFormat="1" applyFont="1" applyFill="1" applyBorder="1" applyAlignment="1">
      <alignment horizontal="center" wrapText="1"/>
    </xf>
    <xf numFmtId="0" fontId="15" fillId="46" borderId="0" xfId="1209" applyFont="1" applyFill="1" applyBorder="1" applyAlignment="1">
      <alignment horizontal="center" wrapText="1"/>
    </xf>
    <xf numFmtId="4" fontId="14" fillId="46" borderId="0" xfId="1209" applyNumberFormat="1" applyFont="1" applyFill="1" applyBorder="1" applyAlignment="1">
      <alignment wrapText="1"/>
    </xf>
    <xf numFmtId="164" fontId="194" fillId="0" borderId="0" xfId="0" applyNumberFormat="1" applyFont="1"/>
    <xf numFmtId="0" fontId="220" fillId="0" borderId="0" xfId="0" applyFont="1"/>
    <xf numFmtId="0" fontId="11" fillId="0" borderId="0" xfId="0" applyFont="1" applyFill="1" applyAlignment="1">
      <alignment vertical="center"/>
    </xf>
    <xf numFmtId="0" fontId="58" fillId="46" borderId="17" xfId="1209" applyFont="1" applyFill="1" applyBorder="1" applyAlignment="1">
      <alignment vertical="center" wrapText="1"/>
    </xf>
    <xf numFmtId="0" fontId="60" fillId="46" borderId="17" xfId="1209" applyFont="1" applyFill="1" applyBorder="1" applyAlignment="1">
      <alignment vertical="center" wrapText="1"/>
    </xf>
    <xf numFmtId="173" fontId="58" fillId="46" borderId="17" xfId="1216" applyNumberFormat="1" applyFont="1" applyFill="1" applyBorder="1" applyAlignment="1">
      <alignment horizontal="right" vertical="center" wrapText="1"/>
    </xf>
    <xf numFmtId="0" fontId="221" fillId="46" borderId="23" xfId="1209" applyFont="1" applyFill="1" applyBorder="1" applyAlignment="1">
      <alignment vertical="center" wrapText="1"/>
    </xf>
    <xf numFmtId="173" fontId="11" fillId="0" borderId="0" xfId="0" applyNumberFormat="1" applyFont="1" applyFill="1"/>
    <xf numFmtId="0" fontId="206" fillId="46" borderId="23" xfId="1209" applyFont="1" applyFill="1" applyBorder="1" applyAlignment="1">
      <alignment vertical="center" wrapText="1"/>
    </xf>
    <xf numFmtId="0" fontId="222" fillId="46" borderId="23" xfId="1209" applyFont="1" applyFill="1" applyBorder="1" applyAlignment="1">
      <alignment vertical="center" wrapText="1"/>
    </xf>
    <xf numFmtId="0" fontId="222" fillId="44" borderId="23" xfId="1209" applyFont="1" applyFill="1" applyBorder="1" applyAlignment="1">
      <alignment vertical="center" wrapText="1"/>
    </xf>
    <xf numFmtId="0" fontId="58" fillId="44" borderId="17" xfId="1209" applyFont="1" applyFill="1" applyBorder="1" applyAlignment="1">
      <alignment vertical="center" wrapText="1"/>
    </xf>
    <xf numFmtId="0" fontId="206" fillId="44" borderId="23" xfId="1209" applyFont="1" applyFill="1" applyBorder="1" applyAlignment="1">
      <alignment vertical="center" wrapText="1"/>
    </xf>
    <xf numFmtId="0" fontId="60" fillId="44" borderId="17" xfId="1209" applyFont="1" applyFill="1" applyBorder="1" applyAlignment="1">
      <alignment vertical="center" wrapText="1"/>
    </xf>
    <xf numFmtId="0" fontId="11" fillId="44" borderId="17" xfId="1209" applyFont="1" applyFill="1" applyBorder="1" applyAlignment="1">
      <alignment vertical="center" wrapText="1"/>
    </xf>
    <xf numFmtId="173" fontId="58" fillId="44" borderId="17" xfId="1216" applyNumberFormat="1" applyFont="1" applyFill="1" applyBorder="1" applyAlignment="1">
      <alignment horizontal="right" vertical="center" wrapText="1"/>
    </xf>
    <xf numFmtId="173" fontId="11" fillId="44" borderId="17" xfId="1216" applyNumberFormat="1" applyFont="1" applyFill="1" applyBorder="1" applyAlignment="1">
      <alignment horizontal="right" vertical="center" wrapText="1"/>
    </xf>
    <xf numFmtId="0" fontId="95" fillId="28" borderId="17" xfId="0" applyFont="1" applyFill="1" applyBorder="1" applyAlignment="1">
      <alignment vertical="center"/>
    </xf>
    <xf numFmtId="0" fontId="207" fillId="46" borderId="17" xfId="1209" applyFont="1" applyFill="1" applyBorder="1" applyAlignment="1">
      <alignment vertical="center" wrapText="1"/>
    </xf>
    <xf numFmtId="173" fontId="11" fillId="46" borderId="0" xfId="0" applyNumberFormat="1" applyFont="1" applyFill="1"/>
    <xf numFmtId="170" fontId="95" fillId="28" borderId="17" xfId="0" applyNumberFormat="1" applyFont="1" applyFill="1" applyBorder="1" applyAlignment="1">
      <alignment vertical="center"/>
    </xf>
    <xf numFmtId="0" fontId="60" fillId="0" borderId="0" xfId="0" applyFont="1" applyAlignment="1">
      <alignment horizontal="right"/>
    </xf>
    <xf numFmtId="164" fontId="58" fillId="28" borderId="0" xfId="0" applyNumberFormat="1" applyFont="1" applyFill="1" applyAlignment="1">
      <alignment horizontal="left"/>
    </xf>
    <xf numFmtId="0" fontId="221" fillId="48" borderId="23" xfId="1209" applyFont="1" applyFill="1" applyBorder="1" applyAlignment="1">
      <alignment vertical="center" wrapText="1"/>
    </xf>
    <xf numFmtId="0" fontId="207" fillId="48" borderId="17" xfId="1209" applyFont="1" applyFill="1" applyBorder="1" applyAlignment="1">
      <alignment vertical="center" wrapText="1"/>
    </xf>
    <xf numFmtId="0" fontId="9" fillId="48" borderId="17" xfId="1209" applyFont="1" applyFill="1" applyBorder="1" applyAlignment="1">
      <alignment horizontal="center" vertical="center" wrapText="1"/>
    </xf>
    <xf numFmtId="173" fontId="207" fillId="48" borderId="17" xfId="1216" applyNumberFormat="1" applyFont="1" applyFill="1" applyBorder="1" applyAlignment="1">
      <alignment horizontal="right" vertical="center" wrapText="1"/>
    </xf>
    <xf numFmtId="0" fontId="11" fillId="48" borderId="0" xfId="0" applyFont="1" applyFill="1" applyAlignment="1">
      <alignment vertical="center"/>
    </xf>
    <xf numFmtId="173" fontId="58" fillId="46" borderId="0" xfId="0" applyNumberFormat="1" applyFont="1" applyFill="1"/>
    <xf numFmtId="2" fontId="11" fillId="0" borderId="0" xfId="0" applyNumberFormat="1" applyFont="1"/>
    <xf numFmtId="173" fontId="11" fillId="46" borderId="17" xfId="1216" applyNumberFormat="1" applyFont="1" applyFill="1" applyBorder="1" applyAlignment="1">
      <alignment horizontal="right" wrapText="1"/>
    </xf>
    <xf numFmtId="170" fontId="64" fillId="0" borderId="0" xfId="0" applyNumberFormat="1" applyFont="1" applyAlignment="1">
      <alignment horizontal="right"/>
    </xf>
    <xf numFmtId="195" fontId="9" fillId="46" borderId="23" xfId="1216" applyNumberFormat="1" applyFont="1" applyFill="1" applyBorder="1" applyAlignment="1">
      <alignment horizontal="right" vertical="top"/>
    </xf>
    <xf numFmtId="199" fontId="9" fillId="46" borderId="23" xfId="1216" applyNumberFormat="1" applyFont="1" applyFill="1" applyBorder="1" applyAlignment="1">
      <alignment horizontal="right" vertical="top"/>
    </xf>
    <xf numFmtId="199" fontId="9" fillId="46" borderId="17" xfId="1216" applyNumberFormat="1" applyFont="1" applyFill="1" applyBorder="1" applyAlignment="1">
      <alignment horizontal="right" vertical="top"/>
    </xf>
    <xf numFmtId="173" fontId="11" fillId="46" borderId="34" xfId="1216" applyNumberFormat="1" applyFont="1" applyFill="1" applyBorder="1" applyAlignment="1">
      <alignment horizontal="right" wrapText="1"/>
    </xf>
    <xf numFmtId="0" fontId="9" fillId="46" borderId="0" xfId="0" applyFont="1" applyFill="1" applyAlignment="1">
      <alignment horizontal="center"/>
    </xf>
    <xf numFmtId="0" fontId="9" fillId="46" borderId="22" xfId="0" applyFont="1" applyFill="1" applyBorder="1" applyAlignment="1">
      <alignment horizontal="center" vertical="top" wrapText="1"/>
    </xf>
    <xf numFmtId="0" fontId="9" fillId="46" borderId="25" xfId="0" applyFont="1" applyFill="1" applyBorder="1" applyAlignment="1">
      <alignment wrapText="1"/>
    </xf>
    <xf numFmtId="0" fontId="9" fillId="46" borderId="25" xfId="0" applyFont="1" applyFill="1" applyBorder="1" applyAlignment="1">
      <alignment horizontal="left" vertical="top" wrapText="1"/>
    </xf>
    <xf numFmtId="0" fontId="9" fillId="46" borderId="0" xfId="0" applyFont="1" applyFill="1" applyAlignment="1">
      <alignment horizontal="justify"/>
    </xf>
    <xf numFmtId="0" fontId="113" fillId="0" borderId="0" xfId="0" applyFont="1" applyAlignment="1">
      <alignment horizontal="centerContinuous"/>
    </xf>
    <xf numFmtId="0" fontId="60" fillId="46" borderId="17" xfId="0" applyFont="1" applyFill="1" applyBorder="1" applyAlignment="1">
      <alignment horizontal="center" wrapText="1"/>
    </xf>
    <xf numFmtId="0" fontId="60" fillId="46" borderId="17" xfId="0" applyFont="1" applyFill="1" applyBorder="1" applyAlignment="1">
      <alignment horizontal="center"/>
    </xf>
    <xf numFmtId="0" fontId="29" fillId="46" borderId="0" xfId="0" applyFont="1" applyFill="1" applyBorder="1" applyAlignment="1">
      <alignment horizontal="center"/>
    </xf>
    <xf numFmtId="0" fontId="11" fillId="0" borderId="23" xfId="0" applyFont="1" applyBorder="1" applyAlignment="1">
      <alignment horizontal="center" vertical="top" wrapText="1"/>
    </xf>
    <xf numFmtId="0" fontId="11" fillId="0" borderId="20" xfId="0" applyFont="1" applyBorder="1" applyAlignment="1">
      <alignment horizontal="center" vertical="top" wrapText="1"/>
    </xf>
    <xf numFmtId="0" fontId="11" fillId="0" borderId="22" xfId="0" applyFont="1" applyBorder="1" applyAlignment="1">
      <alignment horizontal="center" vertical="top" wrapText="1"/>
    </xf>
    <xf numFmtId="0" fontId="11" fillId="0" borderId="22" xfId="0" applyFont="1" applyBorder="1" applyAlignment="1">
      <alignment horizontal="center" vertical="center"/>
    </xf>
    <xf numFmtId="0" fontId="11" fillId="0" borderId="70" xfId="0" applyFont="1" applyBorder="1" applyAlignment="1">
      <alignment horizontal="center" vertical="center"/>
    </xf>
    <xf numFmtId="172" fontId="9" fillId="46" borderId="0" xfId="0" applyNumberFormat="1" applyFont="1" applyFill="1"/>
    <xf numFmtId="10" fontId="9" fillId="46" borderId="0" xfId="0" applyNumberFormat="1" applyFont="1" applyFill="1"/>
    <xf numFmtId="169" fontId="9" fillId="46" borderId="0" xfId="0" applyNumberFormat="1" applyFont="1" applyFill="1"/>
    <xf numFmtId="3" fontId="9" fillId="46" borderId="0" xfId="0" applyNumberFormat="1" applyFont="1" applyFill="1"/>
    <xf numFmtId="194" fontId="9" fillId="46" borderId="0" xfId="0" applyNumberFormat="1" applyFont="1" applyFill="1"/>
    <xf numFmtId="0" fontId="79" fillId="0" borderId="0" xfId="0" applyFont="1" applyAlignment="1">
      <alignment horizontal="left"/>
    </xf>
    <xf numFmtId="0" fontId="9" fillId="0" borderId="0" xfId="0" applyFont="1" applyBorder="1" applyAlignment="1">
      <alignment horizontal="center" vertical="top" wrapText="1"/>
    </xf>
    <xf numFmtId="4" fontId="194" fillId="33" borderId="0" xfId="0" applyNumberFormat="1" applyFont="1" applyFill="1" applyBorder="1" applyAlignment="1">
      <alignment horizontal="center" wrapText="1"/>
    </xf>
    <xf numFmtId="3" fontId="194" fillId="33" borderId="0" xfId="0" applyNumberFormat="1" applyFont="1" applyFill="1"/>
    <xf numFmtId="4" fontId="15" fillId="46" borderId="0" xfId="0" applyNumberFormat="1" applyFont="1" applyFill="1" applyAlignment="1">
      <alignment horizontal="right"/>
    </xf>
    <xf numFmtId="170" fontId="15" fillId="46" borderId="0" xfId="0" applyNumberFormat="1" applyFont="1" applyFill="1" applyAlignment="1">
      <alignment horizontal="right"/>
    </xf>
    <xf numFmtId="10" fontId="9" fillId="33" borderId="0" xfId="0" applyNumberFormat="1" applyFont="1" applyFill="1"/>
    <xf numFmtId="0" fontId="9" fillId="33" borderId="0" xfId="0" applyFont="1" applyFill="1" applyAlignment="1">
      <alignment horizontal="center"/>
    </xf>
    <xf numFmtId="169" fontId="9" fillId="33" borderId="0" xfId="0" applyNumberFormat="1" applyFont="1" applyFill="1"/>
    <xf numFmtId="194" fontId="9" fillId="46" borderId="26" xfId="1216" applyNumberFormat="1" applyFont="1" applyFill="1" applyBorder="1" applyAlignment="1">
      <alignment horizontal="right"/>
    </xf>
    <xf numFmtId="194" fontId="9" fillId="46" borderId="23" xfId="1216" applyNumberFormat="1" applyFont="1" applyFill="1" applyBorder="1" applyAlignment="1">
      <alignment horizontal="right" vertical="center"/>
    </xf>
    <xf numFmtId="194" fontId="9" fillId="46" borderId="26" xfId="1216" applyNumberFormat="1" applyFont="1" applyFill="1" applyBorder="1" applyAlignment="1">
      <alignment horizontal="right" vertical="top"/>
    </xf>
    <xf numFmtId="194" fontId="9" fillId="48" borderId="26" xfId="1216" applyNumberFormat="1" applyFont="1" applyFill="1" applyBorder="1" applyAlignment="1">
      <alignment horizontal="right"/>
    </xf>
    <xf numFmtId="4" fontId="9" fillId="44" borderId="33" xfId="0" applyNumberFormat="1" applyFont="1" applyFill="1" applyBorder="1" applyAlignment="1">
      <alignment horizontal="centerContinuous"/>
    </xf>
    <xf numFmtId="0" fontId="9" fillId="43" borderId="71" xfId="0" applyFont="1" applyFill="1" applyBorder="1" applyAlignment="1">
      <alignment wrapText="1"/>
    </xf>
    <xf numFmtId="4" fontId="194" fillId="43" borderId="72" xfId="0" applyNumberFormat="1" applyFont="1" applyFill="1" applyBorder="1"/>
    <xf numFmtId="4" fontId="9" fillId="43" borderId="72" xfId="0" applyNumberFormat="1" applyFont="1" applyFill="1" applyBorder="1"/>
    <xf numFmtId="4" fontId="201" fillId="48" borderId="0" xfId="0" applyNumberFormat="1" applyFont="1" applyFill="1"/>
    <xf numFmtId="195" fontId="9" fillId="46" borderId="26" xfId="1216" applyNumberFormat="1" applyFont="1" applyFill="1" applyBorder="1" applyAlignment="1">
      <alignment horizontal="right" vertical="top"/>
    </xf>
    <xf numFmtId="195" fontId="9" fillId="46" borderId="26" xfId="1216" applyNumberFormat="1" applyFont="1" applyFill="1" applyBorder="1" applyAlignment="1">
      <alignment horizontal="right"/>
    </xf>
    <xf numFmtId="196" fontId="9" fillId="46" borderId="26" xfId="1216" applyNumberFormat="1" applyFont="1" applyFill="1" applyBorder="1" applyAlignment="1">
      <alignment horizontal="right"/>
    </xf>
    <xf numFmtId="173" fontId="60" fillId="46" borderId="34" xfId="1216" applyNumberFormat="1" applyFont="1" applyFill="1" applyBorder="1" applyAlignment="1">
      <alignment horizontal="right" wrapText="1"/>
    </xf>
    <xf numFmtId="0" fontId="11" fillId="0" borderId="48" xfId="0" applyFont="1" applyBorder="1" applyAlignment="1">
      <alignment horizontal="center" vertical="center"/>
    </xf>
    <xf numFmtId="0" fontId="15" fillId="46" borderId="17" xfId="0" applyFont="1" applyFill="1" applyBorder="1" applyAlignment="1">
      <alignment horizontal="center" wrapText="1"/>
    </xf>
    <xf numFmtId="170" fontId="11" fillId="46" borderId="33" xfId="0" applyNumberFormat="1" applyFont="1" applyFill="1" applyBorder="1" applyAlignment="1">
      <alignment horizontal="center"/>
    </xf>
    <xf numFmtId="170" fontId="11" fillId="46" borderId="36" xfId="0" applyNumberFormat="1" applyFont="1" applyFill="1" applyBorder="1" applyAlignment="1">
      <alignment horizontal="center"/>
    </xf>
    <xf numFmtId="169" fontId="11" fillId="0" borderId="0" xfId="0" applyNumberFormat="1" applyFont="1"/>
    <xf numFmtId="170" fontId="15" fillId="0" borderId="0" xfId="0" applyNumberFormat="1" applyFont="1" applyBorder="1"/>
    <xf numFmtId="4" fontId="9" fillId="43" borderId="73" xfId="0" applyNumberFormat="1" applyFont="1" applyFill="1" applyBorder="1"/>
    <xf numFmtId="173" fontId="11" fillId="46" borderId="74" xfId="1216" applyNumberFormat="1" applyFont="1" applyFill="1" applyBorder="1" applyAlignment="1">
      <alignment horizontal="right" vertical="top"/>
    </xf>
    <xf numFmtId="173" fontId="11" fillId="46" borderId="35" xfId="1216" applyNumberFormat="1" applyFont="1" applyFill="1" applyBorder="1" applyAlignment="1">
      <alignment horizontal="right" vertical="top"/>
    </xf>
    <xf numFmtId="4" fontId="223" fillId="49" borderId="32" xfId="0" applyNumberFormat="1" applyFont="1" applyFill="1" applyBorder="1" applyAlignment="1">
      <alignment horizontal="center"/>
    </xf>
    <xf numFmtId="4" fontId="223" fillId="49" borderId="17" xfId="0" applyNumberFormat="1" applyFont="1" applyFill="1" applyBorder="1" applyAlignment="1">
      <alignment horizontal="center"/>
    </xf>
    <xf numFmtId="173" fontId="60" fillId="46" borderId="32" xfId="1216" applyNumberFormat="1" applyFont="1" applyFill="1" applyBorder="1" applyAlignment="1">
      <alignment horizontal="right" wrapText="1"/>
    </xf>
    <xf numFmtId="4" fontId="223" fillId="49" borderId="32" xfId="0" applyNumberFormat="1" applyFont="1" applyFill="1" applyBorder="1" applyAlignment="1">
      <alignment horizontal="center" wrapText="1"/>
    </xf>
    <xf numFmtId="4" fontId="223" fillId="49" borderId="17" xfId="0" applyNumberFormat="1" applyFont="1" applyFill="1" applyBorder="1" applyAlignment="1">
      <alignment horizontal="center" wrapText="1"/>
    </xf>
    <xf numFmtId="4" fontId="223" fillId="49" borderId="34" xfId="0" applyNumberFormat="1" applyFont="1" applyFill="1" applyBorder="1" applyAlignment="1">
      <alignment horizontal="center"/>
    </xf>
    <xf numFmtId="4" fontId="223" fillId="49" borderId="35" xfId="0" applyNumberFormat="1" applyFont="1" applyFill="1" applyBorder="1" applyAlignment="1">
      <alignment horizontal="center" wrapText="1"/>
    </xf>
    <xf numFmtId="4" fontId="223" fillId="49" borderId="37" xfId="0" applyNumberFormat="1" applyFont="1" applyFill="1" applyBorder="1" applyAlignment="1">
      <alignment horizontal="center" wrapText="1"/>
    </xf>
    <xf numFmtId="4" fontId="223" fillId="49" borderId="38" xfId="0" applyNumberFormat="1" applyFont="1" applyFill="1" applyBorder="1" applyAlignment="1">
      <alignment horizontal="center"/>
    </xf>
    <xf numFmtId="170" fontId="223" fillId="49" borderId="32" xfId="0" applyNumberFormat="1" applyFont="1" applyFill="1" applyBorder="1"/>
    <xf numFmtId="170" fontId="15" fillId="0" borderId="0" xfId="0" applyNumberFormat="1" applyFont="1"/>
    <xf numFmtId="170" fontId="11" fillId="46" borderId="35" xfId="0" applyNumberFormat="1" applyFont="1" applyFill="1" applyBorder="1" applyAlignment="1">
      <alignment horizontal="right" wrapText="1"/>
    </xf>
    <xf numFmtId="170" fontId="11" fillId="46" borderId="37" xfId="0" applyNumberFormat="1" applyFont="1" applyFill="1" applyBorder="1" applyAlignment="1">
      <alignment horizontal="right" wrapText="1"/>
    </xf>
    <xf numFmtId="3" fontId="15" fillId="46" borderId="17" xfId="0" applyNumberFormat="1" applyFont="1" applyFill="1" applyBorder="1" applyAlignment="1">
      <alignment horizontal="center" wrapText="1"/>
    </xf>
    <xf numFmtId="3" fontId="15" fillId="46" borderId="37" xfId="0" applyNumberFormat="1" applyFont="1" applyFill="1" applyBorder="1" applyAlignment="1">
      <alignment horizontal="center" wrapText="1"/>
    </xf>
    <xf numFmtId="173" fontId="14" fillId="46" borderId="34" xfId="1216" applyNumberFormat="1" applyFont="1" applyFill="1" applyBorder="1" applyAlignment="1">
      <alignment horizontal="right" wrapText="1"/>
    </xf>
    <xf numFmtId="0" fontId="11" fillId="0" borderId="53" xfId="0" applyFont="1" applyBorder="1" applyAlignment="1">
      <alignment horizontal="center"/>
    </xf>
    <xf numFmtId="3" fontId="15" fillId="46" borderId="22" xfId="0" applyNumberFormat="1" applyFont="1" applyFill="1" applyBorder="1" applyAlignment="1">
      <alignment horizontal="center" wrapText="1"/>
    </xf>
    <xf numFmtId="4" fontId="223" fillId="49" borderId="31" xfId="0" applyNumberFormat="1" applyFont="1" applyFill="1" applyBorder="1" applyAlignment="1">
      <alignment horizontal="center" wrapText="1"/>
    </xf>
    <xf numFmtId="4" fontId="223" fillId="49" borderId="22" xfId="0" applyNumberFormat="1" applyFont="1" applyFill="1" applyBorder="1" applyAlignment="1">
      <alignment horizontal="center" wrapText="1"/>
    </xf>
    <xf numFmtId="170" fontId="11" fillId="46" borderId="31" xfId="0" applyNumberFormat="1" applyFont="1" applyFill="1" applyBorder="1"/>
    <xf numFmtId="170" fontId="11" fillId="46" borderId="22" xfId="0" applyNumberFormat="1" applyFont="1" applyFill="1" applyBorder="1"/>
    <xf numFmtId="170" fontId="11" fillId="46" borderId="61" xfId="0" applyNumberFormat="1" applyFont="1" applyFill="1" applyBorder="1"/>
    <xf numFmtId="170" fontId="11" fillId="46" borderId="25" xfId="0" applyNumberFormat="1" applyFont="1" applyFill="1" applyBorder="1"/>
    <xf numFmtId="0" fontId="58" fillId="0" borderId="49" xfId="0" applyFont="1" applyBorder="1" applyAlignment="1">
      <alignment horizontal="center"/>
    </xf>
    <xf numFmtId="0" fontId="58" fillId="46" borderId="50" xfId="0" applyFont="1" applyFill="1" applyBorder="1" applyAlignment="1">
      <alignment wrapText="1"/>
    </xf>
    <xf numFmtId="0" fontId="11" fillId="46" borderId="50" xfId="0" applyFont="1" applyFill="1" applyBorder="1"/>
    <xf numFmtId="0" fontId="11" fillId="46" borderId="75" xfId="0" applyFont="1" applyFill="1" applyBorder="1"/>
    <xf numFmtId="0" fontId="9" fillId="46" borderId="49" xfId="0" applyFont="1" applyFill="1" applyBorder="1" applyAlignment="1">
      <alignment horizontal="center"/>
    </xf>
    <xf numFmtId="0" fontId="9" fillId="46" borderId="50" xfId="0" applyFont="1" applyFill="1" applyBorder="1" applyAlignment="1">
      <alignment horizontal="center"/>
    </xf>
    <xf numFmtId="0" fontId="9" fillId="46" borderId="51" xfId="0" applyFont="1" applyFill="1" applyBorder="1" applyAlignment="1">
      <alignment horizontal="center"/>
    </xf>
    <xf numFmtId="170" fontId="58" fillId="46" borderId="49" xfId="0" applyNumberFormat="1" applyFont="1" applyFill="1" applyBorder="1"/>
    <xf numFmtId="170" fontId="58" fillId="46" borderId="50" xfId="0" applyNumberFormat="1" applyFont="1" applyFill="1" applyBorder="1"/>
    <xf numFmtId="170" fontId="58" fillId="46" borderId="51" xfId="0" applyNumberFormat="1" applyFont="1" applyFill="1" applyBorder="1"/>
    <xf numFmtId="173" fontId="60" fillId="46" borderId="49" xfId="1216" applyNumberFormat="1" applyFont="1" applyFill="1" applyBorder="1" applyAlignment="1">
      <alignment horizontal="right" wrapText="1"/>
    </xf>
    <xf numFmtId="173" fontId="60" fillId="46" borderId="50" xfId="1216" applyNumberFormat="1" applyFont="1" applyFill="1" applyBorder="1" applyAlignment="1">
      <alignment horizontal="right" wrapText="1"/>
    </xf>
    <xf numFmtId="0" fontId="58" fillId="46" borderId="76" xfId="0" applyFont="1" applyFill="1" applyBorder="1" applyAlignment="1">
      <alignment horizontal="centerContinuous" vertical="center"/>
    </xf>
    <xf numFmtId="173" fontId="11" fillId="46" borderId="38" xfId="1216" applyNumberFormat="1" applyFont="1" applyFill="1" applyBorder="1" applyAlignment="1">
      <alignment horizontal="right" vertical="top"/>
    </xf>
    <xf numFmtId="0" fontId="9" fillId="48" borderId="0" xfId="0" applyFont="1" applyFill="1" applyBorder="1"/>
    <xf numFmtId="0" fontId="9" fillId="48" borderId="17" xfId="0" applyFont="1" applyFill="1" applyBorder="1" applyAlignment="1">
      <alignment horizontal="center" vertical="top" wrapText="1"/>
    </xf>
    <xf numFmtId="173" fontId="9" fillId="48" borderId="17" xfId="1216" applyNumberFormat="1" applyFont="1" applyFill="1" applyBorder="1" applyAlignment="1">
      <alignment horizontal="right" wrapText="1"/>
    </xf>
    <xf numFmtId="0" fontId="18" fillId="48" borderId="0" xfId="0" applyFont="1" applyFill="1"/>
    <xf numFmtId="0" fontId="113" fillId="48" borderId="0" xfId="0" applyFont="1" applyFill="1" applyAlignment="1">
      <alignment horizontal="centerContinuous" wrapText="1"/>
    </xf>
    <xf numFmtId="0" fontId="9" fillId="48" borderId="0" xfId="0" applyFont="1" applyFill="1" applyAlignment="1">
      <alignment horizontal="centerContinuous" wrapText="1"/>
    </xf>
    <xf numFmtId="0" fontId="0" fillId="48" borderId="0" xfId="0" applyFont="1" applyFill="1" applyAlignment="1">
      <alignment horizontal="centerContinuous" wrapText="1"/>
    </xf>
    <xf numFmtId="0" fontId="113" fillId="48" borderId="0" xfId="0" applyFont="1" applyFill="1" applyAlignment="1">
      <alignment horizontal="centerContinuous"/>
    </xf>
    <xf numFmtId="170" fontId="17" fillId="46" borderId="0" xfId="0" applyNumberFormat="1" applyFont="1" applyFill="1"/>
    <xf numFmtId="0" fontId="9" fillId="0" borderId="0" xfId="1181" applyFont="1" applyAlignment="1"/>
    <xf numFmtId="0" fontId="201" fillId="0" borderId="0" xfId="1181" applyFont="1" applyAlignment="1"/>
    <xf numFmtId="168" fontId="9" fillId="0" borderId="0" xfId="1181" applyNumberFormat="1" applyFont="1"/>
    <xf numFmtId="0" fontId="30" fillId="0" borderId="0" xfId="1181" applyFont="1"/>
    <xf numFmtId="0" fontId="30" fillId="0" borderId="0" xfId="1181"/>
    <xf numFmtId="0" fontId="224" fillId="0" borderId="0" xfId="1181" applyFont="1"/>
    <xf numFmtId="0" fontId="9" fillId="0" borderId="0" xfId="1181" applyFont="1"/>
    <xf numFmtId="0" fontId="207" fillId="0" borderId="0" xfId="1181" applyFont="1" applyAlignment="1"/>
    <xf numFmtId="168" fontId="11" fillId="0" borderId="0" xfId="1181" applyNumberFormat="1" applyFont="1"/>
    <xf numFmtId="0" fontId="126" fillId="0" borderId="0" xfId="1181" applyFont="1"/>
    <xf numFmtId="0" fontId="225" fillId="0" borderId="0" xfId="1181" applyFont="1"/>
    <xf numFmtId="0" fontId="11" fillId="0" borderId="0" xfId="1181" applyFont="1"/>
    <xf numFmtId="168" fontId="58" fillId="0" borderId="0" xfId="1181" applyNumberFormat="1" applyFont="1" applyAlignment="1">
      <alignment horizontal="right"/>
    </xf>
    <xf numFmtId="168" fontId="58" fillId="0" borderId="0" xfId="1181" applyNumberFormat="1" applyFont="1" applyAlignment="1">
      <alignment horizontal="left"/>
    </xf>
    <xf numFmtId="0" fontId="9" fillId="0" borderId="0" xfId="1181" applyFont="1" applyAlignment="1">
      <alignment horizontal="right"/>
    </xf>
    <xf numFmtId="169" fontId="224" fillId="0" borderId="0" xfId="1181" applyNumberFormat="1" applyFont="1"/>
    <xf numFmtId="0" fontId="12" fillId="0" borderId="0" xfId="1181" applyFont="1" applyAlignment="1">
      <alignment horizontal="right"/>
    </xf>
    <xf numFmtId="0" fontId="9" fillId="0" borderId="66" xfId="1181" applyFont="1" applyBorder="1" applyAlignment="1">
      <alignment horizontal="center" vertical="top" wrapText="1"/>
    </xf>
    <xf numFmtId="0" fontId="9" fillId="46" borderId="0" xfId="1181" applyFont="1" applyFill="1"/>
    <xf numFmtId="0" fontId="224" fillId="46" borderId="0" xfId="1181" applyFont="1" applyFill="1"/>
    <xf numFmtId="0" fontId="30" fillId="46" borderId="0" xfId="1181" applyFill="1"/>
    <xf numFmtId="0" fontId="9" fillId="0" borderId="66" xfId="1181" applyFont="1" applyBorder="1" applyAlignment="1">
      <alignment horizontal="center"/>
    </xf>
    <xf numFmtId="1" fontId="9" fillId="0" borderId="66" xfId="1181" applyNumberFormat="1" applyFont="1" applyBorder="1" applyAlignment="1">
      <alignment horizontal="center"/>
    </xf>
    <xf numFmtId="49" fontId="9" fillId="0" borderId="66" xfId="1181" applyNumberFormat="1" applyFont="1" applyBorder="1" applyAlignment="1">
      <alignment horizontal="center"/>
    </xf>
    <xf numFmtId="0" fontId="9" fillId="0" borderId="77" xfId="1181" applyFont="1" applyBorder="1" applyAlignment="1">
      <alignment horizontal="left" wrapText="1"/>
    </xf>
    <xf numFmtId="168" fontId="9" fillId="0" borderId="66" xfId="1181" applyNumberFormat="1" applyFont="1" applyBorder="1" applyAlignment="1">
      <alignment horizontal="center"/>
    </xf>
    <xf numFmtId="169" fontId="9" fillId="46" borderId="0" xfId="1181" applyNumberFormat="1" applyFont="1" applyFill="1"/>
    <xf numFmtId="168" fontId="194" fillId="46" borderId="0" xfId="1181" applyNumberFormat="1" applyFont="1" applyFill="1"/>
    <xf numFmtId="1" fontId="30" fillId="46" borderId="0" xfId="1181" applyNumberFormat="1" applyFill="1"/>
    <xf numFmtId="164" fontId="30" fillId="46" borderId="0" xfId="1181" applyNumberFormat="1" applyFill="1"/>
    <xf numFmtId="0" fontId="9" fillId="0" borderId="68" xfId="1181" applyFont="1" applyBorder="1" applyAlignment="1">
      <alignment horizontal="left" wrapText="1"/>
    </xf>
    <xf numFmtId="169" fontId="194" fillId="46" borderId="0" xfId="1181" applyNumberFormat="1" applyFont="1" applyFill="1"/>
    <xf numFmtId="169" fontId="63" fillId="46" borderId="0" xfId="1181" applyNumberFormat="1" applyFont="1" applyFill="1"/>
    <xf numFmtId="169" fontId="226" fillId="46" borderId="0" xfId="1181" applyNumberFormat="1" applyFont="1" applyFill="1"/>
    <xf numFmtId="0" fontId="226" fillId="46" borderId="0" xfId="1181" applyFont="1" applyFill="1"/>
    <xf numFmtId="168" fontId="30" fillId="46" borderId="0" xfId="1181" applyNumberFormat="1" applyFill="1"/>
    <xf numFmtId="169" fontId="9" fillId="0" borderId="66" xfId="1181" applyNumberFormat="1" applyFont="1" applyBorder="1" applyAlignment="1">
      <alignment horizontal="center"/>
    </xf>
    <xf numFmtId="10" fontId="227" fillId="46" borderId="0" xfId="1181" applyNumberFormat="1" applyFont="1" applyFill="1"/>
    <xf numFmtId="2" fontId="9" fillId="46" borderId="0" xfId="1181" applyNumberFormat="1" applyFont="1" applyFill="1"/>
    <xf numFmtId="49" fontId="9" fillId="0" borderId="66" xfId="1181" applyNumberFormat="1" applyFont="1" applyBorder="1" applyAlignment="1">
      <alignment horizontal="center" vertical="top"/>
    </xf>
    <xf numFmtId="169" fontId="224" fillId="46" borderId="0" xfId="1181" applyNumberFormat="1" applyFont="1" applyFill="1"/>
    <xf numFmtId="169" fontId="30" fillId="46" borderId="0" xfId="1181" applyNumberFormat="1" applyFill="1"/>
    <xf numFmtId="169" fontId="201" fillId="0" borderId="66" xfId="1181" applyNumberFormat="1" applyFont="1" applyBorder="1" applyAlignment="1">
      <alignment horizontal="center"/>
    </xf>
    <xf numFmtId="0" fontId="9" fillId="48" borderId="68" xfId="1181" applyFont="1" applyFill="1" applyBorder="1" applyAlignment="1">
      <alignment horizontal="left" wrapText="1"/>
    </xf>
    <xf numFmtId="169" fontId="201" fillId="48" borderId="66" xfId="1181" applyNumberFormat="1" applyFont="1" applyFill="1" applyBorder="1" applyAlignment="1">
      <alignment horizontal="center"/>
    </xf>
    <xf numFmtId="49" fontId="9" fillId="0" borderId="17" xfId="1181" applyNumberFormat="1" applyFont="1" applyBorder="1" applyAlignment="1">
      <alignment horizontal="center" vertical="top"/>
    </xf>
    <xf numFmtId="49" fontId="9" fillId="0" borderId="67" xfId="1181" applyNumberFormat="1" applyFont="1" applyBorder="1" applyAlignment="1">
      <alignment horizontal="center"/>
    </xf>
    <xf numFmtId="169" fontId="9" fillId="48" borderId="66" xfId="1181" applyNumberFormat="1" applyFont="1" applyFill="1" applyBorder="1" applyAlignment="1">
      <alignment horizontal="center"/>
    </xf>
    <xf numFmtId="49" fontId="9" fillId="0" borderId="17" xfId="1181" applyNumberFormat="1" applyFont="1" applyBorder="1" applyAlignment="1">
      <alignment horizontal="center"/>
    </xf>
    <xf numFmtId="49" fontId="9" fillId="0" borderId="78" xfId="1181" applyNumberFormat="1" applyFont="1" applyBorder="1" applyAlignment="1">
      <alignment horizontal="center"/>
    </xf>
    <xf numFmtId="0" fontId="9" fillId="0" borderId="79" xfId="1181" applyFont="1" applyBorder="1" applyAlignment="1">
      <alignment horizontal="left" wrapText="1"/>
    </xf>
    <xf numFmtId="169" fontId="9" fillId="0" borderId="78" xfId="1181" applyNumberFormat="1" applyFont="1" applyBorder="1" applyAlignment="1">
      <alignment horizontal="center"/>
    </xf>
    <xf numFmtId="168" fontId="9" fillId="0" borderId="78" xfId="1181" applyNumberFormat="1" applyFont="1" applyBorder="1" applyAlignment="1">
      <alignment horizontal="center"/>
    </xf>
    <xf numFmtId="49" fontId="9" fillId="0" borderId="68" xfId="1181" applyNumberFormat="1" applyFont="1" applyBorder="1" applyAlignment="1">
      <alignment horizontal="left" wrapText="1" indent="1"/>
    </xf>
    <xf numFmtId="169" fontId="9" fillId="0" borderId="0" xfId="1181" applyNumberFormat="1" applyFont="1"/>
    <xf numFmtId="4" fontId="30" fillId="46" borderId="0" xfId="1181" applyNumberFormat="1" applyFill="1"/>
    <xf numFmtId="3" fontId="224" fillId="0" borderId="0" xfId="1181" applyNumberFormat="1" applyFont="1"/>
    <xf numFmtId="169" fontId="9" fillId="0" borderId="67" xfId="1181" applyNumberFormat="1" applyFont="1" applyBorder="1" applyAlignment="1">
      <alignment horizontal="center"/>
    </xf>
    <xf numFmtId="0" fontId="212" fillId="46" borderId="0" xfId="1181" applyFont="1" applyFill="1" applyAlignment="1">
      <alignment horizontal="right"/>
    </xf>
    <xf numFmtId="3" fontId="30" fillId="46" borderId="0" xfId="1181" applyNumberFormat="1" applyFill="1"/>
    <xf numFmtId="3" fontId="212" fillId="46" borderId="0" xfId="1181" applyNumberFormat="1" applyFont="1" applyFill="1"/>
    <xf numFmtId="0" fontId="212" fillId="46" borderId="0" xfId="1181" applyFont="1" applyFill="1"/>
    <xf numFmtId="168" fontId="224" fillId="46" borderId="0" xfId="1181" applyNumberFormat="1" applyFont="1" applyFill="1"/>
    <xf numFmtId="0" fontId="224" fillId="46" borderId="0" xfId="1181" applyFont="1" applyFill="1" applyAlignment="1">
      <alignment horizontal="center"/>
    </xf>
    <xf numFmtId="168" fontId="9" fillId="48" borderId="66" xfId="1181" applyNumberFormat="1" applyFont="1" applyFill="1" applyBorder="1" applyAlignment="1">
      <alignment horizontal="center"/>
    </xf>
    <xf numFmtId="3" fontId="224" fillId="46" borderId="0" xfId="1181" applyNumberFormat="1" applyFont="1" applyFill="1"/>
    <xf numFmtId="0" fontId="201" fillId="0" borderId="0" xfId="1181" applyFont="1"/>
    <xf numFmtId="168" fontId="11" fillId="46" borderId="0" xfId="1181" applyNumberFormat="1" applyFont="1" applyFill="1"/>
    <xf numFmtId="0" fontId="126" fillId="46" borderId="0" xfId="1181" applyFont="1" applyFill="1"/>
    <xf numFmtId="168" fontId="58" fillId="46" borderId="0" xfId="1181" applyNumberFormat="1" applyFont="1" applyFill="1" applyAlignment="1">
      <alignment horizontal="left"/>
    </xf>
    <xf numFmtId="0" fontId="201" fillId="46" borderId="0" xfId="0" applyFont="1" applyFill="1"/>
    <xf numFmtId="0" fontId="144" fillId="46" borderId="0" xfId="1181" applyFont="1" applyFill="1"/>
    <xf numFmtId="0" fontId="11" fillId="46" borderId="0" xfId="1181" applyFont="1" applyFill="1" applyAlignment="1"/>
    <xf numFmtId="0" fontId="11" fillId="46" borderId="0" xfId="1181" applyFont="1" applyFill="1"/>
    <xf numFmtId="168" fontId="58" fillId="46" borderId="0" xfId="1181" applyNumberFormat="1" applyFont="1" applyFill="1" applyAlignment="1">
      <alignment horizontal="right"/>
    </xf>
    <xf numFmtId="168" fontId="11" fillId="46" borderId="0" xfId="1181" applyNumberFormat="1" applyFont="1" applyFill="1" applyAlignment="1">
      <alignment horizontal="right"/>
    </xf>
    <xf numFmtId="194" fontId="9" fillId="51" borderId="66" xfId="1217" applyNumberFormat="1" applyFont="1" applyFill="1" applyBorder="1" applyAlignment="1">
      <alignment horizontal="center"/>
    </xf>
    <xf numFmtId="0" fontId="145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0" fillId="0" borderId="0" xfId="0" applyAlignment="1">
      <alignment vertical="center" wrapText="1"/>
    </xf>
    <xf numFmtId="0" fontId="144" fillId="0" borderId="17" xfId="0" applyFont="1" applyBorder="1" applyAlignment="1">
      <alignment horizontal="left" vertical="center" wrapText="1"/>
    </xf>
    <xf numFmtId="0" fontId="144" fillId="0" borderId="17" xfId="0" applyFont="1" applyBorder="1" applyAlignment="1">
      <alignment horizontal="center" vertical="center" wrapText="1"/>
    </xf>
    <xf numFmtId="0" fontId="77" fillId="0" borderId="17" xfId="0" applyFont="1" applyBorder="1" applyAlignment="1">
      <alignment vertical="center" wrapText="1"/>
    </xf>
    <xf numFmtId="0" fontId="148" fillId="0" borderId="17" xfId="1178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left" vertical="center"/>
    </xf>
    <xf numFmtId="0" fontId="228" fillId="0" borderId="0" xfId="0" applyFont="1"/>
    <xf numFmtId="0" fontId="224" fillId="0" borderId="0" xfId="0" applyFont="1"/>
    <xf numFmtId="0" fontId="129" fillId="46" borderId="17" xfId="1178" applyFont="1" applyFill="1" applyBorder="1" applyAlignment="1" applyProtection="1">
      <alignment horizontal="left" vertical="center" wrapText="1" indent="1"/>
    </xf>
    <xf numFmtId="0" fontId="129" fillId="46" borderId="17" xfId="1178" applyFont="1" applyFill="1" applyBorder="1" applyAlignment="1" applyProtection="1">
      <alignment horizontal="center" vertical="center" wrapText="1"/>
    </xf>
    <xf numFmtId="170" fontId="204" fillId="46" borderId="0" xfId="0" applyNumberFormat="1" applyFont="1" applyFill="1"/>
    <xf numFmtId="170" fontId="0" fillId="46" borderId="17" xfId="0" applyNumberFormat="1" applyFont="1" applyFill="1" applyBorder="1"/>
    <xf numFmtId="168" fontId="0" fillId="0" borderId="0" xfId="0" applyNumberFormat="1"/>
    <xf numFmtId="170" fontId="0" fillId="0" borderId="0" xfId="0" applyNumberFormat="1"/>
    <xf numFmtId="0" fontId="32" fillId="46" borderId="0" xfId="0" applyFont="1" applyFill="1"/>
    <xf numFmtId="0" fontId="9" fillId="46" borderId="66" xfId="0" applyFont="1" applyFill="1" applyBorder="1" applyAlignment="1">
      <alignment horizontal="center" vertical="center" wrapText="1"/>
    </xf>
    <xf numFmtId="0" fontId="8" fillId="51" borderId="66" xfId="0" applyFont="1" applyFill="1" applyBorder="1" applyAlignment="1">
      <alignment horizontal="center" vertical="center" wrapText="1"/>
    </xf>
    <xf numFmtId="0" fontId="9" fillId="51" borderId="66" xfId="0" applyFont="1" applyFill="1" applyBorder="1" applyAlignment="1">
      <alignment horizontal="center" vertical="center" wrapText="1"/>
    </xf>
    <xf numFmtId="0" fontId="120" fillId="46" borderId="66" xfId="0" applyFont="1" applyFill="1" applyBorder="1" applyAlignment="1">
      <alignment horizontal="center" vertical="center" wrapText="1"/>
    </xf>
    <xf numFmtId="0" fontId="28" fillId="46" borderId="0" xfId="0" applyFont="1" applyFill="1" applyAlignment="1">
      <alignment horizontal="left"/>
    </xf>
    <xf numFmtId="0" fontId="151" fillId="0" borderId="0" xfId="1215" applyFont="1" applyFill="1" applyAlignment="1">
      <alignment horizontal="centerContinuous" wrapText="1"/>
    </xf>
    <xf numFmtId="0" fontId="151" fillId="46" borderId="0" xfId="1215" applyFont="1" applyFill="1" applyAlignment="1">
      <alignment horizontal="centerContinuous" wrapText="1"/>
    </xf>
    <xf numFmtId="0" fontId="9" fillId="0" borderId="0" xfId="0" applyFont="1" applyAlignment="1">
      <alignment horizontal="centerContinuous" wrapText="1"/>
    </xf>
    <xf numFmtId="2" fontId="15" fillId="0" borderId="0" xfId="0" applyNumberFormat="1" applyFont="1" applyBorder="1"/>
    <xf numFmtId="0" fontId="9" fillId="46" borderId="0" xfId="0" applyFont="1" applyFill="1" applyBorder="1"/>
    <xf numFmtId="0" fontId="15" fillId="0" borderId="0" xfId="0" applyFont="1" applyBorder="1" applyAlignment="1">
      <alignment horizontal="right"/>
    </xf>
    <xf numFmtId="0" fontId="15" fillId="0" borderId="0" xfId="0" applyFont="1" applyAlignment="1">
      <alignment horizontal="right"/>
    </xf>
    <xf numFmtId="164" fontId="58" fillId="48" borderId="0" xfId="0" applyNumberFormat="1" applyFont="1" applyFill="1"/>
    <xf numFmtId="0" fontId="58" fillId="48" borderId="0" xfId="0" applyFont="1" applyFill="1"/>
    <xf numFmtId="0" fontId="194" fillId="0" borderId="0" xfId="0" applyFont="1" applyAlignment="1">
      <alignment horizontal="right"/>
    </xf>
    <xf numFmtId="0" fontId="66" fillId="0" borderId="0" xfId="1218" applyFont="1" applyBorder="1" applyAlignment="1">
      <alignment horizontal="centerContinuous" wrapText="1"/>
    </xf>
    <xf numFmtId="0" fontId="79" fillId="0" borderId="0" xfId="1218" applyFont="1" applyBorder="1" applyAlignment="1">
      <alignment horizontal="centerContinuous" wrapText="1"/>
    </xf>
    <xf numFmtId="0" fontId="227" fillId="0" borderId="0" xfId="1208" applyFont="1"/>
    <xf numFmtId="0" fontId="30" fillId="0" borderId="0" xfId="1208"/>
    <xf numFmtId="0" fontId="152" fillId="0" borderId="0" xfId="1218" applyFont="1" applyBorder="1" applyAlignment="1">
      <alignment horizontal="centerContinuous" wrapText="1"/>
    </xf>
    <xf numFmtId="0" fontId="30" fillId="0" borderId="0" xfId="1208" applyAlignment="1">
      <alignment horizontal="centerContinuous"/>
    </xf>
    <xf numFmtId="0" fontId="11" fillId="0" borderId="0" xfId="1218" applyFont="1" applyBorder="1" applyAlignment="1">
      <alignment horizontal="centerContinuous" wrapText="1"/>
    </xf>
    <xf numFmtId="0" fontId="202" fillId="0" borderId="0" xfId="1208" applyFont="1"/>
    <xf numFmtId="0" fontId="9" fillId="0" borderId="0" xfId="1208" applyFont="1"/>
    <xf numFmtId="0" fontId="9" fillId="46" borderId="24" xfId="0" quotePrefix="1" applyFont="1" applyFill="1" applyBorder="1" applyAlignment="1">
      <alignment horizontal="center"/>
    </xf>
    <xf numFmtId="0" fontId="100" fillId="46" borderId="24" xfId="0" applyFont="1" applyFill="1" applyBorder="1" applyAlignment="1">
      <alignment horizontal="center"/>
    </xf>
    <xf numFmtId="170" fontId="11" fillId="0" borderId="17" xfId="1176" applyNumberFormat="1" applyFont="1" applyBorder="1" applyAlignment="1">
      <alignment horizontal="right"/>
    </xf>
    <xf numFmtId="170" fontId="11" fillId="0" borderId="17" xfId="1176" applyNumberFormat="1" applyFont="1" applyFill="1" applyBorder="1" applyAlignment="1">
      <alignment horizontal="right"/>
    </xf>
    <xf numFmtId="0" fontId="11" fillId="0" borderId="17" xfId="1176" applyFont="1" applyBorder="1"/>
    <xf numFmtId="0" fontId="58" fillId="44" borderId="17" xfId="1176" applyFont="1" applyFill="1" applyBorder="1"/>
    <xf numFmtId="0" fontId="58" fillId="44" borderId="17" xfId="1176" applyFont="1" applyFill="1" applyBorder="1" applyAlignment="1">
      <alignment horizontal="left"/>
    </xf>
    <xf numFmtId="170" fontId="58" fillId="44" borderId="17" xfId="1176" applyNumberFormat="1" applyFont="1" applyFill="1" applyBorder="1" applyAlignment="1">
      <alignment horizontal="right"/>
    </xf>
    <xf numFmtId="0" fontId="11" fillId="46" borderId="17" xfId="1208" applyFont="1" applyFill="1" applyBorder="1" applyAlignment="1">
      <alignment horizontal="left" wrapText="1"/>
    </xf>
    <xf numFmtId="0" fontId="9" fillId="46" borderId="17" xfId="1208" applyFont="1" applyFill="1" applyBorder="1" applyAlignment="1">
      <alignment horizontal="center" wrapText="1"/>
    </xf>
    <xf numFmtId="1" fontId="11" fillId="46" borderId="17" xfId="1208" applyNumberFormat="1" applyFont="1" applyFill="1" applyBorder="1" applyAlignment="1">
      <alignment horizontal="right" wrapText="1"/>
    </xf>
    <xf numFmtId="170" fontId="202" fillId="46" borderId="0" xfId="1208" applyNumberFormat="1" applyFont="1" applyFill="1"/>
    <xf numFmtId="0" fontId="14" fillId="46" borderId="0" xfId="1208" applyFont="1" applyFill="1"/>
    <xf numFmtId="170" fontId="11" fillId="46" borderId="17" xfId="1208" applyNumberFormat="1" applyFont="1" applyFill="1" applyBorder="1" applyAlignment="1">
      <alignment horizontal="right" wrapText="1"/>
    </xf>
    <xf numFmtId="4" fontId="11" fillId="46" borderId="17" xfId="1208" applyNumberFormat="1" applyFont="1" applyFill="1" applyBorder="1" applyAlignment="1">
      <alignment horizontal="right" wrapText="1"/>
    </xf>
    <xf numFmtId="4" fontId="60" fillId="46" borderId="17" xfId="1208" applyNumberFormat="1" applyFont="1" applyFill="1" applyBorder="1" applyAlignment="1">
      <alignment horizontal="right" wrapText="1"/>
    </xf>
    <xf numFmtId="0" fontId="58" fillId="46" borderId="17" xfId="1208" applyFont="1" applyFill="1" applyBorder="1" applyAlignment="1">
      <alignment horizontal="left" wrapText="1"/>
    </xf>
    <xf numFmtId="0" fontId="15" fillId="46" borderId="17" xfId="1208" applyFont="1" applyFill="1" applyBorder="1" applyAlignment="1">
      <alignment horizontal="center" wrapText="1"/>
    </xf>
    <xf numFmtId="170" fontId="58" fillId="46" borderId="17" xfId="1208" applyNumberFormat="1" applyFont="1" applyFill="1" applyBorder="1" applyAlignment="1">
      <alignment horizontal="right" wrapText="1"/>
    </xf>
    <xf numFmtId="170" fontId="68" fillId="0" borderId="0" xfId="0" applyNumberFormat="1" applyFont="1"/>
    <xf numFmtId="0" fontId="11" fillId="0" borderId="0" xfId="1181" applyFont="1" applyAlignment="1"/>
    <xf numFmtId="0" fontId="144" fillId="0" borderId="0" xfId="1181" applyFont="1"/>
    <xf numFmtId="164" fontId="9" fillId="46" borderId="23" xfId="0" applyNumberFormat="1" applyFont="1" applyFill="1" applyBorder="1" applyAlignment="1">
      <alignment vertical="top" wrapText="1"/>
    </xf>
    <xf numFmtId="164" fontId="9" fillId="46" borderId="25" xfId="0" applyNumberFormat="1" applyFont="1" applyFill="1" applyBorder="1" applyAlignment="1">
      <alignment vertical="top" wrapText="1"/>
    </xf>
    <xf numFmtId="168" fontId="9" fillId="46" borderId="17" xfId="0" applyNumberFormat="1" applyFont="1" applyFill="1" applyBorder="1" applyAlignment="1">
      <alignment vertical="top" wrapText="1"/>
    </xf>
    <xf numFmtId="164" fontId="9" fillId="46" borderId="19" xfId="0" applyNumberFormat="1" applyFont="1" applyFill="1" applyBorder="1" applyAlignment="1">
      <alignment vertical="top" wrapText="1"/>
    </xf>
    <xf numFmtId="164" fontId="9" fillId="46" borderId="17" xfId="0" applyNumberFormat="1" applyFont="1" applyFill="1" applyBorder="1" applyAlignment="1">
      <alignment vertical="top" wrapText="1"/>
    </xf>
    <xf numFmtId="164" fontId="9" fillId="46" borderId="24" xfId="0" applyNumberFormat="1" applyFont="1" applyFill="1" applyBorder="1" applyAlignment="1">
      <alignment vertical="top" wrapText="1"/>
    </xf>
    <xf numFmtId="0" fontId="9" fillId="44" borderId="66" xfId="0" applyFont="1" applyFill="1" applyBorder="1" applyAlignment="1">
      <alignment horizontal="center" vertical="center" wrapText="1"/>
    </xf>
    <xf numFmtId="199" fontId="9" fillId="52" borderId="66" xfId="1217" applyNumberFormat="1" applyFont="1" applyFill="1" applyBorder="1" applyAlignment="1">
      <alignment horizontal="center" vertical="top"/>
    </xf>
    <xf numFmtId="169" fontId="0" fillId="0" borderId="0" xfId="0" applyNumberFormat="1"/>
    <xf numFmtId="0" fontId="15" fillId="46" borderId="0" xfId="0" applyFont="1" applyFill="1" applyAlignment="1">
      <alignment horizontal="right"/>
    </xf>
    <xf numFmtId="0" fontId="9" fillId="46" borderId="17" xfId="0" applyFont="1" applyFill="1" applyBorder="1"/>
    <xf numFmtId="170" fontId="0" fillId="46" borderId="17" xfId="0" applyNumberFormat="1" applyFont="1" applyFill="1" applyBorder="1" applyAlignment="1">
      <alignment vertical="center" wrapText="1"/>
    </xf>
    <xf numFmtId="170" fontId="0" fillId="46" borderId="17" xfId="0" applyNumberFormat="1" applyFont="1" applyFill="1" applyBorder="1" applyAlignment="1">
      <alignment wrapText="1"/>
    </xf>
    <xf numFmtId="0" fontId="144" fillId="46" borderId="0" xfId="0" applyFont="1" applyFill="1" applyBorder="1" applyAlignment="1">
      <alignment horizontal="right" vertical="center" wrapText="1"/>
    </xf>
    <xf numFmtId="0" fontId="58" fillId="46" borderId="0" xfId="0" applyFont="1" applyFill="1" applyBorder="1" applyAlignment="1">
      <alignment horizontal="center" wrapText="1"/>
    </xf>
    <xf numFmtId="0" fontId="144" fillId="46" borderId="17" xfId="0" applyFont="1" applyFill="1" applyBorder="1" applyAlignment="1">
      <alignment horizontal="center" vertical="center" wrapText="1"/>
    </xf>
    <xf numFmtId="0" fontId="27" fillId="46" borderId="17" xfId="0" applyFont="1" applyFill="1" applyBorder="1" applyAlignment="1">
      <alignment horizontal="center"/>
    </xf>
    <xf numFmtId="0" fontId="149" fillId="46" borderId="17" xfId="0" applyFont="1" applyFill="1" applyBorder="1" applyAlignment="1">
      <alignment horizontal="left" vertical="center" wrapText="1"/>
    </xf>
    <xf numFmtId="0" fontId="149" fillId="46" borderId="17" xfId="0" applyFont="1" applyFill="1" applyBorder="1" applyAlignment="1">
      <alignment vertical="center" wrapText="1"/>
    </xf>
    <xf numFmtId="0" fontId="128" fillId="46" borderId="17" xfId="1178" applyFont="1" applyFill="1" applyBorder="1" applyAlignment="1" applyProtection="1">
      <alignment horizontal="center" vertical="center" wrapText="1"/>
    </xf>
    <xf numFmtId="170" fontId="77" fillId="46" borderId="17" xfId="0" applyNumberFormat="1" applyFont="1" applyFill="1" applyBorder="1" applyAlignment="1">
      <alignment vertical="center" wrapText="1"/>
    </xf>
    <xf numFmtId="0" fontId="153" fillId="46" borderId="17" xfId="1178" applyFont="1" applyFill="1" applyBorder="1" applyAlignment="1" applyProtection="1">
      <alignment horizontal="center" vertical="center" wrapText="1"/>
    </xf>
    <xf numFmtId="0" fontId="77" fillId="46" borderId="17" xfId="0" applyFont="1" applyFill="1" applyBorder="1" applyAlignment="1">
      <alignment horizontal="left" vertical="center" wrapText="1" indent="1"/>
    </xf>
    <xf numFmtId="0" fontId="128" fillId="46" borderId="17" xfId="1178" applyFont="1" applyFill="1" applyBorder="1" applyAlignment="1" applyProtection="1">
      <alignment vertical="center" wrapText="1"/>
    </xf>
    <xf numFmtId="0" fontId="0" fillId="46" borderId="17" xfId="0" applyFont="1" applyFill="1" applyBorder="1" applyAlignment="1">
      <alignment horizontal="right" vertical="distributed" wrapText="1" indent="2"/>
    </xf>
    <xf numFmtId="0" fontId="150" fillId="46" borderId="17" xfId="0" applyFont="1" applyFill="1" applyBorder="1" applyAlignment="1">
      <alignment horizontal="right" vertical="center" wrapText="1"/>
    </xf>
    <xf numFmtId="0" fontId="154" fillId="46" borderId="17" xfId="1178" applyFont="1" applyFill="1" applyBorder="1" applyAlignment="1" applyProtection="1">
      <alignment horizontal="left" vertical="center" wrapText="1" indent="3"/>
    </xf>
    <xf numFmtId="3" fontId="154" fillId="46" borderId="17" xfId="1178" applyNumberFormat="1" applyFont="1" applyFill="1" applyBorder="1" applyAlignment="1" applyProtection="1">
      <alignment horizontal="left" vertical="center" wrapText="1" indent="3"/>
    </xf>
    <xf numFmtId="173" fontId="9" fillId="46" borderId="17" xfId="1216" applyNumberFormat="1" applyFont="1" applyFill="1" applyBorder="1" applyAlignment="1">
      <alignment horizontal="right"/>
    </xf>
    <xf numFmtId="0" fontId="128" fillId="46" borderId="17" xfId="1178" applyFont="1" applyFill="1" applyBorder="1" applyAlignment="1" applyProtection="1">
      <alignment horizontal="left" vertical="center" wrapText="1" indent="1"/>
    </xf>
    <xf numFmtId="170" fontId="77" fillId="46" borderId="17" xfId="0" applyNumberFormat="1" applyFont="1" applyFill="1" applyBorder="1"/>
    <xf numFmtId="0" fontId="128" fillId="46" borderId="17" xfId="1025" applyFont="1" applyFill="1" applyBorder="1" applyAlignment="1" applyProtection="1">
      <alignment horizontal="left" vertical="center" wrapText="1"/>
    </xf>
    <xf numFmtId="0" fontId="128" fillId="46" borderId="17" xfId="1178" applyFont="1" applyFill="1" applyBorder="1" applyAlignment="1" applyProtection="1">
      <alignment vertical="top" wrapText="1"/>
    </xf>
    <xf numFmtId="0" fontId="0" fillId="46" borderId="0" xfId="0" applyFont="1" applyFill="1" applyBorder="1" applyAlignment="1">
      <alignment vertical="center" wrapText="1"/>
    </xf>
    <xf numFmtId="0" fontId="0" fillId="46" borderId="0" xfId="0" applyFont="1" applyFill="1" applyBorder="1"/>
    <xf numFmtId="0" fontId="0" fillId="46" borderId="0" xfId="0" applyFont="1" applyFill="1" applyBorder="1" applyAlignment="1">
      <alignment horizontal="left" vertical="center"/>
    </xf>
    <xf numFmtId="194" fontId="9" fillId="46" borderId="23" xfId="1216" applyNumberFormat="1" applyFont="1" applyFill="1" applyBorder="1" applyAlignment="1">
      <alignment horizontal="right" vertical="top"/>
    </xf>
    <xf numFmtId="173" fontId="15" fillId="48" borderId="17" xfId="1216" applyNumberFormat="1" applyFont="1" applyFill="1" applyBorder="1" applyAlignment="1">
      <alignment horizontal="right" wrapText="1"/>
    </xf>
    <xf numFmtId="0" fontId="14" fillId="46" borderId="17" xfId="0" applyFont="1" applyFill="1" applyBorder="1" applyAlignment="1">
      <alignment horizontal="center" wrapText="1"/>
    </xf>
    <xf numFmtId="0" fontId="14" fillId="46" borderId="17" xfId="0" applyFont="1" applyFill="1" applyBorder="1" applyAlignment="1">
      <alignment horizontal="center"/>
    </xf>
    <xf numFmtId="2" fontId="89" fillId="0" borderId="0" xfId="0" applyNumberFormat="1" applyFont="1" applyAlignment="1">
      <alignment horizontal="center" wrapText="1"/>
    </xf>
    <xf numFmtId="169" fontId="60" fillId="0" borderId="0" xfId="0" applyNumberFormat="1" applyFont="1"/>
    <xf numFmtId="0" fontId="11" fillId="0" borderId="0" xfId="0" applyFont="1" applyBorder="1" applyAlignment="1">
      <alignment horizontal="right"/>
    </xf>
    <xf numFmtId="0" fontId="66" fillId="48" borderId="0" xfId="1215" applyFont="1" applyFill="1" applyAlignment="1">
      <alignment horizontal="centerContinuous" wrapText="1"/>
    </xf>
    <xf numFmtId="0" fontId="11" fillId="48" borderId="0" xfId="0" applyFont="1" applyFill="1" applyAlignment="1">
      <alignment horizontal="centerContinuous" wrapText="1"/>
    </xf>
    <xf numFmtId="0" fontId="209" fillId="48" borderId="0" xfId="0" applyFont="1" applyFill="1"/>
    <xf numFmtId="0" fontId="15" fillId="48" borderId="0" xfId="0" applyFont="1" applyFill="1" applyAlignment="1">
      <alignment horizontal="center"/>
    </xf>
    <xf numFmtId="0" fontId="15" fillId="48" borderId="0" xfId="0" applyFont="1" applyFill="1"/>
    <xf numFmtId="0" fontId="11" fillId="48" borderId="17" xfId="0" applyFont="1" applyFill="1" applyBorder="1" applyAlignment="1">
      <alignment horizontal="center" vertical="top" wrapText="1"/>
    </xf>
    <xf numFmtId="0" fontId="60" fillId="48" borderId="17" xfId="0" applyFont="1" applyFill="1" applyBorder="1" applyAlignment="1">
      <alignment horizontal="center" vertical="top" wrapText="1"/>
    </xf>
    <xf numFmtId="0" fontId="89" fillId="48" borderId="0" xfId="0" applyFont="1" applyFill="1" applyAlignment="1">
      <alignment horizontal="center" wrapText="1"/>
    </xf>
    <xf numFmtId="0" fontId="11" fillId="48" borderId="17" xfId="0" applyFont="1" applyFill="1" applyBorder="1" applyAlignment="1">
      <alignment horizontal="left" wrapText="1"/>
    </xf>
    <xf numFmtId="0" fontId="60" fillId="48" borderId="17" xfId="0" applyFont="1" applyFill="1" applyBorder="1" applyAlignment="1">
      <alignment horizontal="center" wrapText="1"/>
    </xf>
    <xf numFmtId="0" fontId="60" fillId="48" borderId="17" xfId="0" applyFont="1" applyFill="1" applyBorder="1" applyAlignment="1">
      <alignment horizontal="center"/>
    </xf>
    <xf numFmtId="4" fontId="11" fillId="48" borderId="17" xfId="0" applyNumberFormat="1" applyFont="1" applyFill="1" applyBorder="1" applyAlignment="1">
      <alignment horizontal="right"/>
    </xf>
    <xf numFmtId="4" fontId="11" fillId="48" borderId="17" xfId="0" applyNumberFormat="1" applyFont="1" applyFill="1" applyBorder="1"/>
    <xf numFmtId="4" fontId="89" fillId="48" borderId="0" xfId="0" applyNumberFormat="1" applyFont="1" applyFill="1" applyAlignment="1">
      <alignment horizontal="center" wrapText="1"/>
    </xf>
    <xf numFmtId="0" fontId="58" fillId="48" borderId="17" xfId="0" applyFont="1" applyFill="1" applyBorder="1" applyAlignment="1">
      <alignment horizontal="left" wrapText="1"/>
    </xf>
    <xf numFmtId="0" fontId="14" fillId="48" borderId="17" xfId="0" applyFont="1" applyFill="1" applyBorder="1" applyAlignment="1">
      <alignment horizontal="center" wrapText="1"/>
    </xf>
    <xf numFmtId="0" fontId="14" fillId="48" borderId="17" xfId="0" applyFont="1" applyFill="1" applyBorder="1" applyAlignment="1">
      <alignment horizontal="center"/>
    </xf>
    <xf numFmtId="4" fontId="58" fillId="48" borderId="17" xfId="0" applyNumberFormat="1" applyFont="1" applyFill="1" applyBorder="1" applyAlignment="1">
      <alignment horizontal="right"/>
    </xf>
    <xf numFmtId="4" fontId="58" fillId="48" borderId="17" xfId="0" applyNumberFormat="1" applyFont="1" applyFill="1" applyBorder="1"/>
    <xf numFmtId="4" fontId="64" fillId="48" borderId="0" xfId="0" applyNumberFormat="1" applyFont="1" applyFill="1" applyAlignment="1">
      <alignment horizontal="center" wrapText="1"/>
    </xf>
    <xf numFmtId="0" fontId="11" fillId="48" borderId="0" xfId="0" applyFont="1" applyFill="1" applyBorder="1"/>
    <xf numFmtId="2" fontId="58" fillId="48" borderId="0" xfId="0" applyNumberFormat="1" applyFont="1" applyFill="1" applyBorder="1"/>
    <xf numFmtId="0" fontId="70" fillId="48" borderId="0" xfId="1176" applyFont="1" applyFill="1" applyBorder="1" applyAlignment="1">
      <alignment horizontal="left" vertical="center"/>
    </xf>
    <xf numFmtId="44" fontId="88" fillId="48" borderId="0" xfId="931" applyFont="1" applyFill="1" applyBorder="1" applyAlignment="1">
      <alignment horizontal="center" vertical="center" wrapText="1"/>
    </xf>
    <xf numFmtId="44" fontId="72" fillId="48" borderId="0" xfId="931" applyFont="1" applyFill="1" applyBorder="1" applyAlignment="1">
      <alignment horizontal="center" vertical="center" wrapText="1"/>
    </xf>
    <xf numFmtId="44" fontId="56" fillId="48" borderId="0" xfId="931" applyFont="1" applyFill="1" applyBorder="1" applyAlignment="1">
      <alignment horizontal="centerContinuous" vertical="center" wrapText="1"/>
    </xf>
    <xf numFmtId="44" fontId="56" fillId="48" borderId="0" xfId="931" applyFont="1" applyFill="1" applyBorder="1" applyAlignment="1">
      <alignment horizontal="center" vertical="center" wrapText="1"/>
    </xf>
    <xf numFmtId="44" fontId="229" fillId="48" borderId="0" xfId="931" applyFont="1" applyFill="1"/>
    <xf numFmtId="44" fontId="83" fillId="48" borderId="0" xfId="931" applyFont="1" applyFill="1" applyAlignment="1">
      <alignment horizontal="center" vertical="center" wrapText="1"/>
    </xf>
    <xf numFmtId="0" fontId="88" fillId="48" borderId="0" xfId="1176" applyFont="1" applyFill="1" applyBorder="1" applyAlignment="1">
      <alignment horizontal="center" vertical="center" wrapText="1"/>
    </xf>
    <xf numFmtId="4" fontId="72" fillId="48" borderId="0" xfId="1176" applyNumberFormat="1" applyFont="1" applyFill="1" applyBorder="1" applyAlignment="1">
      <alignment horizontal="center" vertical="center" wrapText="1"/>
    </xf>
    <xf numFmtId="10" fontId="56" fillId="48" borderId="0" xfId="1176" applyNumberFormat="1" applyFont="1" applyFill="1" applyBorder="1" applyAlignment="1">
      <alignment horizontal="centerContinuous" vertical="center" wrapText="1"/>
    </xf>
    <xf numFmtId="10" fontId="56" fillId="48" borderId="0" xfId="1176" applyNumberFormat="1" applyFont="1" applyFill="1" applyBorder="1" applyAlignment="1">
      <alignment horizontal="center" vertical="center" wrapText="1"/>
    </xf>
    <xf numFmtId="170" fontId="56" fillId="48" borderId="0" xfId="1176" applyNumberFormat="1" applyFont="1" applyFill="1" applyBorder="1" applyAlignment="1">
      <alignment horizontal="center" vertical="center" wrapText="1"/>
    </xf>
    <xf numFmtId="0" fontId="68" fillId="48" borderId="0" xfId="0" applyFont="1" applyFill="1"/>
    <xf numFmtId="4" fontId="68" fillId="48" borderId="0" xfId="0" applyNumberFormat="1" applyFont="1" applyFill="1"/>
    <xf numFmtId="0" fontId="72" fillId="48" borderId="0" xfId="1176" applyFont="1" applyFill="1" applyAlignment="1">
      <alignment horizontal="center" vertical="center" wrapText="1"/>
    </xf>
    <xf numFmtId="0" fontId="83" fillId="48" borderId="0" xfId="1176" applyFont="1" applyFill="1" applyAlignment="1">
      <alignment horizontal="center" vertical="center" wrapText="1"/>
    </xf>
    <xf numFmtId="0" fontId="74" fillId="48" borderId="0" xfId="1176" applyFont="1" applyFill="1" applyBorder="1" applyAlignment="1">
      <alignment horizontal="left" vertical="center"/>
    </xf>
    <xf numFmtId="0" fontId="72" fillId="48" borderId="0" xfId="1176" applyFont="1" applyFill="1" applyBorder="1" applyAlignment="1">
      <alignment horizontal="center" vertical="center" wrapText="1"/>
    </xf>
    <xf numFmtId="10" fontId="72" fillId="48" borderId="0" xfId="1176" applyNumberFormat="1" applyFont="1" applyFill="1" applyBorder="1" applyAlignment="1">
      <alignment horizontal="center" vertical="center" wrapText="1"/>
    </xf>
    <xf numFmtId="173" fontId="14" fillId="48" borderId="0" xfId="1216" applyNumberFormat="1" applyFont="1" applyFill="1" applyBorder="1" applyAlignment="1">
      <alignment horizontal="center" vertical="center" wrapText="1"/>
    </xf>
    <xf numFmtId="170" fontId="72" fillId="48" borderId="0" xfId="1176" applyNumberFormat="1" applyFont="1" applyFill="1" applyBorder="1" applyAlignment="1">
      <alignment horizontal="center" vertical="center" wrapText="1"/>
    </xf>
    <xf numFmtId="170" fontId="74" fillId="48" borderId="0" xfId="1176" applyNumberFormat="1" applyFont="1" applyFill="1" applyBorder="1" applyAlignment="1">
      <alignment horizontal="right" vertical="center" wrapText="1"/>
    </xf>
    <xf numFmtId="0" fontId="219" fillId="48" borderId="0" xfId="1176" applyFont="1" applyFill="1" applyAlignment="1">
      <alignment horizontal="center" vertical="center" wrapText="1"/>
    </xf>
    <xf numFmtId="4" fontId="219" fillId="48" borderId="0" xfId="1176" applyNumberFormat="1" applyFont="1" applyFill="1" applyAlignment="1">
      <alignment horizontal="center" vertical="center" wrapText="1"/>
    </xf>
    <xf numFmtId="10" fontId="74" fillId="48" borderId="0" xfId="1176" applyNumberFormat="1" applyFont="1" applyFill="1" applyBorder="1" applyAlignment="1">
      <alignment horizontal="left" vertical="center" wrapText="1"/>
    </xf>
    <xf numFmtId="0" fontId="70" fillId="48" borderId="0" xfId="1176" applyFont="1" applyFill="1" applyBorder="1" applyAlignment="1">
      <alignment horizontal="right" vertical="center"/>
    </xf>
    <xf numFmtId="10" fontId="74" fillId="48" borderId="0" xfId="1176" applyNumberFormat="1" applyFont="1" applyFill="1" applyAlignment="1">
      <alignment horizontal="left" vertical="center" wrapText="1"/>
    </xf>
    <xf numFmtId="4" fontId="11" fillId="48" borderId="0" xfId="0" applyNumberFormat="1" applyFont="1" applyFill="1"/>
    <xf numFmtId="4" fontId="194" fillId="48" borderId="0" xfId="0" applyNumberFormat="1" applyFont="1" applyFill="1" applyAlignment="1">
      <alignment horizontal="right"/>
    </xf>
    <xf numFmtId="4" fontId="194" fillId="48" borderId="0" xfId="0" applyNumberFormat="1" applyFont="1" applyFill="1"/>
    <xf numFmtId="49" fontId="9" fillId="46" borderId="17" xfId="1209" applyNumberFormat="1" applyFont="1" applyFill="1" applyBorder="1" applyAlignment="1">
      <alignment horizontal="center" wrapText="1"/>
    </xf>
    <xf numFmtId="0" fontId="11" fillId="46" borderId="17" xfId="1209" applyFont="1" applyFill="1" applyBorder="1" applyAlignment="1">
      <alignment horizontal="center" wrapText="1"/>
    </xf>
    <xf numFmtId="0" fontId="11" fillId="46" borderId="0" xfId="0" applyFont="1" applyFill="1" applyAlignment="1">
      <alignment horizontal="right"/>
    </xf>
    <xf numFmtId="164" fontId="194" fillId="46" borderId="0" xfId="0" applyNumberFormat="1" applyFont="1" applyFill="1"/>
    <xf numFmtId="164" fontId="209" fillId="46" borderId="0" xfId="0" applyNumberFormat="1" applyFont="1" applyFill="1"/>
    <xf numFmtId="4" fontId="58" fillId="0" borderId="0" xfId="0" applyNumberFormat="1" applyFont="1" applyAlignment="1">
      <alignment horizontal="right"/>
    </xf>
    <xf numFmtId="170" fontId="58" fillId="0" borderId="0" xfId="0" applyNumberFormat="1" applyFont="1" applyAlignment="1">
      <alignment horizontal="right"/>
    </xf>
    <xf numFmtId="0" fontId="209" fillId="46" borderId="0" xfId="0" applyFont="1" applyFill="1" applyAlignment="1">
      <alignment horizontal="right"/>
    </xf>
    <xf numFmtId="196" fontId="60" fillId="46" borderId="17" xfId="1216" applyNumberFormat="1" applyFont="1" applyFill="1" applyBorder="1" applyAlignment="1">
      <alignment horizontal="right" wrapText="1"/>
    </xf>
    <xf numFmtId="171" fontId="17" fillId="0" borderId="0" xfId="0" applyNumberFormat="1" applyFont="1"/>
    <xf numFmtId="170" fontId="230" fillId="48" borderId="17" xfId="0" applyNumberFormat="1" applyFont="1" applyFill="1" applyBorder="1"/>
    <xf numFmtId="171" fontId="230" fillId="48" borderId="17" xfId="0" applyNumberFormat="1" applyFont="1" applyFill="1" applyBorder="1"/>
    <xf numFmtId="169" fontId="230" fillId="48" borderId="17" xfId="0" applyNumberFormat="1" applyFont="1" applyFill="1" applyBorder="1"/>
    <xf numFmtId="170" fontId="230" fillId="46" borderId="17" xfId="0" applyNumberFormat="1" applyFont="1" applyFill="1" applyBorder="1"/>
    <xf numFmtId="171" fontId="230" fillId="46" borderId="17" xfId="0" applyNumberFormat="1" applyFont="1" applyFill="1" applyBorder="1"/>
    <xf numFmtId="167" fontId="17" fillId="46" borderId="0" xfId="0" applyNumberFormat="1" applyFont="1" applyFill="1"/>
    <xf numFmtId="1" fontId="17" fillId="46" borderId="0" xfId="0" applyNumberFormat="1" applyFont="1" applyFill="1"/>
    <xf numFmtId="169" fontId="213" fillId="0" borderId="0" xfId="0" applyNumberFormat="1" applyFont="1"/>
    <xf numFmtId="171" fontId="213" fillId="0" borderId="0" xfId="0" applyNumberFormat="1" applyFont="1"/>
    <xf numFmtId="169" fontId="231" fillId="49" borderId="17" xfId="0" applyNumberFormat="1" applyFont="1" applyFill="1" applyBorder="1"/>
    <xf numFmtId="170" fontId="232" fillId="46" borderId="17" xfId="0" applyNumberFormat="1" applyFont="1" applyFill="1" applyBorder="1"/>
    <xf numFmtId="169" fontId="232" fillId="46" borderId="17" xfId="0" applyNumberFormat="1" applyFont="1" applyFill="1" applyBorder="1"/>
    <xf numFmtId="171" fontId="232" fillId="46" borderId="17" xfId="0" applyNumberFormat="1" applyFont="1" applyFill="1" applyBorder="1"/>
    <xf numFmtId="0" fontId="156" fillId="0" borderId="0" xfId="1183" applyFont="1"/>
    <xf numFmtId="0" fontId="19" fillId="0" borderId="0" xfId="1183"/>
    <xf numFmtId="0" fontId="224" fillId="44" borderId="0" xfId="1183" applyFont="1" applyFill="1"/>
    <xf numFmtId="0" fontId="157" fillId="0" borderId="0" xfId="1183" applyFont="1" applyAlignment="1">
      <alignment vertical="center" wrapText="1"/>
    </xf>
    <xf numFmtId="195" fontId="224" fillId="44" borderId="0" xfId="1183" applyNumberFormat="1" applyFont="1" applyFill="1"/>
    <xf numFmtId="169" fontId="224" fillId="44" borderId="0" xfId="1183" applyNumberFormat="1" applyFont="1" applyFill="1"/>
    <xf numFmtId="0" fontId="157" fillId="0" borderId="0" xfId="1183" applyFont="1" applyAlignment="1">
      <alignment horizontal="center" wrapText="1"/>
    </xf>
    <xf numFmtId="0" fontId="159" fillId="0" borderId="0" xfId="1183" applyFont="1" applyBorder="1" applyAlignment="1">
      <alignment vertical="center" wrapText="1"/>
    </xf>
    <xf numFmtId="194" fontId="19" fillId="0" borderId="0" xfId="1183" applyNumberFormat="1"/>
    <xf numFmtId="0" fontId="158" fillId="46" borderId="67" xfId="1183" applyFont="1" applyFill="1" applyBorder="1" applyAlignment="1">
      <alignment horizontal="center" vertical="center"/>
    </xf>
    <xf numFmtId="0" fontId="158" fillId="46" borderId="80" xfId="1183" applyFont="1" applyFill="1" applyBorder="1" applyAlignment="1">
      <alignment horizontal="center" vertical="center"/>
    </xf>
    <xf numFmtId="0" fontId="227" fillId="44" borderId="0" xfId="1183" applyFont="1" applyFill="1" applyBorder="1" applyAlignment="1">
      <alignment vertical="center"/>
    </xf>
    <xf numFmtId="0" fontId="212" fillId="44" borderId="0" xfId="1183" applyFont="1" applyFill="1"/>
    <xf numFmtId="195" fontId="19" fillId="0" borderId="0" xfId="1183" applyNumberFormat="1"/>
    <xf numFmtId="0" fontId="160" fillId="0" borderId="0" xfId="1183" applyFont="1" applyBorder="1" applyAlignment="1">
      <alignment vertical="center"/>
    </xf>
    <xf numFmtId="0" fontId="158" fillId="46" borderId="81" xfId="1183" applyFont="1" applyFill="1" applyBorder="1" applyAlignment="1">
      <alignment vertical="center" wrapText="1"/>
    </xf>
    <xf numFmtId="0" fontId="158" fillId="46" borderId="82" xfId="1183" applyFont="1" applyFill="1" applyBorder="1" applyAlignment="1">
      <alignment vertical="center" wrapText="1"/>
    </xf>
    <xf numFmtId="199" fontId="161" fillId="51" borderId="0" xfId="1217" applyNumberFormat="1" applyFont="1" applyFill="1" applyBorder="1" applyAlignment="1">
      <alignment vertical="center" wrapText="1"/>
    </xf>
    <xf numFmtId="0" fontId="19" fillId="48" borderId="0" xfId="1183" applyFill="1"/>
    <xf numFmtId="0" fontId="158" fillId="46" borderId="83" xfId="1183" applyFont="1" applyFill="1" applyBorder="1" applyAlignment="1">
      <alignment vertical="center" wrapText="1"/>
    </xf>
    <xf numFmtId="173" fontId="158" fillId="46" borderId="84" xfId="1183" applyNumberFormat="1" applyFont="1" applyFill="1" applyBorder="1" applyAlignment="1">
      <alignment vertical="center"/>
    </xf>
    <xf numFmtId="173" fontId="19" fillId="0" borderId="0" xfId="1183" applyNumberFormat="1"/>
    <xf numFmtId="169" fontId="158" fillId="46" borderId="85" xfId="1183" applyNumberFormat="1" applyFont="1" applyFill="1" applyBorder="1" applyAlignment="1">
      <alignment vertical="center"/>
    </xf>
    <xf numFmtId="3" fontId="19" fillId="48" borderId="0" xfId="1183" applyNumberFormat="1" applyFill="1"/>
    <xf numFmtId="170" fontId="158" fillId="46" borderId="84" xfId="1183" applyNumberFormat="1" applyFont="1" applyFill="1" applyBorder="1" applyAlignment="1">
      <alignment vertical="center"/>
    </xf>
    <xf numFmtId="0" fontId="19" fillId="0" borderId="0" xfId="1183" applyBorder="1"/>
    <xf numFmtId="168" fontId="193" fillId="0" borderId="0" xfId="1183" applyNumberFormat="1" applyFont="1"/>
    <xf numFmtId="170" fontId="19" fillId="44" borderId="0" xfId="1183" applyNumberFormat="1" applyFill="1"/>
    <xf numFmtId="0" fontId="19" fillId="44" borderId="0" xfId="1183" applyFill="1"/>
    <xf numFmtId="170" fontId="19" fillId="44" borderId="0" xfId="1183" applyNumberFormat="1" applyFill="1" applyAlignment="1">
      <alignment vertical="top"/>
    </xf>
    <xf numFmtId="195" fontId="161" fillId="51" borderId="84" xfId="1217" applyNumberFormat="1" applyFont="1" applyFill="1" applyBorder="1" applyAlignment="1">
      <alignment horizontal="right" vertical="center" wrapText="1"/>
    </xf>
    <xf numFmtId="170" fontId="158" fillId="46" borderId="84" xfId="1183" applyNumberFormat="1" applyFont="1" applyFill="1" applyBorder="1" applyAlignment="1">
      <alignment horizontal="center"/>
    </xf>
    <xf numFmtId="170" fontId="158" fillId="46" borderId="86" xfId="1183" applyNumberFormat="1" applyFont="1" applyFill="1" applyBorder="1" applyAlignment="1">
      <alignment horizontal="center"/>
    </xf>
    <xf numFmtId="170" fontId="19" fillId="33" borderId="0" xfId="1183" applyNumberFormat="1" applyFill="1"/>
    <xf numFmtId="0" fontId="19" fillId="33" borderId="0" xfId="1183" applyFill="1"/>
    <xf numFmtId="168" fontId="19" fillId="0" borderId="0" xfId="1183" applyNumberFormat="1"/>
    <xf numFmtId="195" fontId="161" fillId="51" borderId="66" xfId="1217" applyNumberFormat="1" applyFont="1" applyFill="1" applyBorder="1" applyAlignment="1">
      <alignment horizontal="right" vertical="center" wrapText="1"/>
    </xf>
    <xf numFmtId="169" fontId="158" fillId="46" borderId="85" xfId="1183" applyNumberFormat="1" applyFont="1" applyFill="1" applyBorder="1" applyAlignment="1">
      <alignment horizontal="center"/>
    </xf>
    <xf numFmtId="169" fontId="158" fillId="46" borderId="87" xfId="1183" applyNumberFormat="1" applyFont="1" applyFill="1" applyBorder="1" applyAlignment="1">
      <alignment horizontal="center"/>
    </xf>
    <xf numFmtId="170" fontId="19" fillId="0" borderId="0" xfId="1183" applyNumberFormat="1"/>
    <xf numFmtId="0" fontId="158" fillId="51" borderId="81" xfId="1183" applyFont="1" applyFill="1" applyBorder="1" applyAlignment="1">
      <alignment vertical="center" wrapText="1"/>
    </xf>
    <xf numFmtId="0" fontId="158" fillId="51" borderId="88" xfId="1183" applyFont="1" applyFill="1" applyBorder="1" applyAlignment="1">
      <alignment vertical="center" wrapText="1"/>
    </xf>
    <xf numFmtId="3" fontId="19" fillId="46" borderId="0" xfId="1183" applyNumberFormat="1" applyFill="1"/>
    <xf numFmtId="170" fontId="158" fillId="46" borderId="84" xfId="1183" applyNumberFormat="1" applyFont="1" applyFill="1" applyBorder="1" applyAlignment="1">
      <alignment horizontal="right" vertical="center"/>
    </xf>
    <xf numFmtId="169" fontId="158" fillId="46" borderId="84" xfId="1183" applyNumberFormat="1" applyFont="1" applyFill="1" applyBorder="1" applyAlignment="1">
      <alignment horizontal="right" vertical="center"/>
    </xf>
    <xf numFmtId="169" fontId="158" fillId="46" borderId="86" xfId="1183" applyNumberFormat="1" applyFont="1" applyFill="1" applyBorder="1" applyAlignment="1">
      <alignment horizontal="right" vertical="center"/>
    </xf>
    <xf numFmtId="10" fontId="224" fillId="0" borderId="0" xfId="1183" applyNumberFormat="1" applyFont="1"/>
    <xf numFmtId="0" fontId="158" fillId="51" borderId="82" xfId="1183" applyFont="1" applyFill="1" applyBorder="1" applyAlignment="1">
      <alignment vertical="center" wrapText="1"/>
    </xf>
    <xf numFmtId="169" fontId="233" fillId="46" borderId="85" xfId="1183" applyNumberFormat="1" applyFont="1" applyFill="1" applyBorder="1" applyAlignment="1">
      <alignment horizontal="right" vertical="center"/>
    </xf>
    <xf numFmtId="169" fontId="158" fillId="46" borderId="85" xfId="1183" applyNumberFormat="1" applyFont="1" applyFill="1" applyBorder="1" applyAlignment="1">
      <alignment horizontal="right" vertical="center"/>
    </xf>
    <xf numFmtId="169" fontId="158" fillId="46" borderId="87" xfId="1183" applyNumberFormat="1" applyFont="1" applyFill="1" applyBorder="1" applyAlignment="1">
      <alignment horizontal="right" vertical="center"/>
    </xf>
    <xf numFmtId="169" fontId="158" fillId="0" borderId="84" xfId="1183" applyNumberFormat="1" applyFont="1" applyBorder="1" applyAlignment="1">
      <alignment horizontal="right" vertical="center"/>
    </xf>
    <xf numFmtId="0" fontId="158" fillId="51" borderId="0" xfId="1183" applyFont="1" applyFill="1" applyBorder="1" applyAlignment="1">
      <alignment vertical="center" wrapText="1"/>
    </xf>
    <xf numFmtId="0" fontId="158" fillId="0" borderId="0" xfId="1183" applyFont="1" applyBorder="1" applyAlignment="1">
      <alignment vertical="center" wrapText="1"/>
    </xf>
    <xf numFmtId="0" fontId="160" fillId="0" borderId="0" xfId="1183" applyFont="1" applyBorder="1" applyAlignment="1">
      <alignment horizontal="center"/>
    </xf>
    <xf numFmtId="169" fontId="19" fillId="0" borderId="0" xfId="1183" applyNumberFormat="1"/>
    <xf numFmtId="170" fontId="234" fillId="49" borderId="84" xfId="1183" applyNumberFormat="1" applyFont="1" applyFill="1" applyBorder="1" applyAlignment="1">
      <alignment horizontal="right" vertical="center"/>
    </xf>
    <xf numFmtId="169" fontId="234" fillId="49" borderId="85" xfId="1183" applyNumberFormat="1" applyFont="1" applyFill="1" applyBorder="1" applyAlignment="1">
      <alignment horizontal="right" vertical="center"/>
    </xf>
    <xf numFmtId="1" fontId="19" fillId="0" borderId="0" xfId="1183" applyNumberFormat="1"/>
    <xf numFmtId="196" fontId="19" fillId="0" borderId="0" xfId="1183" applyNumberFormat="1"/>
    <xf numFmtId="0" fontId="77" fillId="0" borderId="0" xfId="1183" applyFont="1"/>
    <xf numFmtId="0" fontId="19" fillId="0" borderId="0" xfId="1183" applyAlignment="1">
      <alignment horizontal="left"/>
    </xf>
    <xf numFmtId="194" fontId="233" fillId="44" borderId="84" xfId="1183" applyNumberFormat="1" applyFont="1" applyFill="1" applyBorder="1" applyAlignment="1">
      <alignment vertical="center"/>
    </xf>
    <xf numFmtId="171" fontId="233" fillId="44" borderId="85" xfId="1183" applyNumberFormat="1" applyFont="1" applyFill="1" applyBorder="1" applyAlignment="1">
      <alignment vertical="center"/>
    </xf>
    <xf numFmtId="194" fontId="161" fillId="51" borderId="66" xfId="1217" applyNumberFormat="1" applyFont="1" applyFill="1" applyBorder="1" applyAlignment="1">
      <alignment vertical="center" wrapText="1"/>
    </xf>
    <xf numFmtId="194" fontId="158" fillId="46" borderId="84" xfId="1183" applyNumberFormat="1" applyFont="1" applyFill="1" applyBorder="1" applyAlignment="1">
      <alignment vertical="center"/>
    </xf>
    <xf numFmtId="194" fontId="158" fillId="46" borderId="86" xfId="1183" applyNumberFormat="1" applyFont="1" applyFill="1" applyBorder="1" applyAlignment="1">
      <alignment vertical="center"/>
    </xf>
    <xf numFmtId="196" fontId="158" fillId="46" borderId="85" xfId="1183" applyNumberFormat="1" applyFont="1" applyFill="1" applyBorder="1" applyAlignment="1">
      <alignment vertical="center"/>
    </xf>
    <xf numFmtId="196" fontId="158" fillId="46" borderId="87" xfId="1183" applyNumberFormat="1" applyFont="1" applyFill="1" applyBorder="1" applyAlignment="1">
      <alignment vertical="center"/>
    </xf>
    <xf numFmtId="196" fontId="161" fillId="51" borderId="66" xfId="1217" applyNumberFormat="1" applyFont="1" applyFill="1" applyBorder="1" applyAlignment="1">
      <alignment vertical="center" wrapText="1"/>
    </xf>
    <xf numFmtId="4" fontId="161" fillId="51" borderId="84" xfId="1217" applyNumberFormat="1" applyFont="1" applyFill="1" applyBorder="1" applyAlignment="1">
      <alignment vertical="center" wrapText="1"/>
    </xf>
    <xf numFmtId="4" fontId="158" fillId="46" borderId="84" xfId="1183" applyNumberFormat="1" applyFont="1" applyFill="1" applyBorder="1" applyAlignment="1">
      <alignment vertical="center"/>
    </xf>
    <xf numFmtId="4" fontId="158" fillId="46" borderId="86" xfId="1183" applyNumberFormat="1" applyFont="1" applyFill="1" applyBorder="1" applyAlignment="1">
      <alignment vertical="center"/>
    </xf>
    <xf numFmtId="194" fontId="161" fillId="51" borderId="84" xfId="1217" applyNumberFormat="1" applyFont="1" applyFill="1" applyBorder="1" applyAlignment="1">
      <alignment vertical="center" wrapText="1"/>
    </xf>
    <xf numFmtId="194" fontId="161" fillId="51" borderId="86" xfId="1217" applyNumberFormat="1" applyFont="1" applyFill="1" applyBorder="1" applyAlignment="1">
      <alignment vertical="center" wrapText="1"/>
    </xf>
    <xf numFmtId="196" fontId="161" fillId="51" borderId="85" xfId="1217" applyNumberFormat="1" applyFont="1" applyFill="1" applyBorder="1" applyAlignment="1">
      <alignment vertical="center" wrapText="1"/>
    </xf>
    <xf numFmtId="196" fontId="161" fillId="51" borderId="87" xfId="1217" applyNumberFormat="1" applyFont="1" applyFill="1" applyBorder="1" applyAlignment="1">
      <alignment vertical="center" wrapText="1"/>
    </xf>
    <xf numFmtId="1" fontId="19" fillId="0" borderId="0" xfId="1183" applyNumberFormat="1" applyBorder="1"/>
    <xf numFmtId="0" fontId="235" fillId="0" borderId="0" xfId="1176" applyFont="1"/>
    <xf numFmtId="0" fontId="163" fillId="46" borderId="0" xfId="1176" applyFont="1" applyFill="1"/>
    <xf numFmtId="0" fontId="236" fillId="0" borderId="0" xfId="1176" applyFont="1" applyAlignment="1">
      <alignment horizontal="center"/>
    </xf>
    <xf numFmtId="0" fontId="164" fillId="0" borderId="0" xfId="1176" applyFont="1"/>
    <xf numFmtId="0" fontId="70" fillId="0" borderId="0" xfId="1176" applyFont="1" applyAlignment="1">
      <alignment horizontal="right" wrapText="1"/>
    </xf>
    <xf numFmtId="0" fontId="56" fillId="0" borderId="0" xfId="1176" applyAlignment="1"/>
    <xf numFmtId="0" fontId="55" fillId="0" borderId="0" xfId="1176" applyFont="1" applyFill="1" applyAlignment="1">
      <alignment horizontal="centerContinuous" wrapText="1"/>
    </xf>
    <xf numFmtId="0" fontId="165" fillId="0" borderId="0" xfId="1176" applyFont="1" applyAlignment="1">
      <alignment horizontal="centerContinuous"/>
    </xf>
    <xf numFmtId="0" fontId="56" fillId="46" borderId="0" xfId="1176" applyFill="1"/>
    <xf numFmtId="0" fontId="56" fillId="46" borderId="0" xfId="1176" applyFill="1" applyAlignment="1">
      <alignment horizontal="centerContinuous"/>
    </xf>
    <xf numFmtId="0" fontId="29" fillId="0" borderId="17" xfId="1176" applyFont="1" applyBorder="1" applyAlignment="1">
      <alignment horizontal="centerContinuous" vertical="center" wrapText="1"/>
    </xf>
    <xf numFmtId="0" fontId="70" fillId="0" borderId="17" xfId="1176" applyFont="1" applyBorder="1" applyAlignment="1">
      <alignment horizontal="centerContinuous" vertical="center" wrapText="1"/>
    </xf>
    <xf numFmtId="0" fontId="29" fillId="46" borderId="17" xfId="1176" applyFont="1" applyFill="1" applyBorder="1" applyAlignment="1">
      <alignment horizontal="centerContinuous" vertical="center" wrapText="1"/>
    </xf>
    <xf numFmtId="0" fontId="56" fillId="0" borderId="0" xfId="1176" applyAlignment="1">
      <alignment horizontal="centerContinuous" vertical="center" wrapText="1"/>
    </xf>
    <xf numFmtId="0" fontId="236" fillId="0" borderId="0" xfId="1176" applyFont="1" applyAlignment="1">
      <alignment horizontal="center" vertical="center" wrapText="1"/>
    </xf>
    <xf numFmtId="0" fontId="167" fillId="0" borderId="23" xfId="1176" applyFont="1" applyBorder="1" applyAlignment="1">
      <alignment horizontal="left" vertical="center"/>
    </xf>
    <xf numFmtId="0" fontId="29" fillId="0" borderId="23" xfId="1176" applyFont="1" applyBorder="1" applyAlignment="1">
      <alignment horizontal="centerContinuous" vertical="center" wrapText="1"/>
    </xf>
    <xf numFmtId="0" fontId="29" fillId="46" borderId="23" xfId="1176" applyFont="1" applyFill="1" applyBorder="1" applyAlignment="1">
      <alignment horizontal="centerContinuous" vertical="center" wrapText="1"/>
    </xf>
    <xf numFmtId="169" fontId="29" fillId="46" borderId="17" xfId="1176" applyNumberFormat="1" applyFont="1" applyFill="1" applyBorder="1" applyAlignment="1">
      <alignment horizontal="right" wrapText="1"/>
    </xf>
    <xf numFmtId="169" fontId="167" fillId="46" borderId="17" xfId="1176" applyNumberFormat="1" applyFont="1" applyFill="1" applyBorder="1" applyAlignment="1">
      <alignment horizontal="centerContinuous" wrapText="1"/>
    </xf>
    <xf numFmtId="172" fontId="164" fillId="46" borderId="17" xfId="1176" applyNumberFormat="1" applyFont="1" applyFill="1" applyBorder="1" applyAlignment="1">
      <alignment horizontal="centerContinuous"/>
    </xf>
    <xf numFmtId="169" fontId="29" fillId="46" borderId="17" xfId="1176" applyNumberFormat="1" applyFont="1" applyFill="1" applyBorder="1" applyAlignment="1">
      <alignment horizontal="left" wrapText="1"/>
    </xf>
    <xf numFmtId="172" fontId="70" fillId="46" borderId="17" xfId="1176" applyNumberFormat="1" applyFont="1" applyFill="1" applyBorder="1" applyAlignment="1">
      <alignment horizontal="center"/>
    </xf>
    <xf numFmtId="3" fontId="236" fillId="0" borderId="0" xfId="1176" applyNumberFormat="1" applyFont="1" applyAlignment="1">
      <alignment horizontal="center"/>
    </xf>
    <xf numFmtId="169" fontId="167" fillId="46" borderId="17" xfId="1176" applyNumberFormat="1" applyFont="1" applyFill="1" applyBorder="1" applyAlignment="1">
      <alignment horizontal="left" wrapText="1"/>
    </xf>
    <xf numFmtId="170" fontId="167" fillId="46" borderId="17" xfId="1176" applyNumberFormat="1" applyFont="1" applyFill="1" applyBorder="1" applyAlignment="1">
      <alignment horizontal="right" wrapText="1"/>
    </xf>
    <xf numFmtId="172" fontId="164" fillId="46" borderId="17" xfId="1176" applyNumberFormat="1" applyFont="1" applyFill="1" applyBorder="1" applyAlignment="1">
      <alignment horizontal="center"/>
    </xf>
    <xf numFmtId="169" fontId="56" fillId="0" borderId="0" xfId="1176" applyNumberFormat="1"/>
    <xf numFmtId="170" fontId="29" fillId="46" borderId="17" xfId="1176" applyNumberFormat="1" applyFont="1" applyFill="1" applyBorder="1" applyAlignment="1">
      <alignment horizontal="right" wrapText="1"/>
    </xf>
    <xf numFmtId="169" fontId="168" fillId="46" borderId="17" xfId="1176" applyNumberFormat="1" applyFont="1" applyFill="1" applyBorder="1" applyAlignment="1">
      <alignment horizontal="left" wrapText="1"/>
    </xf>
    <xf numFmtId="172" fontId="74" fillId="46" borderId="17" xfId="1176" applyNumberFormat="1" applyFont="1" applyFill="1" applyBorder="1" applyAlignment="1">
      <alignment horizontal="center"/>
    </xf>
    <xf numFmtId="170" fontId="167" fillId="46" borderId="17" xfId="1176" applyNumberFormat="1" applyFont="1" applyFill="1" applyBorder="1" applyAlignment="1">
      <alignment horizontal="centerContinuous" wrapText="1"/>
    </xf>
    <xf numFmtId="169" fontId="237" fillId="47" borderId="17" xfId="1176" applyNumberFormat="1" applyFont="1" applyFill="1" applyBorder="1" applyAlignment="1">
      <alignment horizontal="right" wrapText="1"/>
    </xf>
    <xf numFmtId="169" fontId="238" fillId="47" borderId="17" xfId="1176" applyNumberFormat="1" applyFont="1" applyFill="1" applyBorder="1" applyAlignment="1">
      <alignment wrapText="1"/>
    </xf>
    <xf numFmtId="169" fontId="238" fillId="47" borderId="17" xfId="1176" applyNumberFormat="1" applyFont="1" applyFill="1" applyBorder="1" applyAlignment="1">
      <alignment horizontal="right" wrapText="1"/>
    </xf>
    <xf numFmtId="172" fontId="239" fillId="47" borderId="17" xfId="1176" applyNumberFormat="1" applyFont="1" applyFill="1" applyBorder="1" applyAlignment="1">
      <alignment horizontal="center"/>
    </xf>
    <xf numFmtId="0" fontId="72" fillId="0" borderId="0" xfId="1176" applyFont="1"/>
    <xf numFmtId="0" fontId="167" fillId="0" borderId="17" xfId="1176" applyFont="1" applyBorder="1" applyAlignment="1">
      <alignment horizontal="left" vertical="center"/>
    </xf>
    <xf numFmtId="0" fontId="29" fillId="0" borderId="17" xfId="1176" applyFont="1" applyBorder="1" applyAlignment="1">
      <alignment horizontal="centerContinuous" wrapText="1"/>
    </xf>
    <xf numFmtId="170" fontId="29" fillId="0" borderId="17" xfId="1176" applyNumberFormat="1" applyFont="1" applyBorder="1" applyAlignment="1">
      <alignment horizontal="centerContinuous" wrapText="1"/>
    </xf>
    <xf numFmtId="0" fontId="29" fillId="46" borderId="17" xfId="1176" applyFont="1" applyFill="1" applyBorder="1" applyAlignment="1">
      <alignment horizontal="centerContinuous" wrapText="1"/>
    </xf>
    <xf numFmtId="0" fontId="29" fillId="0" borderId="17" xfId="1176" applyFont="1" applyBorder="1" applyAlignment="1">
      <alignment horizontal="center"/>
    </xf>
    <xf numFmtId="0" fontId="29" fillId="46" borderId="17" xfId="1176" applyFont="1" applyFill="1" applyBorder="1" applyAlignment="1">
      <alignment horizontal="left" wrapText="1"/>
    </xf>
    <xf numFmtId="169" fontId="237" fillId="44" borderId="17" xfId="1176" applyNumberFormat="1" applyFont="1" applyFill="1" applyBorder="1" applyAlignment="1">
      <alignment horizontal="right" wrapText="1"/>
    </xf>
    <xf numFmtId="169" fontId="237" fillId="49" borderId="17" xfId="1176" applyNumberFormat="1" applyFont="1" applyFill="1" applyBorder="1" applyAlignment="1">
      <alignment horizontal="right" wrapText="1"/>
    </xf>
    <xf numFmtId="172" fontId="70" fillId="48" borderId="17" xfId="1176" applyNumberFormat="1" applyFont="1" applyFill="1" applyBorder="1" applyAlignment="1">
      <alignment horizontal="center"/>
    </xf>
    <xf numFmtId="170" fontId="236" fillId="0" borderId="0" xfId="1176" applyNumberFormat="1" applyFont="1" applyAlignment="1">
      <alignment horizontal="center"/>
    </xf>
    <xf numFmtId="3" fontId="56" fillId="0" borderId="0" xfId="1176" applyNumberFormat="1"/>
    <xf numFmtId="0" fontId="169" fillId="0" borderId="17" xfId="1176" applyFont="1" applyBorder="1" applyAlignment="1">
      <alignment horizontal="left"/>
    </xf>
    <xf numFmtId="0" fontId="29" fillId="0" borderId="17" xfId="1176" applyFont="1" applyBorder="1" applyAlignment="1">
      <alignment horizontal="left"/>
    </xf>
    <xf numFmtId="0" fontId="167" fillId="0" borderId="17" xfId="1176" applyFont="1" applyBorder="1" applyAlignment="1">
      <alignment horizontal="left"/>
    </xf>
    <xf numFmtId="169" fontId="240" fillId="44" borderId="17" xfId="1176" applyNumberFormat="1" applyFont="1" applyFill="1" applyBorder="1" applyAlignment="1">
      <alignment horizontal="right" wrapText="1"/>
    </xf>
    <xf numFmtId="0" fontId="56" fillId="48" borderId="0" xfId="1176" applyFill="1"/>
    <xf numFmtId="170" fontId="241" fillId="49" borderId="17" xfId="1176" applyNumberFormat="1" applyFont="1" applyFill="1" applyBorder="1" applyAlignment="1">
      <alignment horizontal="right" wrapText="1"/>
    </xf>
    <xf numFmtId="169" fontId="241" fillId="49" borderId="17" xfId="1176" applyNumberFormat="1" applyFont="1" applyFill="1" applyBorder="1" applyAlignment="1">
      <alignment horizontal="right" wrapText="1"/>
    </xf>
    <xf numFmtId="3" fontId="56" fillId="48" borderId="0" xfId="1176" applyNumberFormat="1" applyFont="1" applyFill="1" applyAlignment="1">
      <alignment horizontal="center"/>
    </xf>
    <xf numFmtId="0" fontId="29" fillId="48" borderId="17" xfId="1176" applyFont="1" applyFill="1" applyBorder="1" applyAlignment="1">
      <alignment horizontal="left" wrapText="1"/>
    </xf>
    <xf numFmtId="4" fontId="241" fillId="49" borderId="17" xfId="1176" applyNumberFormat="1" applyFont="1" applyFill="1" applyBorder="1" applyAlignment="1">
      <alignment horizontal="right" wrapText="1"/>
    </xf>
    <xf numFmtId="2" fontId="56" fillId="0" borderId="0" xfId="1176" applyNumberFormat="1"/>
    <xf numFmtId="169" fontId="242" fillId="49" borderId="17" xfId="1176" applyNumberFormat="1" applyFont="1" applyFill="1" applyBorder="1" applyAlignment="1">
      <alignment horizontal="right" wrapText="1"/>
    </xf>
    <xf numFmtId="0" fontId="168" fillId="28" borderId="17" xfId="1176" applyFont="1" applyFill="1" applyBorder="1" applyAlignment="1">
      <alignment horizontal="center"/>
    </xf>
    <xf numFmtId="0" fontId="168" fillId="28" borderId="17" xfId="1176" applyFont="1" applyFill="1" applyBorder="1" applyAlignment="1">
      <alignment horizontal="left" wrapText="1"/>
    </xf>
    <xf numFmtId="169" fontId="168" fillId="28" borderId="17" xfId="1176" applyNumberFormat="1" applyFont="1" applyFill="1" applyBorder="1" applyAlignment="1">
      <alignment horizontal="right"/>
    </xf>
    <xf numFmtId="172" fontId="168" fillId="28" borderId="17" xfId="1176" applyNumberFormat="1" applyFont="1" applyFill="1" applyBorder="1" applyAlignment="1">
      <alignment horizontal="right"/>
    </xf>
    <xf numFmtId="0" fontId="168" fillId="0" borderId="0" xfId="1176" applyFont="1" applyBorder="1" applyAlignment="1">
      <alignment horizontal="center"/>
    </xf>
    <xf numFmtId="0" fontId="168" fillId="0" borderId="0" xfId="1176" applyFont="1" applyBorder="1"/>
    <xf numFmtId="170" fontId="168" fillId="0" borderId="0" xfId="1176" applyNumberFormat="1" applyFont="1" applyBorder="1"/>
    <xf numFmtId="0" fontId="219" fillId="0" borderId="0" xfId="1176" applyFont="1" applyAlignment="1">
      <alignment horizontal="center"/>
    </xf>
    <xf numFmtId="0" fontId="29" fillId="0" borderId="0" xfId="1176" applyFont="1" applyBorder="1" applyAlignment="1">
      <alignment horizontal="left"/>
    </xf>
    <xf numFmtId="0" fontId="29" fillId="0" borderId="0" xfId="1176" applyFont="1" applyBorder="1"/>
    <xf numFmtId="170" fontId="29" fillId="0" borderId="0" xfId="1176" applyNumberFormat="1" applyFont="1" applyBorder="1"/>
    <xf numFmtId="0" fontId="56" fillId="46" borderId="0" xfId="1176" applyFont="1" applyFill="1"/>
    <xf numFmtId="0" fontId="29" fillId="0" borderId="0" xfId="1176" applyFont="1" applyFill="1" applyBorder="1"/>
    <xf numFmtId="0" fontId="29" fillId="0" borderId="0" xfId="1176" applyFont="1" applyAlignment="1">
      <alignment horizontal="center"/>
    </xf>
    <xf numFmtId="0" fontId="29" fillId="46" borderId="0" xfId="1176" applyFont="1" applyFill="1"/>
    <xf numFmtId="0" fontId="237" fillId="0" borderId="0" xfId="1176" applyFont="1" applyAlignment="1">
      <alignment horizontal="center"/>
    </xf>
    <xf numFmtId="169" fontId="237" fillId="48" borderId="17" xfId="1176" applyNumberFormat="1" applyFont="1" applyFill="1" applyBorder="1" applyAlignment="1">
      <alignment horizontal="right" wrapText="1"/>
    </xf>
    <xf numFmtId="171" fontId="56" fillId="0" borderId="0" xfId="1176" applyNumberFormat="1"/>
    <xf numFmtId="4" fontId="167" fillId="46" borderId="17" xfId="1176" applyNumberFormat="1" applyFont="1" applyFill="1" applyBorder="1" applyAlignment="1">
      <alignment horizontal="right" wrapText="1"/>
    </xf>
    <xf numFmtId="4" fontId="29" fillId="46" borderId="17" xfId="1176" applyNumberFormat="1" applyFont="1" applyFill="1" applyBorder="1" applyAlignment="1">
      <alignment horizontal="right" wrapText="1"/>
    </xf>
    <xf numFmtId="171" fontId="237" fillId="48" borderId="17" xfId="1176" applyNumberFormat="1" applyFont="1" applyFill="1" applyBorder="1" applyAlignment="1">
      <alignment horizontal="right" wrapText="1"/>
    </xf>
    <xf numFmtId="171" fontId="29" fillId="46" borderId="17" xfId="1176" applyNumberFormat="1" applyFont="1" applyFill="1" applyBorder="1" applyAlignment="1">
      <alignment horizontal="right" wrapText="1"/>
    </xf>
    <xf numFmtId="171" fontId="167" fillId="46" borderId="17" xfId="1176" applyNumberFormat="1" applyFont="1" applyFill="1" applyBorder="1" applyAlignment="1">
      <alignment horizontal="right" wrapText="1"/>
    </xf>
    <xf numFmtId="171" fontId="168" fillId="46" borderId="17" xfId="1176" applyNumberFormat="1" applyFont="1" applyFill="1" applyBorder="1" applyAlignment="1">
      <alignment horizontal="right" wrapText="1"/>
    </xf>
    <xf numFmtId="4" fontId="168" fillId="46" borderId="17" xfId="1176" applyNumberFormat="1" applyFont="1" applyFill="1" applyBorder="1" applyAlignment="1">
      <alignment horizontal="right" wrapText="1"/>
    </xf>
    <xf numFmtId="171" fontId="238" fillId="47" borderId="17" xfId="1176" applyNumberFormat="1" applyFont="1" applyFill="1" applyBorder="1" applyAlignment="1">
      <alignment horizontal="right" wrapText="1"/>
    </xf>
    <xf numFmtId="171" fontId="161" fillId="51" borderId="66" xfId="1217" applyNumberFormat="1" applyFont="1" applyFill="1" applyBorder="1" applyAlignment="1">
      <alignment vertical="center" wrapText="1"/>
    </xf>
    <xf numFmtId="171" fontId="158" fillId="46" borderId="85" xfId="1183" applyNumberFormat="1" applyFont="1" applyFill="1" applyBorder="1" applyAlignment="1">
      <alignment vertical="center"/>
    </xf>
    <xf numFmtId="171" fontId="158" fillId="46" borderId="87" xfId="1183" applyNumberFormat="1" applyFont="1" applyFill="1" applyBorder="1" applyAlignment="1">
      <alignment vertical="center"/>
    </xf>
    <xf numFmtId="194" fontId="158" fillId="44" borderId="84" xfId="1183" applyNumberFormat="1" applyFont="1" applyFill="1" applyBorder="1" applyAlignment="1">
      <alignment vertical="center"/>
    </xf>
    <xf numFmtId="171" fontId="158" fillId="44" borderId="85" xfId="1183" applyNumberFormat="1" applyFont="1" applyFill="1" applyBorder="1" applyAlignment="1">
      <alignment vertical="center"/>
    </xf>
    <xf numFmtId="171" fontId="59" fillId="0" borderId="17" xfId="0" applyNumberFormat="1" applyFont="1" applyBorder="1"/>
    <xf numFmtId="4" fontId="59" fillId="0" borderId="17" xfId="0" applyNumberFormat="1" applyFont="1" applyBorder="1"/>
    <xf numFmtId="4" fontId="59" fillId="46" borderId="17" xfId="0" applyNumberFormat="1" applyFont="1" applyFill="1" applyBorder="1"/>
    <xf numFmtId="171" fontId="59" fillId="46" borderId="17" xfId="0" applyNumberFormat="1" applyFont="1" applyFill="1" applyBorder="1"/>
    <xf numFmtId="4" fontId="60" fillId="46" borderId="17" xfId="0" applyNumberFormat="1" applyFont="1" applyFill="1" applyBorder="1"/>
    <xf numFmtId="4" fontId="60" fillId="46" borderId="17" xfId="1216" applyNumberFormat="1" applyFont="1" applyFill="1" applyBorder="1" applyAlignment="1">
      <alignment horizontal="right" wrapText="1"/>
    </xf>
    <xf numFmtId="171" fontId="60" fillId="46" borderId="17" xfId="0" applyNumberFormat="1" applyFont="1" applyFill="1" applyBorder="1"/>
    <xf numFmtId="171" fontId="60" fillId="46" borderId="17" xfId="1216" applyNumberFormat="1" applyFont="1" applyFill="1" applyBorder="1" applyAlignment="1">
      <alignment horizontal="right" wrapText="1"/>
    </xf>
    <xf numFmtId="194" fontId="60" fillId="46" borderId="17" xfId="1216" applyNumberFormat="1" applyFont="1" applyFill="1" applyBorder="1" applyAlignment="1">
      <alignment horizontal="right" wrapText="1"/>
    </xf>
    <xf numFmtId="4" fontId="158" fillId="46" borderId="89" xfId="1183" applyNumberFormat="1" applyFont="1" applyFill="1" applyBorder="1" applyAlignment="1">
      <alignment horizontal="right" vertical="center" wrapText="1"/>
    </xf>
    <xf numFmtId="171" fontId="158" fillId="46" borderId="85" xfId="1183" applyNumberFormat="1" applyFont="1" applyFill="1" applyBorder="1" applyAlignment="1">
      <alignment horizontal="right" vertical="center" wrapText="1"/>
    </xf>
    <xf numFmtId="171" fontId="224" fillId="44" borderId="0" xfId="1183" applyNumberFormat="1" applyFont="1" applyFill="1"/>
    <xf numFmtId="49" fontId="201" fillId="44" borderId="66" xfId="1181" applyNumberFormat="1" applyFont="1" applyFill="1" applyBorder="1" applyAlignment="1">
      <alignment horizontal="center"/>
    </xf>
    <xf numFmtId="0" fontId="201" fillId="44" borderId="68" xfId="1181" applyFont="1" applyFill="1" applyBorder="1" applyAlignment="1">
      <alignment horizontal="left" wrapText="1"/>
    </xf>
    <xf numFmtId="169" fontId="201" fillId="44" borderId="66" xfId="1181" applyNumberFormat="1" applyFont="1" applyFill="1" applyBorder="1" applyAlignment="1">
      <alignment horizontal="center"/>
    </xf>
    <xf numFmtId="1" fontId="224" fillId="46" borderId="0" xfId="1181" applyNumberFormat="1" applyFont="1" applyFill="1"/>
    <xf numFmtId="169" fontId="200" fillId="49" borderId="66" xfId="1181" applyNumberFormat="1" applyFont="1" applyFill="1" applyBorder="1" applyAlignment="1">
      <alignment horizontal="center"/>
    </xf>
    <xf numFmtId="4" fontId="17" fillId="46" borderId="0" xfId="0" applyNumberFormat="1" applyFont="1" applyFill="1"/>
    <xf numFmtId="171" fontId="17" fillId="46" borderId="0" xfId="0" applyNumberFormat="1" applyFont="1" applyFill="1"/>
    <xf numFmtId="167" fontId="224" fillId="0" borderId="0" xfId="1181" applyNumberFormat="1" applyFont="1"/>
    <xf numFmtId="171" fontId="224" fillId="0" borderId="0" xfId="1181" applyNumberFormat="1" applyFont="1"/>
    <xf numFmtId="3" fontId="63" fillId="46" borderId="0" xfId="1181" applyNumberFormat="1" applyFont="1" applyFill="1"/>
    <xf numFmtId="202" fontId="224" fillId="46" borderId="0" xfId="1181" applyNumberFormat="1" applyFont="1" applyFill="1"/>
    <xf numFmtId="202" fontId="9" fillId="0" borderId="0" xfId="1181" applyNumberFormat="1" applyFont="1"/>
    <xf numFmtId="202" fontId="9" fillId="0" borderId="66" xfId="1181" applyNumberFormat="1" applyFont="1" applyBorder="1" applyAlignment="1">
      <alignment horizontal="center" vertical="top" wrapText="1"/>
    </xf>
    <xf numFmtId="202" fontId="9" fillId="0" borderId="66" xfId="1181" applyNumberFormat="1" applyFont="1" applyBorder="1" applyAlignment="1">
      <alignment horizontal="center"/>
    </xf>
    <xf numFmtId="202" fontId="201" fillId="44" borderId="66" xfId="1181" applyNumberFormat="1" applyFont="1" applyFill="1" applyBorder="1" applyAlignment="1">
      <alignment horizontal="center"/>
    </xf>
    <xf numFmtId="202" fontId="201" fillId="48" borderId="66" xfId="1181" applyNumberFormat="1" applyFont="1" applyFill="1" applyBorder="1" applyAlignment="1">
      <alignment horizontal="center"/>
    </xf>
    <xf numFmtId="202" fontId="9" fillId="48" borderId="66" xfId="1181" applyNumberFormat="1" applyFont="1" applyFill="1" applyBorder="1" applyAlignment="1">
      <alignment horizontal="center"/>
    </xf>
    <xf numFmtId="202" fontId="9" fillId="0" borderId="78" xfId="1181" applyNumberFormat="1" applyFont="1" applyBorder="1" applyAlignment="1">
      <alignment horizontal="center"/>
    </xf>
    <xf numFmtId="202" fontId="201" fillId="0" borderId="66" xfId="1181" applyNumberFormat="1" applyFont="1" applyBorder="1" applyAlignment="1">
      <alignment horizontal="center"/>
    </xf>
    <xf numFmtId="202" fontId="9" fillId="0" borderId="67" xfId="1181" applyNumberFormat="1" applyFont="1" applyBorder="1" applyAlignment="1">
      <alignment horizontal="center"/>
    </xf>
    <xf numFmtId="202" fontId="200" fillId="49" borderId="66" xfId="1181" applyNumberFormat="1" applyFont="1" applyFill="1" applyBorder="1" applyAlignment="1">
      <alignment horizontal="center"/>
    </xf>
    <xf numFmtId="202" fontId="30" fillId="0" borderId="0" xfId="1181" applyNumberFormat="1" applyFont="1"/>
    <xf numFmtId="3" fontId="9" fillId="0" borderId="66" xfId="1181" applyNumberFormat="1" applyFont="1" applyBorder="1" applyAlignment="1">
      <alignment horizontal="center"/>
    </xf>
    <xf numFmtId="0" fontId="96" fillId="0" borderId="33" xfId="0" applyFont="1" applyBorder="1" applyAlignment="1">
      <alignment horizontal="centerContinuous" vertical="top"/>
    </xf>
    <xf numFmtId="0" fontId="11" fillId="46" borderId="6" xfId="0" applyFont="1" applyFill="1" applyBorder="1" applyAlignment="1">
      <alignment horizontal="centerContinuous" vertical="top" wrapText="1"/>
    </xf>
    <xf numFmtId="0" fontId="11" fillId="46" borderId="26" xfId="0" applyFont="1" applyFill="1" applyBorder="1" applyAlignment="1">
      <alignment horizontal="centerContinuous" vertical="top" wrapText="1"/>
    </xf>
    <xf numFmtId="0" fontId="96" fillId="48" borderId="28" xfId="0" applyFont="1" applyFill="1" applyBorder="1" applyAlignment="1">
      <alignment horizontal="left" vertical="top"/>
    </xf>
    <xf numFmtId="0" fontId="11" fillId="48" borderId="29" xfId="0" applyFont="1" applyFill="1" applyBorder="1" applyAlignment="1">
      <alignment horizontal="centerContinuous" vertical="top" wrapText="1"/>
    </xf>
    <xf numFmtId="0" fontId="11" fillId="48" borderId="27" xfId="0" applyFont="1" applyFill="1" applyBorder="1" applyAlignment="1">
      <alignment horizontal="centerContinuous" vertical="top" wrapText="1"/>
    </xf>
    <xf numFmtId="49" fontId="9" fillId="48" borderId="17" xfId="1209" applyNumberFormat="1" applyFont="1" applyFill="1" applyBorder="1" applyAlignment="1">
      <alignment horizontal="center" wrapText="1"/>
    </xf>
    <xf numFmtId="0" fontId="9" fillId="48" borderId="17" xfId="1209" applyFont="1" applyFill="1" applyBorder="1" applyAlignment="1">
      <alignment horizontal="center" wrapText="1"/>
    </xf>
    <xf numFmtId="4" fontId="60" fillId="48" borderId="17" xfId="1209" applyNumberFormat="1" applyFont="1" applyFill="1" applyBorder="1" applyAlignment="1">
      <alignment wrapText="1"/>
    </xf>
    <xf numFmtId="164" fontId="58" fillId="46" borderId="0" xfId="0" applyNumberFormat="1" applyFont="1" applyFill="1"/>
    <xf numFmtId="0" fontId="96" fillId="46" borderId="0" xfId="1209" applyFont="1" applyFill="1" applyBorder="1" applyAlignment="1">
      <alignment horizontal="left"/>
    </xf>
    <xf numFmtId="202" fontId="17" fillId="0" borderId="0" xfId="0" applyNumberFormat="1" applyFont="1"/>
    <xf numFmtId="0" fontId="58" fillId="0" borderId="0" xfId="0" applyFont="1" applyAlignment="1">
      <alignment horizontal="right"/>
    </xf>
    <xf numFmtId="0" fontId="11" fillId="48" borderId="0" xfId="0" applyFont="1" applyFill="1" applyAlignment="1">
      <alignment horizontal="right"/>
    </xf>
    <xf numFmtId="164" fontId="11" fillId="0" borderId="0" xfId="0" applyNumberFormat="1" applyFont="1" applyFill="1"/>
    <xf numFmtId="0" fontId="224" fillId="48" borderId="0" xfId="0" applyFont="1" applyFill="1"/>
    <xf numFmtId="168" fontId="224" fillId="48" borderId="0" xfId="0" applyNumberFormat="1" applyFont="1" applyFill="1"/>
    <xf numFmtId="168" fontId="19" fillId="0" borderId="0" xfId="0" applyNumberFormat="1" applyFont="1"/>
    <xf numFmtId="0" fontId="223" fillId="49" borderId="0" xfId="0" applyFont="1" applyFill="1"/>
    <xf numFmtId="0" fontId="223" fillId="49" borderId="0" xfId="0" applyFont="1" applyFill="1" applyAlignment="1">
      <alignment horizontal="right"/>
    </xf>
    <xf numFmtId="164" fontId="243" fillId="49" borderId="0" xfId="0" applyNumberFormat="1" applyFont="1" applyFill="1"/>
    <xf numFmtId="0" fontId="243" fillId="49" borderId="0" xfId="0" applyFont="1" applyFill="1"/>
    <xf numFmtId="0" fontId="201" fillId="48" borderId="0" xfId="0" applyFont="1" applyFill="1" applyBorder="1"/>
    <xf numFmtId="2" fontId="201" fillId="48" borderId="0" xfId="0" applyNumberFormat="1" applyFont="1" applyFill="1"/>
    <xf numFmtId="2" fontId="15" fillId="48" borderId="0" xfId="0" applyNumberFormat="1" applyFont="1" applyFill="1" applyBorder="1"/>
    <xf numFmtId="0" fontId="60" fillId="48" borderId="0" xfId="0" applyFont="1" applyFill="1" applyAlignment="1">
      <alignment horizontal="center"/>
    </xf>
    <xf numFmtId="0" fontId="60" fillId="48" borderId="0" xfId="0" applyFont="1" applyFill="1" applyBorder="1" applyAlignment="1">
      <alignment horizontal="right"/>
    </xf>
    <xf numFmtId="169" fontId="60" fillId="48" borderId="0" xfId="0" applyNumberFormat="1" applyFont="1" applyFill="1"/>
    <xf numFmtId="4" fontId="14" fillId="48" borderId="0" xfId="0" applyNumberFormat="1" applyFont="1" applyFill="1" applyAlignment="1">
      <alignment horizontal="right"/>
    </xf>
    <xf numFmtId="170" fontId="14" fillId="48" borderId="0" xfId="0" applyNumberFormat="1" applyFont="1" applyFill="1" applyAlignment="1">
      <alignment horizontal="right"/>
    </xf>
    <xf numFmtId="0" fontId="0" fillId="0" borderId="0" xfId="1208" applyFont="1"/>
    <xf numFmtId="4" fontId="200" fillId="49" borderId="0" xfId="1208" applyNumberFormat="1" applyFont="1" applyFill="1"/>
    <xf numFmtId="164" fontId="11" fillId="0" borderId="20" xfId="0" applyNumberFormat="1" applyFont="1" applyFill="1" applyBorder="1"/>
    <xf numFmtId="170" fontId="11" fillId="46" borderId="0" xfId="0" applyNumberFormat="1" applyFont="1" applyFill="1"/>
    <xf numFmtId="164" fontId="14" fillId="46" borderId="0" xfId="1208" applyNumberFormat="1" applyFont="1" applyFill="1"/>
    <xf numFmtId="0" fontId="11" fillId="46" borderId="23" xfId="1209" applyFont="1" applyFill="1" applyBorder="1" applyAlignment="1">
      <alignment horizontal="center" vertical="center" wrapText="1"/>
    </xf>
    <xf numFmtId="0" fontId="96" fillId="46" borderId="0" xfId="1209" applyFont="1" applyFill="1" applyBorder="1" applyAlignment="1"/>
    <xf numFmtId="0" fontId="14" fillId="46" borderId="0" xfId="1209" applyFont="1" applyFill="1" applyBorder="1" applyAlignment="1">
      <alignment horizontal="centerContinuous" wrapText="1"/>
    </xf>
    <xf numFmtId="0" fontId="77" fillId="0" borderId="0" xfId="1183" applyFont="1" applyBorder="1" applyAlignment="1">
      <alignment horizontal="center"/>
    </xf>
    <xf numFmtId="0" fontId="97" fillId="49" borderId="0" xfId="0" applyFont="1" applyFill="1" applyAlignment="1">
      <alignment horizontal="right"/>
    </xf>
    <xf numFmtId="0" fontId="9" fillId="0" borderId="0" xfId="1181" applyFont="1" applyAlignment="1">
      <alignment wrapText="1"/>
    </xf>
    <xf numFmtId="0" fontId="77" fillId="0" borderId="0" xfId="1183" applyFont="1" applyBorder="1" applyAlignment="1">
      <alignment horizontal="left"/>
    </xf>
    <xf numFmtId="169" fontId="11" fillId="46" borderId="0" xfId="0" applyNumberFormat="1" applyFont="1" applyFill="1"/>
    <xf numFmtId="2" fontId="89" fillId="46" borderId="0" xfId="0" applyNumberFormat="1" applyFont="1" applyFill="1" applyAlignment="1">
      <alignment horizontal="center" wrapText="1"/>
    </xf>
    <xf numFmtId="3" fontId="90" fillId="46" borderId="0" xfId="0" applyNumberFormat="1" applyFont="1" applyFill="1" applyAlignment="1">
      <alignment horizontal="center" wrapText="1"/>
    </xf>
    <xf numFmtId="0" fontId="220" fillId="46" borderId="0" xfId="0" applyFont="1" applyFill="1"/>
    <xf numFmtId="0" fontId="9" fillId="0" borderId="0" xfId="0" applyFont="1" applyAlignment="1">
      <alignment horizontal="center" vertical="center"/>
    </xf>
    <xf numFmtId="0" fontId="10" fillId="46" borderId="27" xfId="0" applyFont="1" applyFill="1" applyBorder="1" applyAlignment="1">
      <alignment horizontal="center" vertical="top" wrapText="1"/>
    </xf>
    <xf numFmtId="173" fontId="15" fillId="46" borderId="17" xfId="1216" applyNumberFormat="1" applyFont="1" applyFill="1" applyBorder="1" applyAlignment="1">
      <alignment horizontal="right" wrapText="1"/>
    </xf>
    <xf numFmtId="170" fontId="58" fillId="46" borderId="0" xfId="0" applyNumberFormat="1" applyFont="1" applyFill="1" applyAlignment="1">
      <alignment horizontal="right"/>
    </xf>
    <xf numFmtId="170" fontId="15" fillId="46" borderId="0" xfId="0" applyNumberFormat="1" applyFont="1" applyFill="1"/>
    <xf numFmtId="4" fontId="15" fillId="0" borderId="0" xfId="0" applyNumberFormat="1" applyFont="1" applyAlignment="1">
      <alignment horizontal="right"/>
    </xf>
    <xf numFmtId="4" fontId="15" fillId="0" borderId="0" xfId="0" applyNumberFormat="1" applyFont="1"/>
    <xf numFmtId="4" fontId="9" fillId="46" borderId="17" xfId="0" applyNumberFormat="1" applyFont="1" applyFill="1" applyBorder="1" applyAlignment="1"/>
    <xf numFmtId="4" fontId="9" fillId="46" borderId="25" xfId="0" applyNumberFormat="1" applyFont="1" applyFill="1" applyBorder="1" applyAlignment="1">
      <alignment wrapText="1"/>
    </xf>
    <xf numFmtId="2" fontId="9" fillId="46" borderId="0" xfId="0" applyNumberFormat="1" applyFont="1" applyFill="1"/>
    <xf numFmtId="4" fontId="64" fillId="46" borderId="0" xfId="0" applyNumberFormat="1" applyFont="1" applyFill="1"/>
    <xf numFmtId="0" fontId="9" fillId="46" borderId="0" xfId="0" applyFont="1" applyFill="1" applyBorder="1" applyAlignment="1">
      <alignment horizontal="center"/>
    </xf>
    <xf numFmtId="0" fontId="15" fillId="46" borderId="0" xfId="0" applyFont="1" applyFill="1" applyBorder="1" applyAlignment="1">
      <alignment horizontal="right"/>
    </xf>
    <xf numFmtId="0" fontId="10" fillId="46" borderId="19" xfId="0" applyFont="1" applyFill="1" applyBorder="1" applyAlignment="1">
      <alignment horizontal="center" vertical="top" wrapText="1"/>
    </xf>
    <xf numFmtId="0" fontId="9" fillId="46" borderId="19" xfId="0" applyFont="1" applyFill="1" applyBorder="1" applyAlignment="1">
      <alignment horizontal="center" vertical="top" wrapText="1"/>
    </xf>
    <xf numFmtId="0" fontId="10" fillId="46" borderId="22" xfId="0" applyFont="1" applyFill="1" applyBorder="1" applyAlignment="1">
      <alignment horizontal="left" vertical="top" wrapText="1"/>
    </xf>
    <xf numFmtId="4" fontId="201" fillId="46" borderId="0" xfId="0" applyNumberFormat="1" applyFont="1" applyFill="1"/>
    <xf numFmtId="0" fontId="202" fillId="46" borderId="0" xfId="0" applyFont="1" applyFill="1"/>
    <xf numFmtId="4" fontId="9" fillId="46" borderId="0" xfId="0" applyNumberFormat="1" applyFont="1" applyFill="1"/>
    <xf numFmtId="0" fontId="63" fillId="46" borderId="22" xfId="0" applyFont="1" applyFill="1" applyBorder="1" applyAlignment="1">
      <alignment vertical="top" wrapText="1"/>
    </xf>
    <xf numFmtId="4" fontId="15" fillId="46" borderId="25" xfId="0" applyNumberFormat="1" applyFont="1" applyFill="1" applyBorder="1" applyAlignment="1">
      <alignment wrapText="1"/>
    </xf>
    <xf numFmtId="4" fontId="15" fillId="46" borderId="17" xfId="0" applyNumberFormat="1" applyFont="1" applyFill="1" applyBorder="1" applyAlignment="1"/>
    <xf numFmtId="0" fontId="225" fillId="46" borderId="0" xfId="1181" applyFont="1" applyFill="1"/>
    <xf numFmtId="164" fontId="11" fillId="46" borderId="17" xfId="1208" applyNumberFormat="1" applyFont="1" applyFill="1" applyBorder="1" applyAlignment="1">
      <alignment horizontal="right" wrapText="1"/>
    </xf>
    <xf numFmtId="0" fontId="0" fillId="53" borderId="0" xfId="0" applyFill="1"/>
    <xf numFmtId="169" fontId="0" fillId="53" borderId="0" xfId="0" applyNumberFormat="1" applyFill="1"/>
    <xf numFmtId="0" fontId="0" fillId="53" borderId="0" xfId="0" applyFill="1" applyAlignment="1">
      <alignment horizontal="right"/>
    </xf>
    <xf numFmtId="4" fontId="0" fillId="53" borderId="0" xfId="0" applyNumberFormat="1" applyFill="1"/>
    <xf numFmtId="0" fontId="212" fillId="53" borderId="0" xfId="0" applyFont="1" applyFill="1" applyAlignment="1">
      <alignment horizontal="right"/>
    </xf>
    <xf numFmtId="0" fontId="212" fillId="53" borderId="0" xfId="0" applyFont="1" applyFill="1" applyAlignment="1">
      <alignment horizontal="left"/>
    </xf>
    <xf numFmtId="0" fontId="212" fillId="53" borderId="0" xfId="0" applyFont="1" applyFill="1"/>
    <xf numFmtId="167" fontId="194" fillId="53" borderId="0" xfId="0" applyNumberFormat="1" applyFont="1" applyFill="1" applyBorder="1"/>
    <xf numFmtId="4" fontId="30" fillId="0" borderId="0" xfId="1208" applyNumberFormat="1"/>
    <xf numFmtId="0" fontId="244" fillId="46" borderId="0" xfId="1208" applyFont="1" applyFill="1"/>
    <xf numFmtId="0" fontId="11" fillId="0" borderId="0" xfId="0" applyFont="1" applyAlignment="1">
      <alignment horizontal="left"/>
    </xf>
    <xf numFmtId="170" fontId="14" fillId="46" borderId="0" xfId="1208" applyNumberFormat="1" applyFont="1" applyFill="1"/>
    <xf numFmtId="170" fontId="244" fillId="53" borderId="0" xfId="1208" applyNumberFormat="1" applyFont="1" applyFill="1"/>
    <xf numFmtId="0" fontId="78" fillId="46" borderId="0" xfId="1218" applyFont="1" applyFill="1" applyBorder="1" applyAlignment="1">
      <alignment horizontal="centerContinuous" wrapText="1"/>
    </xf>
    <xf numFmtId="0" fontId="67" fillId="46" borderId="0" xfId="1208" applyFont="1" applyFill="1" applyAlignment="1">
      <alignment horizontal="centerContinuous" wrapText="1"/>
    </xf>
    <xf numFmtId="0" fontId="11" fillId="46" borderId="0" xfId="1218" applyFont="1" applyFill="1" applyBorder="1" applyAlignment="1">
      <alignment horizontal="centerContinuous" wrapText="1"/>
    </xf>
    <xf numFmtId="0" fontId="11" fillId="46" borderId="17" xfId="1208" applyFont="1" applyFill="1" applyBorder="1" applyAlignment="1">
      <alignment horizontal="centerContinuous" vertical="center" wrapText="1"/>
    </xf>
    <xf numFmtId="2" fontId="15" fillId="46" borderId="0" xfId="0" applyNumberFormat="1" applyFont="1" applyFill="1" applyBorder="1"/>
    <xf numFmtId="0" fontId="60" fillId="46" borderId="0" xfId="0" applyFont="1" applyFill="1" applyBorder="1" applyAlignment="1">
      <alignment horizontal="right"/>
    </xf>
    <xf numFmtId="169" fontId="60" fillId="46" borderId="0" xfId="0" applyNumberFormat="1" applyFont="1" applyFill="1"/>
    <xf numFmtId="170" fontId="14" fillId="46" borderId="0" xfId="0" applyNumberFormat="1" applyFont="1" applyFill="1" applyAlignment="1">
      <alignment horizontal="right"/>
    </xf>
    <xf numFmtId="0" fontId="30" fillId="46" borderId="0" xfId="1208" applyFont="1" applyFill="1"/>
    <xf numFmtId="0" fontId="30" fillId="0" borderId="0" xfId="1208" applyFont="1" applyAlignment="1">
      <alignment horizontal="centerContinuous"/>
    </xf>
    <xf numFmtId="0" fontId="30" fillId="0" borderId="0" xfId="1208" applyFont="1"/>
    <xf numFmtId="0" fontId="9" fillId="46" borderId="0" xfId="1208" applyFont="1" applyFill="1" applyAlignment="1">
      <alignment horizontal="centerContinuous" wrapText="1"/>
    </xf>
    <xf numFmtId="0" fontId="102" fillId="46" borderId="0" xfId="1208" applyFont="1" applyFill="1"/>
    <xf numFmtId="0" fontId="68" fillId="46" borderId="0" xfId="1208" applyFont="1" applyFill="1"/>
    <xf numFmtId="170" fontId="68" fillId="46" borderId="0" xfId="1208" applyNumberFormat="1" applyFont="1" applyFill="1"/>
    <xf numFmtId="0" fontId="102" fillId="0" borderId="0" xfId="1208" applyFont="1"/>
    <xf numFmtId="0" fontId="68" fillId="0" borderId="0" xfId="1208" applyFont="1"/>
    <xf numFmtId="0" fontId="11" fillId="0" borderId="20" xfId="0" applyFont="1" applyBorder="1"/>
    <xf numFmtId="0" fontId="11" fillId="46" borderId="29" xfId="0" applyFont="1" applyFill="1" applyBorder="1"/>
    <xf numFmtId="0" fontId="11" fillId="46" borderId="27" xfId="0" applyFont="1" applyFill="1" applyBorder="1"/>
    <xf numFmtId="0" fontId="60" fillId="46" borderId="23" xfId="0" applyFont="1" applyFill="1" applyBorder="1" applyAlignment="1">
      <alignment horizontal="center"/>
    </xf>
    <xf numFmtId="0" fontId="60" fillId="46" borderId="28" xfId="0" applyFont="1" applyFill="1" applyBorder="1" applyAlignment="1">
      <alignment horizontal="centerContinuous"/>
    </xf>
    <xf numFmtId="2" fontId="14" fillId="46" borderId="27" xfId="0" applyNumberFormat="1" applyFont="1" applyFill="1" applyBorder="1" applyAlignment="1">
      <alignment horizontal="centerContinuous"/>
    </xf>
    <xf numFmtId="2" fontId="60" fillId="46" borderId="17" xfId="0" applyNumberFormat="1" applyFont="1" applyFill="1" applyBorder="1" applyAlignment="1">
      <alignment horizontal="centerContinuous"/>
    </xf>
    <xf numFmtId="2" fontId="15" fillId="46" borderId="26" xfId="0" applyNumberFormat="1" applyFont="1" applyFill="1" applyBorder="1" applyAlignment="1">
      <alignment horizontal="centerContinuous"/>
    </xf>
    <xf numFmtId="0" fontId="11" fillId="46" borderId="19" xfId="0" applyFont="1" applyFill="1" applyBorder="1"/>
    <xf numFmtId="0" fontId="60" fillId="46" borderId="22" xfId="0" applyFont="1" applyFill="1" applyBorder="1" applyAlignment="1">
      <alignment horizontal="center"/>
    </xf>
    <xf numFmtId="0" fontId="60" fillId="46" borderId="30" xfId="0" applyFont="1" applyFill="1" applyBorder="1" applyAlignment="1">
      <alignment horizontal="centerContinuous"/>
    </xf>
    <xf numFmtId="2" fontId="14" fillId="46" borderId="25" xfId="0" applyNumberFormat="1" applyFont="1" applyFill="1" applyBorder="1" applyAlignment="1">
      <alignment horizontal="centerContinuous"/>
    </xf>
    <xf numFmtId="0" fontId="11" fillId="46" borderId="22" xfId="0" applyFont="1" applyFill="1" applyBorder="1" applyAlignment="1">
      <alignment horizontal="center"/>
    </xf>
    <xf numFmtId="0" fontId="60" fillId="46" borderId="25" xfId="0" applyFont="1" applyFill="1" applyBorder="1" applyAlignment="1">
      <alignment horizontal="center"/>
    </xf>
    <xf numFmtId="169" fontId="60" fillId="46" borderId="20" xfId="0" applyNumberFormat="1" applyFont="1" applyFill="1" applyBorder="1"/>
    <xf numFmtId="4" fontId="14" fillId="46" borderId="48" xfId="0" applyNumberFormat="1" applyFont="1" applyFill="1" applyBorder="1" applyAlignment="1">
      <alignment horizontal="right"/>
    </xf>
    <xf numFmtId="0" fontId="11" fillId="46" borderId="19" xfId="0" applyFont="1" applyFill="1" applyBorder="1" applyAlignment="1">
      <alignment horizontal="left"/>
    </xf>
    <xf numFmtId="0" fontId="11" fillId="46" borderId="20" xfId="0" applyFont="1" applyFill="1" applyBorder="1" applyAlignment="1">
      <alignment horizontal="center"/>
    </xf>
    <xf numFmtId="0" fontId="11" fillId="46" borderId="19" xfId="0" applyFont="1" applyFill="1" applyBorder="1" applyAlignment="1">
      <alignment horizontal="center"/>
    </xf>
    <xf numFmtId="0" fontId="11" fillId="46" borderId="48" xfId="0" applyFont="1" applyFill="1" applyBorder="1"/>
    <xf numFmtId="0" fontId="11" fillId="46" borderId="25" xfId="0" applyFont="1" applyFill="1" applyBorder="1"/>
    <xf numFmtId="169" fontId="60" fillId="46" borderId="22" xfId="0" applyNumberFormat="1" applyFont="1" applyFill="1" applyBorder="1"/>
    <xf numFmtId="170" fontId="14" fillId="46" borderId="30" xfId="0" applyNumberFormat="1" applyFont="1" applyFill="1" applyBorder="1" applyAlignment="1">
      <alignment horizontal="right"/>
    </xf>
    <xf numFmtId="0" fontId="30" fillId="46" borderId="0" xfId="1208" applyFont="1" applyFill="1" applyAlignment="1">
      <alignment horizontal="centerContinuous"/>
    </xf>
    <xf numFmtId="0" fontId="11" fillId="46" borderId="48" xfId="0" applyFont="1" applyFill="1" applyBorder="1" applyAlignment="1">
      <alignment horizontal="right"/>
    </xf>
    <xf numFmtId="0" fontId="11" fillId="46" borderId="30" xfId="0" applyFont="1" applyFill="1" applyBorder="1" applyAlignment="1">
      <alignment horizontal="right"/>
    </xf>
    <xf numFmtId="164" fontId="224" fillId="0" borderId="0" xfId="0" applyNumberFormat="1" applyFont="1"/>
    <xf numFmtId="0" fontId="0" fillId="48" borderId="0" xfId="0" applyFill="1"/>
    <xf numFmtId="168" fontId="102" fillId="48" borderId="0" xfId="0" applyNumberFormat="1" applyFont="1" applyFill="1"/>
    <xf numFmtId="0" fontId="102" fillId="48" borderId="0" xfId="0" applyFont="1" applyFill="1"/>
    <xf numFmtId="0" fontId="67" fillId="0" borderId="0" xfId="1215" applyFont="1" applyFill="1" applyAlignment="1">
      <alignment horizontal="left"/>
    </xf>
    <xf numFmtId="2" fontId="0" fillId="0" borderId="0" xfId="0" applyNumberFormat="1"/>
    <xf numFmtId="0" fontId="193" fillId="48" borderId="0" xfId="0" applyFont="1" applyFill="1"/>
    <xf numFmtId="165" fontId="193" fillId="48" borderId="0" xfId="0" applyNumberFormat="1" applyFont="1" applyFill="1"/>
    <xf numFmtId="3" fontId="9" fillId="0" borderId="0" xfId="0" applyNumberFormat="1" applyFont="1" applyAlignment="1">
      <alignment horizontal="right"/>
    </xf>
    <xf numFmtId="0" fontId="109" fillId="49" borderId="0" xfId="0" applyFont="1" applyFill="1" applyBorder="1"/>
    <xf numFmtId="0" fontId="85" fillId="49" borderId="0" xfId="0" applyFont="1" applyFill="1" applyBorder="1"/>
    <xf numFmtId="10" fontId="109" fillId="49" borderId="0" xfId="0" applyNumberFormat="1" applyFont="1" applyFill="1" applyBorder="1"/>
    <xf numFmtId="2" fontId="9" fillId="0" borderId="0" xfId="0" applyNumberFormat="1" applyFont="1" applyBorder="1"/>
    <xf numFmtId="1" fontId="9" fillId="0" borderId="0" xfId="0" applyNumberFormat="1" applyFont="1" applyBorder="1"/>
    <xf numFmtId="0" fontId="58" fillId="0" borderId="0" xfId="0" quotePrefix="1" applyFont="1" applyBorder="1" applyAlignment="1">
      <alignment horizontal="centerContinuous"/>
    </xf>
    <xf numFmtId="0" fontId="11" fillId="0" borderId="0" xfId="0" applyFont="1" applyBorder="1" applyAlignment="1">
      <alignment horizontal="centerContinuous"/>
    </xf>
    <xf numFmtId="0" fontId="58" fillId="0" borderId="0" xfId="0" applyFont="1" applyBorder="1" applyAlignment="1">
      <alignment horizontal="centerContinuous"/>
    </xf>
    <xf numFmtId="0" fontId="9" fillId="0" borderId="0" xfId="0" applyFont="1" applyBorder="1" applyAlignment="1">
      <alignment horizontal="centerContinuous"/>
    </xf>
    <xf numFmtId="0" fontId="58" fillId="0" borderId="24" xfId="0" applyFont="1" applyBorder="1" applyAlignment="1">
      <alignment vertical="center" wrapText="1"/>
    </xf>
    <xf numFmtId="0" fontId="15" fillId="0" borderId="24" xfId="0" applyFont="1" applyBorder="1"/>
    <xf numFmtId="0" fontId="60" fillId="0" borderId="24" xfId="0" applyFont="1" applyBorder="1" applyAlignment="1">
      <alignment horizontal="center"/>
    </xf>
    <xf numFmtId="0" fontId="14" fillId="0" borderId="24" xfId="0" applyFont="1" applyBorder="1" applyAlignment="1">
      <alignment horizontal="center"/>
    </xf>
    <xf numFmtId="0" fontId="55" fillId="0" borderId="24" xfId="0" applyFont="1" applyBorder="1" applyAlignment="1">
      <alignment horizontal="center"/>
    </xf>
    <xf numFmtId="0" fontId="15" fillId="0" borderId="17" xfId="0" applyFont="1" applyBorder="1" applyAlignment="1">
      <alignment horizontal="centerContinuous" vertical="center" wrapText="1"/>
    </xf>
    <xf numFmtId="0" fontId="172" fillId="0" borderId="17" xfId="0" applyFont="1" applyBorder="1" applyAlignment="1">
      <alignment horizontal="centerContinuous" vertical="center" wrapText="1"/>
    </xf>
    <xf numFmtId="0" fontId="9" fillId="0" borderId="48" xfId="0" applyFont="1" applyBorder="1"/>
    <xf numFmtId="0" fontId="9" fillId="0" borderId="17" xfId="0" applyFont="1" applyBorder="1" applyAlignment="1">
      <alignment horizontal="centerContinuous" vertical="center" wrapText="1"/>
    </xf>
    <xf numFmtId="0" fontId="120" fillId="0" borderId="17" xfId="0" applyFont="1" applyBorder="1" applyAlignment="1">
      <alignment horizontal="centerContinuous" vertical="center" wrapText="1"/>
    </xf>
    <xf numFmtId="0" fontId="120" fillId="0" borderId="17" xfId="0" applyFont="1" applyBorder="1" applyAlignment="1">
      <alignment horizontal="center" vertical="center" wrapText="1"/>
    </xf>
    <xf numFmtId="170" fontId="120" fillId="0" borderId="17" xfId="0" applyNumberFormat="1" applyFont="1" applyBorder="1" applyAlignment="1">
      <alignment horizontal="center" vertical="center" wrapText="1"/>
    </xf>
    <xf numFmtId="0" fontId="9" fillId="0" borderId="17" xfId="0" applyFont="1" applyBorder="1" applyAlignment="1">
      <alignment horizontal="left"/>
    </xf>
    <xf numFmtId="0" fontId="120" fillId="0" borderId="17" xfId="0" applyFont="1" applyBorder="1" applyAlignment="1">
      <alignment horizontal="left" vertical="center" wrapText="1"/>
    </xf>
    <xf numFmtId="169" fontId="120" fillId="0" borderId="17" xfId="0" applyNumberFormat="1" applyFont="1" applyBorder="1" applyAlignment="1">
      <alignment vertical="top"/>
    </xf>
    <xf numFmtId="0" fontId="120" fillId="0" borderId="17" xfId="0" applyFont="1" applyBorder="1" applyAlignment="1">
      <alignment vertical="top"/>
    </xf>
    <xf numFmtId="0" fontId="17" fillId="0" borderId="17" xfId="0" applyFont="1" applyBorder="1" applyAlignment="1">
      <alignment vertical="top"/>
    </xf>
    <xf numFmtId="4" fontId="17" fillId="0" borderId="17" xfId="0" applyNumberFormat="1" applyFont="1" applyBorder="1" applyAlignment="1">
      <alignment vertical="top"/>
    </xf>
    <xf numFmtId="0" fontId="8" fillId="48" borderId="17" xfId="0" applyFont="1" applyFill="1" applyBorder="1" applyAlignment="1">
      <alignment horizontal="left" vertical="center" wrapText="1"/>
    </xf>
    <xf numFmtId="195" fontId="171" fillId="48" borderId="17" xfId="1216" applyNumberFormat="1" applyFont="1" applyFill="1" applyBorder="1" applyAlignment="1">
      <alignment horizontal="right" wrapText="1"/>
    </xf>
    <xf numFmtId="2" fontId="9" fillId="46" borderId="48" xfId="0" applyNumberFormat="1" applyFont="1" applyFill="1" applyBorder="1"/>
    <xf numFmtId="164" fontId="120" fillId="0" borderId="17" xfId="0" applyNumberFormat="1" applyFont="1" applyBorder="1" applyAlignment="1">
      <alignment vertical="top"/>
    </xf>
    <xf numFmtId="0" fontId="171" fillId="0" borderId="17" xfId="0" applyFont="1" applyBorder="1" applyAlignment="1">
      <alignment vertical="top"/>
    </xf>
    <xf numFmtId="164" fontId="17" fillId="0" borderId="17" xfId="0" applyNumberFormat="1" applyFont="1" applyBorder="1" applyAlignment="1">
      <alignment vertical="top"/>
    </xf>
    <xf numFmtId="0" fontId="31" fillId="0" borderId="0" xfId="0" applyFont="1" applyBorder="1"/>
    <xf numFmtId="0" fontId="120" fillId="3" borderId="17" xfId="0" applyFont="1" applyFill="1" applyBorder="1" applyAlignment="1">
      <alignment horizontal="left" vertical="center" wrapText="1"/>
    </xf>
    <xf numFmtId="195" fontId="17" fillId="3" borderId="17" xfId="1216" applyNumberFormat="1" applyFont="1" applyFill="1" applyBorder="1" applyAlignment="1">
      <alignment horizontal="right" wrapText="1"/>
    </xf>
    <xf numFmtId="169" fontId="120" fillId="3" borderId="17" xfId="0" applyNumberFormat="1" applyFont="1" applyFill="1" applyBorder="1" applyAlignment="1">
      <alignment vertical="top"/>
    </xf>
    <xf numFmtId="0" fontId="31" fillId="0" borderId="48" xfId="0" applyFont="1" applyBorder="1" applyAlignment="1">
      <alignment horizontal="right"/>
    </xf>
    <xf numFmtId="195" fontId="31" fillId="0" borderId="0" xfId="0" applyNumberFormat="1" applyFont="1" applyBorder="1"/>
    <xf numFmtId="0" fontId="201" fillId="3" borderId="17" xfId="0" applyFont="1" applyFill="1" applyBorder="1" applyAlignment="1">
      <alignment horizontal="left" vertical="center" wrapText="1"/>
    </xf>
    <xf numFmtId="169" fontId="8" fillId="48" borderId="17" xfId="0" applyNumberFormat="1" applyFont="1" applyFill="1" applyBorder="1" applyAlignment="1"/>
    <xf numFmtId="195" fontId="9" fillId="46" borderId="48" xfId="0" applyNumberFormat="1" applyFont="1" applyFill="1" applyBorder="1"/>
    <xf numFmtId="195" fontId="9" fillId="46" borderId="0" xfId="0" applyNumberFormat="1" applyFont="1" applyFill="1" applyBorder="1"/>
    <xf numFmtId="173" fontId="17" fillId="3" borderId="17" xfId="1216" applyNumberFormat="1" applyFont="1" applyFill="1" applyBorder="1" applyAlignment="1">
      <alignment horizontal="right" wrapText="1"/>
    </xf>
    <xf numFmtId="195" fontId="8" fillId="48" borderId="17" xfId="1216" applyNumberFormat="1" applyFont="1" applyFill="1" applyBorder="1" applyAlignment="1">
      <alignment horizontal="right" wrapText="1"/>
    </xf>
    <xf numFmtId="0" fontId="9" fillId="33" borderId="0" xfId="0" applyFont="1" applyFill="1" applyBorder="1"/>
    <xf numFmtId="195" fontId="120" fillId="0" borderId="17" xfId="0" applyNumberFormat="1" applyFont="1" applyBorder="1" applyAlignment="1"/>
    <xf numFmtId="168" fontId="9" fillId="33" borderId="0" xfId="0" applyNumberFormat="1" applyFont="1" applyFill="1" applyBorder="1"/>
    <xf numFmtId="169" fontId="9" fillId="33" borderId="48" xfId="0" applyNumberFormat="1" applyFont="1" applyFill="1" applyBorder="1"/>
    <xf numFmtId="0" fontId="201" fillId="48" borderId="17" xfId="0" applyFont="1" applyFill="1" applyBorder="1" applyAlignment="1">
      <alignment horizontal="left"/>
    </xf>
    <xf numFmtId="0" fontId="201" fillId="48" borderId="17" xfId="0" applyFont="1" applyFill="1" applyBorder="1" applyAlignment="1">
      <alignment horizontal="left" vertical="center" wrapText="1"/>
    </xf>
    <xf numFmtId="195" fontId="201" fillId="48" borderId="17" xfId="1216" applyNumberFormat="1" applyFont="1" applyFill="1" applyBorder="1" applyAlignment="1">
      <alignment horizontal="right" wrapText="1"/>
    </xf>
    <xf numFmtId="173" fontId="201" fillId="48" borderId="17" xfId="1216" applyNumberFormat="1" applyFont="1" applyFill="1" applyBorder="1" applyAlignment="1">
      <alignment horizontal="right" wrapText="1"/>
    </xf>
    <xf numFmtId="169" fontId="201" fillId="33" borderId="48" xfId="0" applyNumberFormat="1" applyFont="1" applyFill="1" applyBorder="1"/>
    <xf numFmtId="195" fontId="201" fillId="33" borderId="0" xfId="0" applyNumberFormat="1" applyFont="1" applyFill="1" applyBorder="1"/>
    <xf numFmtId="169" fontId="9" fillId="46" borderId="0" xfId="0" applyNumberFormat="1" applyFont="1" applyFill="1" applyBorder="1"/>
    <xf numFmtId="0" fontId="9" fillId="0" borderId="17" xfId="0" applyFont="1" applyFill="1" applyBorder="1" applyAlignment="1">
      <alignment horizontal="left" vertical="center" wrapText="1"/>
    </xf>
    <xf numFmtId="0" fontId="120" fillId="0" borderId="17" xfId="0" applyFont="1" applyFill="1" applyBorder="1" applyAlignment="1">
      <alignment vertical="top"/>
    </xf>
    <xf numFmtId="173" fontId="17" fillId="0" borderId="17" xfId="1216" applyNumberFormat="1" applyFont="1" applyFill="1" applyBorder="1" applyAlignment="1">
      <alignment horizontal="right" wrapText="1"/>
    </xf>
    <xf numFmtId="0" fontId="17" fillId="0" borderId="17" xfId="0" applyFont="1" applyFill="1" applyBorder="1" applyAlignment="1">
      <alignment vertical="top"/>
    </xf>
    <xf numFmtId="0" fontId="9" fillId="48" borderId="17" xfId="0" applyFont="1" applyFill="1" applyBorder="1"/>
    <xf numFmtId="168" fontId="201" fillId="48" borderId="17" xfId="0" applyNumberFormat="1" applyFont="1" applyFill="1" applyBorder="1" applyAlignment="1"/>
    <xf numFmtId="4" fontId="9" fillId="46" borderId="0" xfId="0" applyNumberFormat="1" applyFont="1" applyFill="1" applyBorder="1"/>
    <xf numFmtId="4" fontId="9" fillId="46" borderId="48" xfId="0" applyNumberFormat="1" applyFont="1" applyFill="1" applyBorder="1"/>
    <xf numFmtId="168" fontId="9" fillId="46" borderId="48" xfId="0" applyNumberFormat="1" applyFont="1" applyFill="1" applyBorder="1"/>
    <xf numFmtId="168" fontId="9" fillId="46" borderId="0" xfId="0" applyNumberFormat="1" applyFont="1" applyFill="1" applyBorder="1"/>
    <xf numFmtId="0" fontId="9" fillId="46" borderId="48" xfId="0" applyFont="1" applyFill="1" applyBorder="1"/>
    <xf numFmtId="0" fontId="201" fillId="48" borderId="17" xfId="0" applyFont="1" applyFill="1" applyBorder="1"/>
    <xf numFmtId="195" fontId="201" fillId="48" borderId="23" xfId="1216" applyNumberFormat="1" applyFont="1" applyFill="1" applyBorder="1" applyAlignment="1">
      <alignment horizontal="right" wrapText="1"/>
    </xf>
    <xf numFmtId="168" fontId="120" fillId="0" borderId="17" xfId="0" applyNumberFormat="1" applyFont="1" applyBorder="1" applyAlignment="1">
      <alignment vertical="top"/>
    </xf>
    <xf numFmtId="0" fontId="120" fillId="0" borderId="0" xfId="0" applyFont="1" applyBorder="1" applyAlignment="1">
      <alignment horizontal="left" vertical="center" wrapText="1"/>
    </xf>
    <xf numFmtId="0" fontId="120" fillId="0" borderId="0" xfId="0" applyFont="1" applyBorder="1" applyAlignment="1">
      <alignment vertical="top"/>
    </xf>
    <xf numFmtId="0" fontId="120" fillId="0" borderId="29" xfId="0" applyFont="1" applyBorder="1" applyAlignment="1">
      <alignment vertical="top"/>
    </xf>
    <xf numFmtId="168" fontId="11" fillId="0" borderId="0" xfId="1181" applyNumberFormat="1" applyFont="1" applyAlignment="1">
      <alignment horizontal="right"/>
    </xf>
    <xf numFmtId="0" fontId="17" fillId="0" borderId="0" xfId="0" applyFont="1" applyAlignment="1">
      <alignment horizontal="left"/>
    </xf>
    <xf numFmtId="0" fontId="18" fillId="0" borderId="0" xfId="0" applyFont="1"/>
    <xf numFmtId="4" fontId="11" fillId="46" borderId="33" xfId="0" applyNumberFormat="1" applyFont="1" applyFill="1" applyBorder="1" applyAlignment="1">
      <alignment horizontal="center"/>
    </xf>
    <xf numFmtId="169" fontId="11" fillId="46" borderId="33" xfId="0" applyNumberFormat="1" applyFont="1" applyFill="1" applyBorder="1" applyAlignment="1">
      <alignment horizontal="center"/>
    </xf>
    <xf numFmtId="202" fontId="11" fillId="46" borderId="17" xfId="0" applyNumberFormat="1" applyFont="1" applyFill="1" applyBorder="1" applyAlignment="1">
      <alignment horizontal="center"/>
    </xf>
    <xf numFmtId="202" fontId="11" fillId="46" borderId="37" xfId="0" applyNumberFormat="1" applyFont="1" applyFill="1" applyBorder="1" applyAlignment="1">
      <alignment horizontal="center"/>
    </xf>
    <xf numFmtId="173" fontId="11" fillId="46" borderId="32" xfId="1216" applyNumberFormat="1" applyFont="1" applyFill="1" applyBorder="1" applyAlignment="1">
      <alignment horizontal="right" wrapText="1"/>
    </xf>
    <xf numFmtId="170" fontId="11" fillId="46" borderId="37" xfId="0" applyNumberFormat="1" applyFont="1" applyFill="1" applyBorder="1" applyAlignment="1">
      <alignment horizontal="right"/>
    </xf>
    <xf numFmtId="169" fontId="11" fillId="48" borderId="30" xfId="0" applyNumberFormat="1" applyFont="1" applyFill="1" applyBorder="1" applyAlignment="1">
      <alignment horizontal="center"/>
    </xf>
    <xf numFmtId="171" fontId="11" fillId="48" borderId="22" xfId="0" applyNumberFormat="1" applyFont="1" applyFill="1" applyBorder="1" applyAlignment="1">
      <alignment horizontal="center"/>
    </xf>
    <xf numFmtId="0" fontId="11" fillId="46" borderId="54" xfId="0" applyFont="1" applyFill="1" applyBorder="1" applyAlignment="1">
      <alignment horizontal="centerContinuous"/>
    </xf>
    <xf numFmtId="169" fontId="207" fillId="48" borderId="17" xfId="0" applyNumberFormat="1" applyFont="1" applyFill="1" applyBorder="1" applyAlignment="1">
      <alignment horizontal="center"/>
    </xf>
    <xf numFmtId="4" fontId="207" fillId="48" borderId="33" xfId="0" applyNumberFormat="1" applyFont="1" applyFill="1" applyBorder="1" applyAlignment="1">
      <alignment horizontal="center"/>
    </xf>
    <xf numFmtId="4" fontId="207" fillId="49" borderId="61" xfId="0" applyNumberFormat="1" applyFont="1" applyFill="1" applyBorder="1" applyAlignment="1">
      <alignment horizontal="center"/>
    </xf>
    <xf numFmtId="170" fontId="194" fillId="48" borderId="0" xfId="0" applyNumberFormat="1" applyFont="1" applyFill="1" applyBorder="1"/>
    <xf numFmtId="0" fontId="245" fillId="48" borderId="0" xfId="0" applyFont="1" applyFill="1" applyAlignment="1">
      <alignment horizontal="center" vertical="top" wrapText="1"/>
    </xf>
    <xf numFmtId="0" fontId="207" fillId="48" borderId="0" xfId="0" applyFont="1" applyFill="1"/>
    <xf numFmtId="170" fontId="207" fillId="48" borderId="0" xfId="0" applyNumberFormat="1" applyFont="1" applyFill="1"/>
    <xf numFmtId="173" fontId="58" fillId="46" borderId="34" xfId="1216" applyNumberFormat="1" applyFont="1" applyFill="1" applyBorder="1" applyAlignment="1">
      <alignment horizontal="right" wrapText="1"/>
    </xf>
    <xf numFmtId="3" fontId="60" fillId="46" borderId="17" xfId="0" applyNumberFormat="1" applyFont="1" applyFill="1" applyBorder="1" applyAlignment="1">
      <alignment horizontal="center"/>
    </xf>
    <xf numFmtId="3" fontId="15" fillId="46" borderId="20" xfId="0" applyNumberFormat="1" applyFont="1" applyFill="1" applyBorder="1" applyAlignment="1">
      <alignment horizontal="center" vertical="center" wrapText="1"/>
    </xf>
    <xf numFmtId="3" fontId="77" fillId="46" borderId="22" xfId="0" applyNumberFormat="1" applyFont="1" applyFill="1" applyBorder="1" applyAlignment="1">
      <alignment horizontal="center" wrapText="1"/>
    </xf>
    <xf numFmtId="3" fontId="58" fillId="46" borderId="50" xfId="0" applyNumberFormat="1" applyFont="1" applyFill="1" applyBorder="1" applyAlignment="1">
      <alignment horizontal="center" wrapText="1"/>
    </xf>
    <xf numFmtId="202" fontId="11" fillId="48" borderId="17" xfId="0" applyNumberFormat="1" applyFont="1" applyFill="1" applyBorder="1" applyAlignment="1">
      <alignment horizontal="center"/>
    </xf>
    <xf numFmtId="169" fontId="11" fillId="48" borderId="33" xfId="0" applyNumberFormat="1" applyFont="1" applyFill="1" applyBorder="1" applyAlignment="1">
      <alignment horizontal="center"/>
    </xf>
    <xf numFmtId="3" fontId="11" fillId="48" borderId="0" xfId="0" applyNumberFormat="1" applyFont="1" applyFill="1"/>
    <xf numFmtId="202" fontId="207" fillId="46" borderId="17" xfId="0" applyNumberFormat="1" applyFont="1" applyFill="1" applyBorder="1" applyAlignment="1">
      <alignment horizontal="center"/>
    </xf>
    <xf numFmtId="169" fontId="207" fillId="46" borderId="33" xfId="0" applyNumberFormat="1" applyFont="1" applyFill="1" applyBorder="1" applyAlignment="1">
      <alignment horizontal="center"/>
    </xf>
    <xf numFmtId="0" fontId="9" fillId="0" borderId="33" xfId="0" applyFont="1" applyBorder="1" applyAlignment="1">
      <alignment horizontal="center" vertical="top" wrapText="1"/>
    </xf>
    <xf numFmtId="0" fontId="246" fillId="0" borderId="0" xfId="1206" applyFont="1" applyAlignment="1">
      <alignment horizontal="centerContinuous"/>
    </xf>
    <xf numFmtId="10" fontId="246" fillId="0" borderId="0" xfId="1206" applyNumberFormat="1" applyFont="1" applyAlignment="1">
      <alignment horizontal="centerContinuous"/>
    </xf>
    <xf numFmtId="0" fontId="296" fillId="0" borderId="0" xfId="1206"/>
    <xf numFmtId="10" fontId="296" fillId="0" borderId="0" xfId="1206" applyNumberFormat="1"/>
    <xf numFmtId="0" fontId="194" fillId="0" borderId="0" xfId="1206" applyFont="1"/>
    <xf numFmtId="0" fontId="9" fillId="0" borderId="0" xfId="1206" applyFont="1"/>
    <xf numFmtId="10" fontId="9" fillId="0" borderId="0" xfId="1206" applyNumberFormat="1" applyFont="1"/>
    <xf numFmtId="3" fontId="194" fillId="0" borderId="0" xfId="1206" applyNumberFormat="1" applyFont="1"/>
    <xf numFmtId="0" fontId="11" fillId="0" borderId="0" xfId="1206" applyFont="1"/>
    <xf numFmtId="0" fontId="11" fillId="46" borderId="0" xfId="1206" applyFont="1" applyFill="1"/>
    <xf numFmtId="0" fontId="9" fillId="0" borderId="23" xfId="1206" applyFont="1" applyBorder="1" applyAlignment="1">
      <alignment horizontal="centerContinuous" wrapText="1"/>
    </xf>
    <xf numFmtId="10" fontId="9" fillId="0" borderId="23" xfId="1206" applyNumberFormat="1" applyFont="1" applyBorder="1" applyAlignment="1">
      <alignment horizontal="centerContinuous" wrapText="1"/>
    </xf>
    <xf numFmtId="0" fontId="9" fillId="0" borderId="17" xfId="1206" applyFont="1" applyBorder="1" applyAlignment="1">
      <alignment horizontal="centerContinuous" wrapText="1"/>
    </xf>
    <xf numFmtId="0" fontId="9" fillId="0" borderId="17" xfId="1206" applyFont="1" applyBorder="1" applyAlignment="1">
      <alignment horizontal="center" wrapText="1"/>
    </xf>
    <xf numFmtId="10" fontId="10" fillId="0" borderId="17" xfId="1206" applyNumberFormat="1" applyFont="1" applyBorder="1" applyAlignment="1">
      <alignment horizontal="center" vertical="top" wrapText="1"/>
    </xf>
    <xf numFmtId="0" fontId="10" fillId="0" borderId="17" xfId="1206" applyFont="1" applyBorder="1" applyAlignment="1">
      <alignment horizontal="center" vertical="top" wrapText="1"/>
    </xf>
    <xf numFmtId="0" fontId="9" fillId="0" borderId="17" xfId="1206" applyFont="1" applyBorder="1" applyAlignment="1">
      <alignment horizontal="center" vertical="top" wrapText="1"/>
    </xf>
    <xf numFmtId="0" fontId="15" fillId="0" borderId="17" xfId="1206" applyFont="1" applyBorder="1" applyAlignment="1">
      <alignment horizontal="center" vertical="top" wrapText="1"/>
    </xf>
    <xf numFmtId="10" fontId="9" fillId="44" borderId="17" xfId="1206" applyNumberFormat="1" applyFont="1" applyFill="1" applyBorder="1" applyAlignment="1">
      <alignment horizontal="center" vertical="top" wrapText="1"/>
    </xf>
    <xf numFmtId="0" fontId="9" fillId="44" borderId="17" xfId="1206" applyFont="1" applyFill="1" applyBorder="1" applyAlignment="1">
      <alignment horizontal="center" vertical="top" wrapText="1"/>
    </xf>
    <xf numFmtId="0" fontId="9" fillId="46" borderId="17" xfId="1206" applyFont="1" applyFill="1" applyBorder="1" applyAlignment="1">
      <alignment horizontal="center" vertical="top" wrapText="1"/>
    </xf>
    <xf numFmtId="10" fontId="9" fillId="44" borderId="17" xfId="1206" applyNumberFormat="1" applyFont="1" applyFill="1" applyBorder="1" applyAlignment="1">
      <alignment horizontal="center" wrapText="1"/>
    </xf>
    <xf numFmtId="0" fontId="9" fillId="46" borderId="17" xfId="1206" applyFont="1" applyFill="1" applyBorder="1" applyAlignment="1">
      <alignment horizontal="center" wrapText="1"/>
    </xf>
    <xf numFmtId="4" fontId="9" fillId="46" borderId="17" xfId="1206" applyNumberFormat="1" applyFont="1" applyFill="1" applyBorder="1" applyAlignment="1">
      <alignment horizontal="center" wrapText="1"/>
    </xf>
    <xf numFmtId="3" fontId="9" fillId="46" borderId="17" xfId="1206" applyNumberFormat="1" applyFont="1" applyFill="1" applyBorder="1" applyAlignment="1">
      <alignment horizontal="center" wrapText="1"/>
    </xf>
    <xf numFmtId="0" fontId="9" fillId="46" borderId="0" xfId="1206" applyFont="1" applyFill="1" applyBorder="1" applyAlignment="1">
      <alignment horizontal="center" wrapText="1"/>
    </xf>
    <xf numFmtId="4" fontId="9" fillId="46" borderId="0" xfId="1206" applyNumberFormat="1" applyFont="1" applyFill="1" applyBorder="1" applyAlignment="1">
      <alignment horizontal="center" wrapText="1"/>
    </xf>
    <xf numFmtId="10" fontId="9" fillId="46" borderId="0" xfId="1206" applyNumberFormat="1" applyFont="1" applyFill="1" applyBorder="1" applyAlignment="1">
      <alignment horizontal="center" wrapText="1"/>
    </xf>
    <xf numFmtId="3" fontId="9" fillId="46" borderId="0" xfId="1206" applyNumberFormat="1" applyFont="1" applyFill="1" applyBorder="1" applyAlignment="1">
      <alignment horizontal="center" wrapText="1"/>
    </xf>
    <xf numFmtId="4" fontId="194" fillId="46" borderId="0" xfId="1206" applyNumberFormat="1" applyFont="1" applyFill="1" applyBorder="1" applyAlignment="1">
      <alignment horizontal="right"/>
    </xf>
    <xf numFmtId="0" fontId="194" fillId="48" borderId="0" xfId="1206" applyFont="1" applyFill="1"/>
    <xf numFmtId="0" fontId="9" fillId="48" borderId="0" xfId="1206" applyFont="1" applyFill="1"/>
    <xf numFmtId="10" fontId="9" fillId="48" borderId="0" xfId="1206" applyNumberFormat="1" applyFont="1" applyFill="1"/>
    <xf numFmtId="3" fontId="194" fillId="48" borderId="0" xfId="1206" applyNumberFormat="1" applyFont="1" applyFill="1"/>
    <xf numFmtId="0" fontId="11" fillId="48" borderId="0" xfId="1206" applyFont="1" applyFill="1"/>
    <xf numFmtId="0" fontId="197" fillId="49" borderId="0" xfId="1206" applyFont="1" applyFill="1"/>
    <xf numFmtId="0" fontId="9" fillId="48" borderId="23" xfId="1206" applyFont="1" applyFill="1" applyBorder="1" applyAlignment="1">
      <alignment horizontal="centerContinuous" wrapText="1"/>
    </xf>
    <xf numFmtId="10" fontId="9" fillId="48" borderId="23" xfId="1206" applyNumberFormat="1" applyFont="1" applyFill="1" applyBorder="1" applyAlignment="1">
      <alignment horizontal="centerContinuous" wrapText="1"/>
    </xf>
    <xf numFmtId="0" fontId="9" fillId="48" borderId="17" xfId="1206" applyFont="1" applyFill="1" applyBorder="1" applyAlignment="1">
      <alignment horizontal="centerContinuous" wrapText="1"/>
    </xf>
    <xf numFmtId="0" fontId="9" fillId="48" borderId="17" xfId="1206" applyFont="1" applyFill="1" applyBorder="1" applyAlignment="1">
      <alignment horizontal="center" wrapText="1"/>
    </xf>
    <xf numFmtId="10" fontId="10" fillId="48" borderId="17" xfId="1206" applyNumberFormat="1" applyFont="1" applyFill="1" applyBorder="1" applyAlignment="1">
      <alignment horizontal="center" vertical="top" wrapText="1"/>
    </xf>
    <xf numFmtId="0" fontId="10" fillId="48" borderId="17" xfId="1206" applyFont="1" applyFill="1" applyBorder="1" applyAlignment="1">
      <alignment horizontal="center" vertical="top" wrapText="1"/>
    </xf>
    <xf numFmtId="0" fontId="9" fillId="48" borderId="17" xfId="1206" applyFont="1" applyFill="1" applyBorder="1" applyAlignment="1">
      <alignment horizontal="center" vertical="top" wrapText="1"/>
    </xf>
    <xf numFmtId="0" fontId="194" fillId="44" borderId="0" xfId="1206" applyFont="1" applyFill="1"/>
    <xf numFmtId="0" fontId="15" fillId="48" borderId="17" xfId="1206" applyFont="1" applyFill="1" applyBorder="1" applyAlignment="1">
      <alignment horizontal="center" vertical="top" wrapText="1"/>
    </xf>
    <xf numFmtId="10" fontId="9" fillId="48" borderId="17" xfId="1206" applyNumberFormat="1" applyFont="1" applyFill="1" applyBorder="1" applyAlignment="1">
      <alignment horizontal="center" vertical="top" wrapText="1"/>
    </xf>
    <xf numFmtId="0" fontId="194" fillId="44" borderId="33" xfId="1206" applyFont="1" applyFill="1" applyBorder="1" applyAlignment="1">
      <alignment horizontal="centerContinuous"/>
    </xf>
    <xf numFmtId="0" fontId="194" fillId="44" borderId="23" xfId="1206" applyFont="1" applyFill="1" applyBorder="1"/>
    <xf numFmtId="0" fontId="194" fillId="44" borderId="33" xfId="1206" applyFont="1" applyFill="1" applyBorder="1" applyAlignment="1">
      <alignment horizontal="center"/>
    </xf>
    <xf numFmtId="0" fontId="194" fillId="44" borderId="17" xfId="1206" applyFont="1" applyFill="1" applyBorder="1" applyAlignment="1">
      <alignment horizontal="center"/>
    </xf>
    <xf numFmtId="0" fontId="194" fillId="44" borderId="25" xfId="1206" applyFont="1" applyFill="1" applyBorder="1"/>
    <xf numFmtId="4" fontId="201" fillId="48" borderId="17" xfId="1206" applyNumberFormat="1" applyFont="1" applyFill="1" applyBorder="1" applyAlignment="1">
      <alignment horizontal="center" wrapText="1"/>
    </xf>
    <xf numFmtId="10" fontId="9" fillId="48" borderId="17" xfId="1206" applyNumberFormat="1" applyFont="1" applyFill="1" applyBorder="1" applyAlignment="1">
      <alignment horizontal="center" wrapText="1"/>
    </xf>
    <xf numFmtId="3" fontId="9" fillId="48" borderId="17" xfId="1206" applyNumberFormat="1" applyFont="1" applyFill="1" applyBorder="1" applyAlignment="1">
      <alignment horizontal="center" wrapText="1"/>
    </xf>
    <xf numFmtId="10" fontId="201" fillId="44" borderId="17" xfId="1206" applyNumberFormat="1" applyFont="1" applyFill="1" applyBorder="1" applyAlignment="1">
      <alignment horizontal="center" wrapText="1"/>
    </xf>
    <xf numFmtId="0" fontId="15" fillId="44" borderId="17" xfId="1206" applyFont="1" applyFill="1" applyBorder="1" applyAlignment="1">
      <alignment horizontal="center" vertical="top" wrapText="1"/>
    </xf>
    <xf numFmtId="0" fontId="247" fillId="0" borderId="0" xfId="0" applyFont="1" applyAlignment="1">
      <alignment horizontal="left"/>
    </xf>
    <xf numFmtId="202" fontId="207" fillId="48" borderId="17" xfId="0" applyNumberFormat="1" applyFont="1" applyFill="1" applyBorder="1" applyAlignment="1">
      <alignment horizontal="center"/>
    </xf>
    <xf numFmtId="169" fontId="207" fillId="48" borderId="33" xfId="0" applyNumberFormat="1" applyFont="1" applyFill="1" applyBorder="1" applyAlignment="1">
      <alignment horizontal="center"/>
    </xf>
    <xf numFmtId="202" fontId="11" fillId="48" borderId="37" xfId="0" applyNumberFormat="1" applyFont="1" applyFill="1" applyBorder="1" applyAlignment="1">
      <alignment horizontal="center"/>
    </xf>
    <xf numFmtId="169" fontId="11" fillId="48" borderId="36" xfId="0" applyNumberFormat="1" applyFont="1" applyFill="1" applyBorder="1" applyAlignment="1">
      <alignment horizontal="center"/>
    </xf>
    <xf numFmtId="0" fontId="9" fillId="0" borderId="33" xfId="0" applyFont="1" applyBorder="1" applyAlignment="1">
      <alignment horizontal="center" wrapText="1"/>
    </xf>
    <xf numFmtId="0" fontId="201" fillId="0" borderId="33" xfId="0" applyFont="1" applyBorder="1" applyAlignment="1">
      <alignment horizontal="center" vertical="top" wrapText="1"/>
    </xf>
    <xf numFmtId="4" fontId="194" fillId="33" borderId="23" xfId="0" applyNumberFormat="1" applyFont="1" applyFill="1" applyBorder="1" applyAlignment="1">
      <alignment horizontal="center" wrapText="1"/>
    </xf>
    <xf numFmtId="4" fontId="194" fillId="33" borderId="20" xfId="0" applyNumberFormat="1" applyFont="1" applyFill="1" applyBorder="1" applyAlignment="1">
      <alignment horizontal="center" wrapText="1"/>
    </xf>
    <xf numFmtId="170" fontId="11" fillId="48" borderId="0" xfId="0" applyNumberFormat="1" applyFont="1" applyFill="1"/>
    <xf numFmtId="170" fontId="248" fillId="49" borderId="0" xfId="0" applyNumberFormat="1" applyFont="1" applyFill="1"/>
    <xf numFmtId="0" fontId="197" fillId="49" borderId="0" xfId="0" applyFont="1" applyFill="1"/>
    <xf numFmtId="171" fontId="11" fillId="48" borderId="30" xfId="0" applyNumberFormat="1" applyFont="1" applyFill="1" applyBorder="1" applyAlignment="1">
      <alignment horizontal="center"/>
    </xf>
    <xf numFmtId="171" fontId="11" fillId="46" borderId="17" xfId="0" applyNumberFormat="1" applyFont="1" applyFill="1" applyBorder="1" applyAlignment="1">
      <alignment horizontal="center"/>
    </xf>
    <xf numFmtId="171" fontId="11" fillId="46" borderId="37" xfId="0" applyNumberFormat="1" applyFont="1" applyFill="1" applyBorder="1" applyAlignment="1">
      <alignment horizontal="center"/>
    </xf>
    <xf numFmtId="171" fontId="207" fillId="48" borderId="17" xfId="0" applyNumberFormat="1" applyFont="1" applyFill="1" applyBorder="1" applyAlignment="1">
      <alignment horizontal="center"/>
    </xf>
    <xf numFmtId="0" fontId="207" fillId="48" borderId="32" xfId="0" applyFont="1" applyFill="1" applyBorder="1" applyAlignment="1">
      <alignment horizontal="center"/>
    </xf>
    <xf numFmtId="0" fontId="207" fillId="48" borderId="17" xfId="0" applyFont="1" applyFill="1" applyBorder="1"/>
    <xf numFmtId="3" fontId="194" fillId="48" borderId="17" xfId="0" applyNumberFormat="1" applyFont="1" applyFill="1" applyBorder="1" applyAlignment="1">
      <alignment horizontal="center" wrapText="1"/>
    </xf>
    <xf numFmtId="170" fontId="207" fillId="48" borderId="33" xfId="0" applyNumberFormat="1" applyFont="1" applyFill="1" applyBorder="1" applyAlignment="1">
      <alignment horizontal="center"/>
    </xf>
    <xf numFmtId="0" fontId="11" fillId="46" borderId="37" xfId="0" applyFont="1" applyFill="1" applyBorder="1" applyAlignment="1">
      <alignment wrapText="1"/>
    </xf>
    <xf numFmtId="170" fontId="249" fillId="49" borderId="32" xfId="0" applyNumberFormat="1" applyFont="1" applyFill="1" applyBorder="1" applyAlignment="1">
      <alignment horizontal="centerContinuous" wrapText="1"/>
    </xf>
    <xf numFmtId="170" fontId="249" fillId="49" borderId="17" xfId="0" applyNumberFormat="1" applyFont="1" applyFill="1" applyBorder="1" applyAlignment="1">
      <alignment horizontal="centerContinuous" wrapText="1"/>
    </xf>
    <xf numFmtId="0" fontId="175" fillId="0" borderId="0" xfId="1206" applyFont="1" applyAlignment="1">
      <alignment horizontal="centerContinuous"/>
    </xf>
    <xf numFmtId="10" fontId="175" fillId="0" borderId="0" xfId="1206" applyNumberFormat="1" applyFont="1" applyAlignment="1">
      <alignment horizontal="centerContinuous"/>
    </xf>
    <xf numFmtId="0" fontId="31" fillId="0" borderId="0" xfId="1206" applyFont="1"/>
    <xf numFmtId="3" fontId="31" fillId="0" borderId="0" xfId="1206" applyNumberFormat="1" applyFont="1"/>
    <xf numFmtId="4" fontId="31" fillId="46" borderId="0" xfId="1206" applyNumberFormat="1" applyFont="1" applyFill="1" applyBorder="1" applyAlignment="1">
      <alignment horizontal="right"/>
    </xf>
    <xf numFmtId="0" fontId="31" fillId="48" borderId="0" xfId="1206" applyFont="1" applyFill="1"/>
    <xf numFmtId="3" fontId="31" fillId="48" borderId="0" xfId="1206" applyNumberFormat="1" applyFont="1" applyFill="1"/>
    <xf numFmtId="0" fontId="109" fillId="49" borderId="0" xfId="1206" applyFont="1" applyFill="1"/>
    <xf numFmtId="0" fontId="31" fillId="44" borderId="0" xfId="1206" applyFont="1" applyFill="1"/>
    <xf numFmtId="0" fontId="31" fillId="44" borderId="33" xfId="1206" applyFont="1" applyFill="1" applyBorder="1" applyAlignment="1">
      <alignment horizontal="centerContinuous"/>
    </xf>
    <xf numFmtId="0" fontId="31" fillId="44" borderId="23" xfId="1206" applyFont="1" applyFill="1" applyBorder="1"/>
    <xf numFmtId="0" fontId="31" fillId="44" borderId="33" xfId="1206" applyFont="1" applyFill="1" applyBorder="1" applyAlignment="1">
      <alignment horizontal="center"/>
    </xf>
    <xf numFmtId="0" fontId="31" fillId="44" borderId="17" xfId="1206" applyFont="1" applyFill="1" applyBorder="1" applyAlignment="1">
      <alignment horizontal="center"/>
    </xf>
    <xf numFmtId="0" fontId="31" fillId="44" borderId="25" xfId="1206" applyFont="1" applyFill="1" applyBorder="1"/>
    <xf numFmtId="4" fontId="8" fillId="48" borderId="17" xfId="1206" applyNumberFormat="1" applyFont="1" applyFill="1" applyBorder="1" applyAlignment="1">
      <alignment horizontal="center" wrapText="1"/>
    </xf>
    <xf numFmtId="10" fontId="8" fillId="44" borderId="17" xfId="1206" applyNumberFormat="1" applyFont="1" applyFill="1" applyBorder="1" applyAlignment="1">
      <alignment horizontal="center" wrapText="1"/>
    </xf>
    <xf numFmtId="0" fontId="15" fillId="46" borderId="17" xfId="1206" applyFont="1" applyFill="1" applyBorder="1" applyAlignment="1">
      <alignment horizontal="center" vertical="top" wrapText="1"/>
    </xf>
    <xf numFmtId="10" fontId="9" fillId="44" borderId="0" xfId="1206" applyNumberFormat="1" applyFont="1" applyFill="1" applyBorder="1" applyAlignment="1">
      <alignment horizontal="center" wrapText="1"/>
    </xf>
    <xf numFmtId="170" fontId="11" fillId="46" borderId="32" xfId="0" applyNumberFormat="1" applyFont="1" applyFill="1" applyBorder="1" applyAlignment="1"/>
    <xf numFmtId="170" fontId="11" fillId="46" borderId="17" xfId="0" applyNumberFormat="1" applyFont="1" applyFill="1" applyBorder="1" applyAlignment="1"/>
    <xf numFmtId="170" fontId="11" fillId="46" borderId="34" xfId="0" applyNumberFormat="1" applyFont="1" applyFill="1" applyBorder="1" applyAlignment="1"/>
    <xf numFmtId="170" fontId="11" fillId="46" borderId="26" xfId="0" applyNumberFormat="1" applyFont="1" applyFill="1" applyBorder="1" applyAlignment="1"/>
    <xf numFmtId="173" fontId="11" fillId="46" borderId="35" xfId="1216" applyNumberFormat="1" applyFont="1" applyFill="1" applyBorder="1" applyAlignment="1">
      <alignment horizontal="right"/>
    </xf>
    <xf numFmtId="173" fontId="11" fillId="46" borderId="74" xfId="1216" applyNumberFormat="1" applyFont="1" applyFill="1" applyBorder="1" applyAlignment="1">
      <alignment horizontal="right"/>
    </xf>
    <xf numFmtId="173" fontId="11" fillId="46" borderId="38" xfId="1216" applyNumberFormat="1" applyFont="1" applyFill="1" applyBorder="1" applyAlignment="1">
      <alignment horizontal="right"/>
    </xf>
    <xf numFmtId="170" fontId="11" fillId="46" borderId="38" xfId="0" applyNumberFormat="1" applyFont="1" applyFill="1" applyBorder="1" applyAlignment="1"/>
    <xf numFmtId="4" fontId="11" fillId="46" borderId="38" xfId="0" applyNumberFormat="1" applyFont="1" applyFill="1" applyBorder="1" applyAlignment="1">
      <alignment horizontal="center"/>
    </xf>
    <xf numFmtId="4" fontId="11" fillId="46" borderId="34" xfId="0" applyNumberFormat="1" applyFont="1" applyFill="1" applyBorder="1" applyAlignment="1">
      <alignment horizontal="center"/>
    </xf>
    <xf numFmtId="4" fontId="11" fillId="46" borderId="32" xfId="0" applyNumberFormat="1" applyFont="1" applyFill="1" applyBorder="1" applyAlignment="1">
      <alignment horizontal="center"/>
    </xf>
    <xf numFmtId="4" fontId="11" fillId="46" borderId="17" xfId="0" applyNumberFormat="1" applyFont="1" applyFill="1" applyBorder="1" applyAlignment="1">
      <alignment horizontal="center"/>
    </xf>
    <xf numFmtId="4" fontId="11" fillId="46" borderId="61" xfId="0" applyNumberFormat="1" applyFont="1" applyFill="1" applyBorder="1" applyAlignment="1">
      <alignment horizontal="center"/>
    </xf>
    <xf numFmtId="4" fontId="207" fillId="46" borderId="61" xfId="0" applyNumberFormat="1" applyFont="1" applyFill="1" applyBorder="1" applyAlignment="1">
      <alignment horizontal="center"/>
    </xf>
    <xf numFmtId="0" fontId="11" fillId="46" borderId="32" xfId="0" applyFont="1" applyFill="1" applyBorder="1" applyAlignment="1">
      <alignment horizontal="center"/>
    </xf>
    <xf numFmtId="0" fontId="58" fillId="0" borderId="21" xfId="0" applyFont="1" applyBorder="1" applyAlignment="1">
      <alignment horizontal="center"/>
    </xf>
    <xf numFmtId="0" fontId="58" fillId="46" borderId="46" xfId="0" applyFont="1" applyFill="1" applyBorder="1" applyAlignment="1">
      <alignment wrapText="1"/>
    </xf>
    <xf numFmtId="3" fontId="58" fillId="46" borderId="46" xfId="0" applyNumberFormat="1" applyFont="1" applyFill="1" applyBorder="1" applyAlignment="1">
      <alignment horizontal="center" wrapText="1"/>
    </xf>
    <xf numFmtId="0" fontId="11" fillId="46" borderId="46" xfId="0" applyFont="1" applyFill="1" applyBorder="1"/>
    <xf numFmtId="0" fontId="11" fillId="46" borderId="90" xfId="0" applyFont="1" applyFill="1" applyBorder="1"/>
    <xf numFmtId="0" fontId="9" fillId="46" borderId="21" xfId="0" applyFont="1" applyFill="1" applyBorder="1" applyAlignment="1">
      <alignment horizontal="center"/>
    </xf>
    <xf numFmtId="0" fontId="9" fillId="46" borderId="46" xfId="0" applyFont="1" applyFill="1" applyBorder="1" applyAlignment="1">
      <alignment horizontal="center"/>
    </xf>
    <xf numFmtId="0" fontId="9" fillId="46" borderId="47" xfId="0" applyFont="1" applyFill="1" applyBorder="1" applyAlignment="1">
      <alignment horizontal="center"/>
    </xf>
    <xf numFmtId="170" fontId="58" fillId="46" borderId="21" xfId="0" applyNumberFormat="1" applyFont="1" applyFill="1" applyBorder="1"/>
    <xf numFmtId="170" fontId="58" fillId="46" borderId="46" xfId="0" applyNumberFormat="1" applyFont="1" applyFill="1" applyBorder="1"/>
    <xf numFmtId="170" fontId="58" fillId="46" borderId="47" xfId="0" applyNumberFormat="1" applyFont="1" applyFill="1" applyBorder="1"/>
    <xf numFmtId="173" fontId="60" fillId="46" borderId="21" xfId="1216" applyNumberFormat="1" applyFont="1" applyFill="1" applyBorder="1" applyAlignment="1">
      <alignment horizontal="right" wrapText="1"/>
    </xf>
    <xf numFmtId="173" fontId="60" fillId="46" borderId="46" xfId="1216" applyNumberFormat="1" applyFont="1" applyFill="1" applyBorder="1" applyAlignment="1">
      <alignment horizontal="right" wrapText="1"/>
    </xf>
    <xf numFmtId="4" fontId="207" fillId="49" borderId="34" xfId="0" applyNumberFormat="1" applyFont="1" applyFill="1" applyBorder="1" applyAlignment="1">
      <alignment horizontal="center"/>
    </xf>
    <xf numFmtId="170" fontId="250" fillId="46" borderId="34" xfId="0" applyNumberFormat="1" applyFont="1" applyFill="1" applyBorder="1"/>
    <xf numFmtId="170" fontId="251" fillId="0" borderId="0" xfId="0" applyNumberFormat="1" applyFont="1"/>
    <xf numFmtId="170" fontId="58" fillId="46" borderId="26" xfId="0" applyNumberFormat="1" applyFont="1" applyFill="1" applyBorder="1"/>
    <xf numFmtId="173" fontId="11" fillId="46" borderId="26" xfId="1216" applyNumberFormat="1" applyFont="1" applyFill="1" applyBorder="1" applyAlignment="1">
      <alignment horizontal="right" wrapText="1"/>
    </xf>
    <xf numFmtId="170" fontId="11" fillId="46" borderId="74" xfId="0" applyNumberFormat="1" applyFont="1" applyFill="1" applyBorder="1"/>
    <xf numFmtId="0" fontId="207" fillId="44" borderId="34" xfId="0" applyFont="1" applyFill="1" applyBorder="1" applyAlignment="1">
      <alignment horizontal="right"/>
    </xf>
    <xf numFmtId="170" fontId="207" fillId="44" borderId="32" xfId="0" applyNumberFormat="1" applyFont="1" applyFill="1" applyBorder="1"/>
    <xf numFmtId="170" fontId="207" fillId="44" borderId="17" xfId="0" applyNumberFormat="1" applyFont="1" applyFill="1" applyBorder="1"/>
    <xf numFmtId="170" fontId="11" fillId="44" borderId="34" xfId="0" applyNumberFormat="1" applyFont="1" applyFill="1" applyBorder="1"/>
    <xf numFmtId="170" fontId="207" fillId="44" borderId="34" xfId="0" applyNumberFormat="1" applyFont="1" applyFill="1" applyBorder="1"/>
    <xf numFmtId="170" fontId="58" fillId="46" borderId="31" xfId="0" applyNumberFormat="1" applyFont="1" applyFill="1" applyBorder="1" applyAlignment="1">
      <alignment horizontal="centerContinuous" wrapText="1"/>
    </xf>
    <xf numFmtId="173" fontId="11" fillId="46" borderId="37" xfId="1216" applyNumberFormat="1" applyFont="1" applyFill="1" applyBorder="1" applyAlignment="1">
      <alignment horizontal="right" wrapText="1"/>
    </xf>
    <xf numFmtId="173" fontId="11" fillId="46" borderId="38" xfId="1216" applyNumberFormat="1" applyFont="1" applyFill="1" applyBorder="1" applyAlignment="1">
      <alignment horizontal="right" wrapText="1"/>
    </xf>
    <xf numFmtId="170" fontId="31" fillId="44" borderId="0" xfId="0" applyNumberFormat="1" applyFont="1" applyFill="1" applyBorder="1"/>
    <xf numFmtId="170" fontId="194" fillId="44" borderId="0" xfId="0" applyNumberFormat="1" applyFont="1" applyFill="1" applyBorder="1"/>
    <xf numFmtId="173" fontId="58" fillId="46" borderId="32" xfId="1216" applyNumberFormat="1" applyFont="1" applyFill="1" applyBorder="1" applyAlignment="1">
      <alignment horizontal="right" wrapText="1"/>
    </xf>
    <xf numFmtId="173" fontId="58" fillId="46" borderId="17" xfId="1216" applyNumberFormat="1" applyFont="1" applyFill="1" applyBorder="1" applyAlignment="1">
      <alignment horizontal="right" wrapText="1"/>
    </xf>
    <xf numFmtId="173" fontId="60" fillId="46" borderId="38" xfId="1216" applyNumberFormat="1" applyFont="1" applyFill="1" applyBorder="1" applyAlignment="1">
      <alignment horizontal="right" wrapText="1"/>
    </xf>
    <xf numFmtId="170" fontId="194" fillId="46" borderId="0" xfId="0" applyNumberFormat="1" applyFont="1" applyFill="1" applyBorder="1"/>
    <xf numFmtId="0" fontId="245" fillId="46" borderId="0" xfId="0" applyFont="1" applyFill="1" applyAlignment="1">
      <alignment horizontal="center" vertical="top" wrapText="1"/>
    </xf>
    <xf numFmtId="170" fontId="207" fillId="46" borderId="0" xfId="0" applyNumberFormat="1" applyFont="1" applyFill="1"/>
    <xf numFmtId="170" fontId="251" fillId="34" borderId="0" xfId="0" applyNumberFormat="1" applyFont="1" applyFill="1"/>
    <xf numFmtId="0" fontId="207" fillId="34" borderId="0" xfId="0" applyFont="1" applyFill="1"/>
    <xf numFmtId="170" fontId="194" fillId="34" borderId="0" xfId="0" applyNumberFormat="1" applyFont="1" applyFill="1" applyBorder="1"/>
    <xf numFmtId="0" fontId="209" fillId="34" borderId="0" xfId="0" applyFont="1" applyFill="1"/>
    <xf numFmtId="0" fontId="202" fillId="0" borderId="0" xfId="0" applyFont="1"/>
    <xf numFmtId="0" fontId="197" fillId="49" borderId="0" xfId="0" applyFont="1" applyFill="1" applyAlignment="1">
      <alignment horizontal="center" vertical="top" wrapText="1"/>
    </xf>
    <xf numFmtId="170" fontId="197" fillId="49" borderId="0" xfId="0" applyNumberFormat="1" applyFont="1" applyFill="1"/>
    <xf numFmtId="170" fontId="31" fillId="44" borderId="0" xfId="0" applyNumberFormat="1" applyFont="1" applyFill="1" applyBorder="1" applyAlignment="1">
      <alignment horizontal="center" wrapText="1"/>
    </xf>
    <xf numFmtId="172" fontId="31" fillId="44" borderId="0" xfId="0" applyNumberFormat="1" applyFont="1" applyFill="1" applyBorder="1"/>
    <xf numFmtId="0" fontId="252" fillId="33" borderId="0" xfId="0" applyFont="1" applyFill="1"/>
    <xf numFmtId="0" fontId="252" fillId="46" borderId="0" xfId="0" applyFont="1" applyFill="1"/>
    <xf numFmtId="0" fontId="194" fillId="33" borderId="17" xfId="0" applyFont="1" applyFill="1" applyBorder="1" applyAlignment="1">
      <alignment horizontal="right"/>
    </xf>
    <xf numFmtId="0" fontId="253" fillId="33" borderId="17" xfId="0" applyFont="1" applyFill="1" applyBorder="1"/>
    <xf numFmtId="0" fontId="194" fillId="33" borderId="17" xfId="0" applyFont="1" applyFill="1" applyBorder="1"/>
    <xf numFmtId="0" fontId="253" fillId="33" borderId="17" xfId="0" applyFont="1" applyFill="1" applyBorder="1" applyAlignment="1">
      <alignment horizontal="right"/>
    </xf>
    <xf numFmtId="0" fontId="195" fillId="33" borderId="17" xfId="0" applyFont="1" applyFill="1" applyBorder="1"/>
    <xf numFmtId="170" fontId="195" fillId="33" borderId="17" xfId="0" applyNumberFormat="1" applyFont="1" applyFill="1" applyBorder="1"/>
    <xf numFmtId="173" fontId="195" fillId="33" borderId="17" xfId="1216" applyNumberFormat="1" applyFont="1" applyFill="1" applyBorder="1" applyAlignment="1">
      <alignment horizontal="right" wrapText="1"/>
    </xf>
    <xf numFmtId="0" fontId="252" fillId="46" borderId="0" xfId="0" applyFont="1" applyFill="1" applyBorder="1"/>
    <xf numFmtId="170" fontId="195" fillId="46" borderId="48" xfId="0" applyNumberFormat="1" applyFont="1" applyFill="1" applyBorder="1"/>
    <xf numFmtId="170" fontId="195" fillId="46" borderId="0" xfId="0" applyNumberFormat="1" applyFont="1" applyFill="1" applyBorder="1"/>
    <xf numFmtId="0" fontId="252" fillId="33" borderId="33" xfId="0" applyFont="1" applyFill="1" applyBorder="1"/>
    <xf numFmtId="0" fontId="11" fillId="33" borderId="26" xfId="0" applyFont="1" applyFill="1" applyBorder="1"/>
    <xf numFmtId="0" fontId="252" fillId="33" borderId="33" xfId="0" applyFont="1" applyFill="1" applyBorder="1" applyAlignment="1">
      <alignment horizontal="right"/>
    </xf>
    <xf numFmtId="170" fontId="243" fillId="49" borderId="17" xfId="0" applyNumberFormat="1" applyFont="1" applyFill="1" applyBorder="1"/>
    <xf numFmtId="0" fontId="9" fillId="0" borderId="23" xfId="1206" applyFont="1" applyBorder="1" applyAlignment="1">
      <alignment horizontal="center" wrapText="1"/>
    </xf>
    <xf numFmtId="4" fontId="207" fillId="48" borderId="0" xfId="0" applyNumberFormat="1" applyFont="1" applyFill="1"/>
    <xf numFmtId="10" fontId="11" fillId="0" borderId="0" xfId="0" applyNumberFormat="1" applyFont="1"/>
    <xf numFmtId="4" fontId="11" fillId="48" borderId="33" xfId="0" applyNumberFormat="1" applyFont="1" applyFill="1" applyBorder="1" applyAlignment="1">
      <alignment horizontal="center"/>
    </xf>
    <xf numFmtId="4" fontId="11" fillId="48" borderId="30" xfId="0" applyNumberFormat="1" applyFont="1" applyFill="1" applyBorder="1" applyAlignment="1">
      <alignment horizontal="center"/>
    </xf>
    <xf numFmtId="4" fontId="207" fillId="46" borderId="38" xfId="0" applyNumberFormat="1" applyFont="1" applyFill="1" applyBorder="1" applyAlignment="1">
      <alignment horizontal="center"/>
    </xf>
    <xf numFmtId="4" fontId="11" fillId="48" borderId="17" xfId="0" applyNumberFormat="1" applyFont="1" applyFill="1" applyBorder="1" applyAlignment="1">
      <alignment horizontal="center"/>
    </xf>
    <xf numFmtId="4" fontId="11" fillId="46" borderId="46" xfId="0" applyNumberFormat="1" applyFont="1" applyFill="1" applyBorder="1"/>
    <xf numFmtId="4" fontId="207" fillId="48" borderId="17" xfId="0" applyNumberFormat="1" applyFont="1" applyFill="1" applyBorder="1" applyAlignment="1">
      <alignment horizontal="center"/>
    </xf>
    <xf numFmtId="4" fontId="11" fillId="46" borderId="37" xfId="0" applyNumberFormat="1" applyFont="1" applyFill="1" applyBorder="1" applyAlignment="1">
      <alignment horizontal="center"/>
    </xf>
    <xf numFmtId="4" fontId="207" fillId="46" borderId="17" xfId="0" applyNumberFormat="1" applyFont="1" applyFill="1" applyBorder="1" applyAlignment="1">
      <alignment horizontal="center"/>
    </xf>
    <xf numFmtId="4" fontId="11" fillId="46" borderId="22" xfId="0" applyNumberFormat="1" applyFont="1" applyFill="1" applyBorder="1" applyAlignment="1">
      <alignment horizontal="centerContinuous" vertical="center"/>
    </xf>
    <xf numFmtId="4" fontId="60" fillId="46" borderId="17" xfId="0" applyNumberFormat="1" applyFont="1" applyFill="1" applyBorder="1" applyAlignment="1">
      <alignment horizontal="center" vertical="top" wrapText="1"/>
    </xf>
    <xf numFmtId="4" fontId="207" fillId="48" borderId="30" xfId="0" applyNumberFormat="1" applyFont="1" applyFill="1" applyBorder="1" applyAlignment="1">
      <alignment horizontal="center"/>
    </xf>
    <xf numFmtId="171" fontId="11" fillId="46" borderId="33" xfId="0" applyNumberFormat="1" applyFont="1" applyFill="1" applyBorder="1" applyAlignment="1">
      <alignment horizontal="center"/>
    </xf>
    <xf numFmtId="4" fontId="207" fillId="48" borderId="17" xfId="0" applyNumberFormat="1" applyFont="1" applyFill="1" applyBorder="1"/>
    <xf numFmtId="4" fontId="207" fillId="44" borderId="17" xfId="0" applyNumberFormat="1" applyFont="1" applyFill="1" applyBorder="1"/>
    <xf numFmtId="0" fontId="228" fillId="48" borderId="0" xfId="0" applyFont="1" applyFill="1"/>
    <xf numFmtId="0" fontId="254" fillId="48" borderId="0" xfId="1181" applyFont="1" applyFill="1"/>
    <xf numFmtId="168" fontId="255" fillId="48" borderId="0" xfId="1181" applyNumberFormat="1" applyFont="1" applyFill="1" applyAlignment="1">
      <alignment horizontal="right"/>
    </xf>
    <xf numFmtId="170" fontId="228" fillId="48" borderId="17" xfId="0" applyNumberFormat="1" applyFont="1" applyFill="1" applyBorder="1" applyAlignment="1">
      <alignment vertical="center" wrapText="1"/>
    </xf>
    <xf numFmtId="0" fontId="228" fillId="48" borderId="20" xfId="0" applyFont="1" applyFill="1" applyBorder="1"/>
    <xf numFmtId="164" fontId="228" fillId="48" borderId="20" xfId="0" applyNumberFormat="1" applyFont="1" applyFill="1" applyBorder="1"/>
    <xf numFmtId="0" fontId="254" fillId="48" borderId="17" xfId="0" applyFont="1" applyFill="1" applyBorder="1" applyAlignment="1">
      <alignment horizontal="center" vertical="center" wrapText="1"/>
    </xf>
    <xf numFmtId="0" fontId="256" fillId="48" borderId="17" xfId="0" applyFont="1" applyFill="1" applyBorder="1" applyAlignment="1">
      <alignment horizontal="center"/>
    </xf>
    <xf numFmtId="170" fontId="228" fillId="48" borderId="17" xfId="0" applyNumberFormat="1" applyFont="1" applyFill="1" applyBorder="1"/>
    <xf numFmtId="164" fontId="224" fillId="48" borderId="20" xfId="0" applyNumberFormat="1" applyFont="1" applyFill="1" applyBorder="1"/>
    <xf numFmtId="170" fontId="224" fillId="48" borderId="17" xfId="0" applyNumberFormat="1" applyFont="1" applyFill="1" applyBorder="1" applyAlignment="1">
      <alignment vertical="center" wrapText="1"/>
    </xf>
    <xf numFmtId="170" fontId="224" fillId="48" borderId="17" xfId="0" applyNumberFormat="1" applyFont="1" applyFill="1" applyBorder="1"/>
    <xf numFmtId="0" fontId="177" fillId="0" borderId="0" xfId="0" applyFont="1" applyAlignment="1">
      <alignment horizontal="centerContinuous"/>
    </xf>
    <xf numFmtId="0" fontId="178" fillId="46" borderId="0" xfId="0" applyFont="1" applyFill="1"/>
    <xf numFmtId="0" fontId="46" fillId="2" borderId="91" xfId="1194" applyFont="1" applyFill="1" applyBorder="1" applyAlignment="1" applyProtection="1">
      <alignment vertical="center"/>
    </xf>
    <xf numFmtId="0" fontId="178" fillId="46" borderId="0" xfId="1194" applyFont="1" applyFill="1" applyBorder="1" applyAlignment="1" applyProtection="1">
      <alignment horizontal="center" vertical="center"/>
    </xf>
    <xf numFmtId="0" fontId="257" fillId="48" borderId="0" xfId="1194" applyFont="1" applyFill="1" applyBorder="1" applyAlignment="1" applyProtection="1">
      <alignment horizontal="center" vertical="center"/>
    </xf>
    <xf numFmtId="0" fontId="258" fillId="46" borderId="0" xfId="0" applyFont="1" applyFill="1"/>
    <xf numFmtId="49" fontId="179" fillId="0" borderId="92" xfId="1025" applyNumberFormat="1" applyFont="1" applyBorder="1" applyAlignment="1" applyProtection="1">
      <alignment horizontal="center" vertical="center" wrapText="1"/>
    </xf>
    <xf numFmtId="0" fontId="178" fillId="0" borderId="92" xfId="1194" applyFont="1" applyBorder="1" applyAlignment="1" applyProtection="1">
      <alignment horizontal="center" vertical="center" wrapText="1"/>
    </xf>
    <xf numFmtId="0" fontId="178" fillId="44" borderId="92" xfId="0" applyFont="1" applyFill="1" applyBorder="1" applyAlignment="1" applyProtection="1">
      <alignment horizontal="center" vertical="top" wrapText="1"/>
    </xf>
    <xf numFmtId="0" fontId="180" fillId="44" borderId="92" xfId="0" applyFont="1" applyFill="1" applyBorder="1" applyAlignment="1" applyProtection="1">
      <alignment horizontal="center" vertical="top" wrapText="1"/>
    </xf>
    <xf numFmtId="0" fontId="178" fillId="28" borderId="92" xfId="0" applyFont="1" applyFill="1" applyBorder="1" applyAlignment="1" applyProtection="1">
      <alignment horizontal="center" vertical="top" wrapText="1"/>
    </xf>
    <xf numFmtId="0" fontId="212" fillId="46" borderId="93" xfId="0" applyFont="1" applyFill="1" applyBorder="1" applyAlignment="1">
      <alignment horizontal="center"/>
    </xf>
    <xf numFmtId="0" fontId="212" fillId="46" borderId="12" xfId="0" applyFont="1" applyFill="1" applyBorder="1" applyAlignment="1">
      <alignment horizontal="center"/>
    </xf>
    <xf numFmtId="0" fontId="259" fillId="46" borderId="12" xfId="0" applyFont="1" applyFill="1" applyBorder="1" applyAlignment="1">
      <alignment horizontal="center"/>
    </xf>
    <xf numFmtId="0" fontId="212" fillId="46" borderId="0" xfId="0" applyFont="1" applyFill="1" applyAlignment="1">
      <alignment horizontal="center"/>
    </xf>
    <xf numFmtId="49" fontId="178" fillId="46" borderId="94" xfId="1194" applyNumberFormat="1" applyFont="1" applyFill="1" applyBorder="1" applyAlignment="1" applyProtection="1">
      <alignment horizontal="center" vertical="center"/>
    </xf>
    <xf numFmtId="49" fontId="179" fillId="0" borderId="11" xfId="933" applyNumberFormat="1" applyFont="1" applyBorder="1" applyAlignment="1" applyProtection="1">
      <alignment horizontal="left" vertical="center" wrapText="1"/>
    </xf>
    <xf numFmtId="0" fontId="179" fillId="0" borderId="11" xfId="1194" applyFont="1" applyFill="1" applyBorder="1" applyAlignment="1" applyProtection="1">
      <alignment horizontal="center" vertical="center"/>
    </xf>
    <xf numFmtId="10" fontId="122" fillId="46" borderId="11" xfId="0" applyNumberFormat="1" applyFont="1" applyFill="1" applyBorder="1"/>
    <xf numFmtId="10" fontId="179" fillId="28" borderId="11" xfId="1318" applyNumberFormat="1" applyFont="1" applyFill="1" applyBorder="1" applyAlignment="1" applyProtection="1">
      <alignment horizontal="right" vertical="center"/>
      <protection locked="0"/>
    </xf>
    <xf numFmtId="10" fontId="122" fillId="28" borderId="11" xfId="0" applyNumberFormat="1" applyFont="1" applyFill="1" applyBorder="1"/>
    <xf numFmtId="10" fontId="259" fillId="46" borderId="11" xfId="0" applyNumberFormat="1" applyFont="1" applyFill="1" applyBorder="1"/>
    <xf numFmtId="10" fontId="260" fillId="49" borderId="11" xfId="0" applyNumberFormat="1" applyFont="1" applyFill="1" applyBorder="1"/>
    <xf numFmtId="10" fontId="179" fillId="46" borderId="11" xfId="1318" applyNumberFormat="1" applyFont="1" applyFill="1" applyBorder="1" applyAlignment="1" applyProtection="1">
      <alignment horizontal="right" vertical="center"/>
      <protection locked="0"/>
    </xf>
    <xf numFmtId="10" fontId="179" fillId="44" borderId="11" xfId="1318" applyNumberFormat="1" applyFont="1" applyFill="1" applyBorder="1" applyAlignment="1" applyProtection="1">
      <alignment horizontal="right" vertical="center"/>
      <protection locked="0"/>
    </xf>
    <xf numFmtId="10" fontId="122" fillId="44" borderId="11" xfId="0" applyNumberFormat="1" applyFont="1" applyFill="1" applyBorder="1"/>
    <xf numFmtId="3" fontId="179" fillId="46" borderId="11" xfId="1318" applyNumberFormat="1" applyFont="1" applyFill="1" applyBorder="1" applyAlignment="1" applyProtection="1">
      <alignment horizontal="right" vertical="center"/>
      <protection locked="0"/>
    </xf>
    <xf numFmtId="3" fontId="179" fillId="28" borderId="11" xfId="1318" applyNumberFormat="1" applyFont="1" applyFill="1" applyBorder="1" applyAlignment="1" applyProtection="1">
      <alignment horizontal="right" vertical="center"/>
      <protection locked="0"/>
    </xf>
    <xf numFmtId="0" fontId="179" fillId="0" borderId="11" xfId="1194" applyFont="1" applyBorder="1" applyAlignment="1" applyProtection="1">
      <alignment horizontal="left" vertical="center"/>
    </xf>
    <xf numFmtId="0" fontId="179" fillId="0" borderId="11" xfId="1194" applyFont="1" applyBorder="1" applyAlignment="1" applyProtection="1">
      <alignment horizontal="center" vertical="center" wrapText="1"/>
    </xf>
    <xf numFmtId="4" fontId="179" fillId="46" borderId="11" xfId="1318" applyNumberFormat="1" applyFont="1" applyFill="1" applyBorder="1" applyAlignment="1" applyProtection="1">
      <alignment horizontal="right" vertical="center"/>
      <protection locked="0"/>
    </xf>
    <xf numFmtId="4" fontId="179" fillId="44" borderId="11" xfId="1318" applyNumberFormat="1" applyFont="1" applyFill="1" applyBorder="1" applyAlignment="1" applyProtection="1">
      <alignment horizontal="right" vertical="center"/>
      <protection locked="0"/>
    </xf>
    <xf numFmtId="49" fontId="178" fillId="46" borderId="12" xfId="1194" applyNumberFormat="1" applyFont="1" applyFill="1" applyBorder="1" applyAlignment="1" applyProtection="1">
      <alignment horizontal="center" vertical="center"/>
    </xf>
    <xf numFmtId="168" fontId="122" fillId="46" borderId="11" xfId="0" applyNumberFormat="1" applyFont="1" applyFill="1" applyBorder="1"/>
    <xf numFmtId="49" fontId="178" fillId="29" borderId="12" xfId="1194" applyNumberFormat="1" applyFont="1" applyFill="1" applyBorder="1" applyAlignment="1" applyProtection="1">
      <alignment horizontal="center" vertical="center"/>
    </xf>
    <xf numFmtId="0" fontId="179" fillId="29" borderId="11" xfId="1194" applyFont="1" applyFill="1" applyBorder="1" applyAlignment="1" applyProtection="1">
      <alignment horizontal="left" vertical="center" wrapText="1"/>
    </xf>
    <xf numFmtId="0" fontId="179" fillId="29" borderId="11" xfId="1194" applyFont="1" applyFill="1" applyBorder="1" applyAlignment="1" applyProtection="1">
      <alignment horizontal="center" vertical="center" wrapText="1"/>
    </xf>
    <xf numFmtId="4" fontId="179" fillId="29" borderId="11" xfId="1318" applyNumberFormat="1" applyFont="1" applyFill="1" applyBorder="1" applyAlignment="1" applyProtection="1">
      <alignment horizontal="right" vertical="center"/>
      <protection locked="0"/>
    </xf>
    <xf numFmtId="168" fontId="122" fillId="29" borderId="11" xfId="0" applyNumberFormat="1" applyFont="1" applyFill="1" applyBorder="1"/>
    <xf numFmtId="173" fontId="178" fillId="29" borderId="17" xfId="1216" applyNumberFormat="1" applyFont="1" applyFill="1" applyBorder="1" applyAlignment="1">
      <alignment horizontal="right"/>
    </xf>
    <xf numFmtId="168" fontId="259" fillId="48" borderId="11" xfId="0" applyNumberFormat="1" applyFont="1" applyFill="1" applyBorder="1"/>
    <xf numFmtId="0" fontId="161" fillId="46" borderId="0" xfId="0" applyFont="1" applyFill="1" applyBorder="1" applyAlignment="1">
      <alignment horizontal="right" vertical="center" wrapText="1"/>
    </xf>
    <xf numFmtId="0" fontId="161" fillId="2" borderId="91" xfId="1194" applyFont="1" applyFill="1" applyBorder="1" applyAlignment="1" applyProtection="1">
      <alignment vertical="center"/>
    </xf>
    <xf numFmtId="0" fontId="161" fillId="46" borderId="0" xfId="0" applyFont="1" applyFill="1" applyBorder="1" applyAlignment="1">
      <alignment horizontal="center" wrapText="1"/>
    </xf>
    <xf numFmtId="0" fontId="161" fillId="46" borderId="0" xfId="0" applyFont="1" applyFill="1" applyBorder="1" applyAlignment="1">
      <alignment horizontal="center" vertical="top" wrapText="1"/>
    </xf>
    <xf numFmtId="0" fontId="178" fillId="0" borderId="92" xfId="0" applyFont="1" applyFill="1" applyBorder="1" applyAlignment="1" applyProtection="1">
      <alignment horizontal="center" vertical="top" wrapText="1"/>
    </xf>
    <xf numFmtId="0" fontId="257" fillId="46" borderId="0" xfId="0" applyFont="1" applyFill="1"/>
    <xf numFmtId="0" fontId="161" fillId="46" borderId="17" xfId="0" applyFont="1" applyFill="1" applyBorder="1" applyAlignment="1">
      <alignment horizontal="center" vertical="center" wrapText="1"/>
    </xf>
    <xf numFmtId="0" fontId="161" fillId="46" borderId="17" xfId="1178" applyFont="1" applyFill="1" applyBorder="1" applyAlignment="1" applyProtection="1">
      <alignment vertical="center" wrapText="1"/>
    </xf>
    <xf numFmtId="0" fontId="161" fillId="46" borderId="17" xfId="1178" applyFont="1" applyFill="1" applyBorder="1" applyAlignment="1" applyProtection="1">
      <alignment horizontal="center" vertical="center" wrapText="1"/>
    </xf>
    <xf numFmtId="170" fontId="161" fillId="46" borderId="17" xfId="0" applyNumberFormat="1" applyFont="1" applyFill="1" applyBorder="1" applyAlignment="1">
      <alignment vertical="center" wrapText="1"/>
    </xf>
    <xf numFmtId="170" fontId="161" fillId="44" borderId="17" xfId="0" applyNumberFormat="1" applyFont="1" applyFill="1" applyBorder="1" applyAlignment="1">
      <alignment vertical="center" wrapText="1"/>
    </xf>
    <xf numFmtId="0" fontId="178" fillId="46" borderId="17" xfId="0" applyFont="1" applyFill="1" applyBorder="1" applyAlignment="1">
      <alignment horizontal="center" vertical="distributed" wrapText="1"/>
    </xf>
    <xf numFmtId="0" fontId="178" fillId="46" borderId="17" xfId="1178" applyFont="1" applyFill="1" applyBorder="1" applyAlignment="1" applyProtection="1">
      <alignment horizontal="left" vertical="center" wrapText="1" indent="1"/>
    </xf>
    <xf numFmtId="0" fontId="178" fillId="46" borderId="17" xfId="1178" applyFont="1" applyFill="1" applyBorder="1" applyAlignment="1" applyProtection="1">
      <alignment horizontal="center" vertical="center" wrapText="1"/>
    </xf>
    <xf numFmtId="170" fontId="178" fillId="46" borderId="17" xfId="0" applyNumberFormat="1" applyFont="1" applyFill="1" applyBorder="1" applyAlignment="1">
      <alignment vertical="center" wrapText="1"/>
    </xf>
    <xf numFmtId="170" fontId="178" fillId="44" borderId="17" xfId="0" applyNumberFormat="1" applyFont="1" applyFill="1" applyBorder="1" applyAlignment="1">
      <alignment vertical="center" wrapText="1"/>
    </xf>
    <xf numFmtId="170" fontId="257" fillId="44" borderId="17" xfId="0" applyNumberFormat="1" applyFont="1" applyFill="1" applyBorder="1" applyAlignment="1">
      <alignment vertical="center" wrapText="1"/>
    </xf>
    <xf numFmtId="170" fontId="258" fillId="44" borderId="17" xfId="0" applyNumberFormat="1" applyFont="1" applyFill="1" applyBorder="1" applyAlignment="1">
      <alignment vertical="center" wrapText="1"/>
    </xf>
    <xf numFmtId="0" fontId="182" fillId="46" borderId="17" xfId="0" applyFont="1" applyFill="1" applyBorder="1" applyAlignment="1">
      <alignment horizontal="center" vertical="center" wrapText="1"/>
    </xf>
    <xf numFmtId="0" fontId="182" fillId="46" borderId="17" xfId="1178" applyFont="1" applyFill="1" applyBorder="1" applyAlignment="1" applyProtection="1">
      <alignment horizontal="left" vertical="center" wrapText="1" indent="3"/>
    </xf>
    <xf numFmtId="170" fontId="178" fillId="46" borderId="17" xfId="0" applyNumberFormat="1" applyFont="1" applyFill="1" applyBorder="1" applyAlignment="1">
      <alignment wrapText="1"/>
    </xf>
    <xf numFmtId="170" fontId="178" fillId="44" borderId="17" xfId="0" applyNumberFormat="1" applyFont="1" applyFill="1" applyBorder="1" applyAlignment="1">
      <alignment wrapText="1"/>
    </xf>
    <xf numFmtId="3" fontId="182" fillId="46" borderId="17" xfId="1178" applyNumberFormat="1" applyFont="1" applyFill="1" applyBorder="1" applyAlignment="1" applyProtection="1">
      <alignment horizontal="left" vertical="center" wrapText="1" indent="3"/>
    </xf>
    <xf numFmtId="173" fontId="178" fillId="46" borderId="17" xfId="1216" applyNumberFormat="1" applyFont="1" applyFill="1" applyBorder="1" applyAlignment="1">
      <alignment horizontal="right"/>
    </xf>
    <xf numFmtId="173" fontId="178" fillId="44" borderId="17" xfId="1216" applyNumberFormat="1" applyFont="1" applyFill="1" applyBorder="1" applyAlignment="1">
      <alignment horizontal="right"/>
    </xf>
    <xf numFmtId="0" fontId="161" fillId="46" borderId="17" xfId="1178" applyFont="1" applyFill="1" applyBorder="1" applyAlignment="1" applyProtection="1">
      <alignment horizontal="left" vertical="center" wrapText="1" indent="1"/>
    </xf>
    <xf numFmtId="173" fontId="161" fillId="46" borderId="17" xfId="1216" applyNumberFormat="1" applyFont="1" applyFill="1" applyBorder="1" applyAlignment="1">
      <alignment horizontal="right"/>
    </xf>
    <xf numFmtId="170" fontId="161" fillId="46" borderId="17" xfId="0" applyNumberFormat="1" applyFont="1" applyFill="1" applyBorder="1"/>
    <xf numFmtId="170" fontId="161" fillId="44" borderId="17" xfId="0" applyNumberFormat="1" applyFont="1" applyFill="1" applyBorder="1"/>
    <xf numFmtId="170" fontId="178" fillId="44" borderId="17" xfId="0" applyNumberFormat="1" applyFont="1" applyFill="1" applyBorder="1"/>
    <xf numFmtId="0" fontId="161" fillId="46" borderId="17" xfId="0" applyFont="1" applyFill="1" applyBorder="1" applyAlignment="1">
      <alignment vertical="center" wrapText="1"/>
    </xf>
    <xf numFmtId="173" fontId="161" fillId="46" borderId="17" xfId="1216" applyNumberFormat="1" applyFont="1" applyFill="1" applyBorder="1" applyAlignment="1">
      <alignment horizontal="right" vertical="center"/>
    </xf>
    <xf numFmtId="0" fontId="161" fillId="2" borderId="95" xfId="1194" applyFont="1" applyFill="1" applyBorder="1" applyAlignment="1" applyProtection="1">
      <alignment vertical="center"/>
    </xf>
    <xf numFmtId="0" fontId="161" fillId="2" borderId="96" xfId="1194" applyFont="1" applyFill="1" applyBorder="1" applyAlignment="1" applyProtection="1">
      <alignment vertical="center"/>
    </xf>
    <xf numFmtId="0" fontId="161" fillId="46" borderId="17" xfId="1025" applyFont="1" applyFill="1" applyBorder="1" applyAlignment="1" applyProtection="1">
      <alignment horizontal="left" vertical="center" wrapText="1"/>
    </xf>
    <xf numFmtId="173" fontId="161" fillId="44" borderId="17" xfId="1216" applyNumberFormat="1" applyFont="1" applyFill="1" applyBorder="1" applyAlignment="1">
      <alignment horizontal="right"/>
    </xf>
    <xf numFmtId="170" fontId="257" fillId="46" borderId="17" xfId="0" applyNumberFormat="1" applyFont="1" applyFill="1" applyBorder="1" applyAlignment="1">
      <alignment horizontal="right" wrapText="1"/>
    </xf>
    <xf numFmtId="170" fontId="257" fillId="28" borderId="17" xfId="0" applyNumberFormat="1" applyFont="1" applyFill="1" applyBorder="1" applyAlignment="1">
      <alignment wrapText="1"/>
    </xf>
    <xf numFmtId="164" fontId="178" fillId="46" borderId="0" xfId="0" applyNumberFormat="1" applyFont="1" applyFill="1"/>
    <xf numFmtId="0" fontId="161" fillId="46" borderId="17" xfId="1178" applyFont="1" applyFill="1" applyBorder="1" applyAlignment="1" applyProtection="1">
      <alignment vertical="top" wrapText="1"/>
    </xf>
    <xf numFmtId="170" fontId="178" fillId="46" borderId="17" xfId="0" applyNumberFormat="1" applyFont="1" applyFill="1" applyBorder="1"/>
    <xf numFmtId="173" fontId="257" fillId="28" borderId="17" xfId="1216" applyNumberFormat="1" applyFont="1" applyFill="1" applyBorder="1" applyAlignment="1">
      <alignment horizontal="right"/>
    </xf>
    <xf numFmtId="170" fontId="257" fillId="46" borderId="17" xfId="0" applyNumberFormat="1" applyFont="1" applyFill="1" applyBorder="1"/>
    <xf numFmtId="170" fontId="261" fillId="49" borderId="17" xfId="0" applyNumberFormat="1" applyFont="1" applyFill="1" applyBorder="1"/>
    <xf numFmtId="0" fontId="161" fillId="2" borderId="97" xfId="1194" applyFont="1" applyFill="1" applyBorder="1" applyAlignment="1" applyProtection="1">
      <alignment horizontal="left" vertical="center"/>
    </xf>
    <xf numFmtId="0" fontId="161" fillId="2" borderId="98" xfId="1194" applyFont="1" applyFill="1" applyBorder="1" applyAlignment="1" applyProtection="1">
      <alignment horizontal="left" vertical="center"/>
    </xf>
    <xf numFmtId="0" fontId="161" fillId="2" borderId="99" xfId="1194" applyFont="1" applyFill="1" applyBorder="1" applyAlignment="1" applyProtection="1">
      <alignment horizontal="left" vertical="center"/>
    </xf>
    <xf numFmtId="0" fontId="161" fillId="2" borderId="100" xfId="1194" applyFont="1" applyFill="1" applyBorder="1" applyAlignment="1" applyProtection="1">
      <alignment horizontal="left" vertical="center"/>
    </xf>
    <xf numFmtId="168" fontId="259" fillId="48" borderId="11" xfId="0" applyNumberFormat="1" applyFont="1" applyFill="1" applyBorder="1" applyAlignment="1">
      <alignment vertical="center" wrapText="1"/>
    </xf>
    <xf numFmtId="164" fontId="259" fillId="48" borderId="11" xfId="0" applyNumberFormat="1" applyFont="1" applyFill="1" applyBorder="1"/>
    <xf numFmtId="0" fontId="161" fillId="2" borderId="101" xfId="1194" applyFont="1" applyFill="1" applyBorder="1" applyAlignment="1" applyProtection="1">
      <alignment horizontal="left" vertical="center"/>
    </xf>
    <xf numFmtId="0" fontId="178" fillId="46" borderId="0" xfId="0" applyFont="1" applyFill="1" applyBorder="1" applyAlignment="1">
      <alignment vertical="center" wrapText="1"/>
    </xf>
    <xf numFmtId="0" fontId="161" fillId="46" borderId="0" xfId="0" applyFont="1" applyFill="1" applyBorder="1" applyAlignment="1">
      <alignment horizontal="left" vertical="center" wrapText="1"/>
    </xf>
    <xf numFmtId="0" fontId="161" fillId="46" borderId="0" xfId="0" applyFont="1" applyFill="1" applyBorder="1" applyAlignment="1">
      <alignment horizontal="center" vertical="center" wrapText="1"/>
    </xf>
    <xf numFmtId="0" fontId="58" fillId="0" borderId="0" xfId="1206" applyFont="1"/>
    <xf numFmtId="4" fontId="8" fillId="44" borderId="17" xfId="1206" applyNumberFormat="1" applyFont="1" applyFill="1" applyBorder="1" applyAlignment="1">
      <alignment horizontal="center" wrapText="1"/>
    </xf>
    <xf numFmtId="3" fontId="9" fillId="44" borderId="17" xfId="1206" applyNumberFormat="1" applyFont="1" applyFill="1" applyBorder="1" applyAlignment="1">
      <alignment horizontal="center" wrapText="1"/>
    </xf>
    <xf numFmtId="0" fontId="11" fillId="44" borderId="0" xfId="1206" applyFont="1" applyFill="1"/>
    <xf numFmtId="0" fontId="296" fillId="48" borderId="0" xfId="1206" applyFill="1"/>
    <xf numFmtId="4" fontId="9" fillId="48" borderId="17" xfId="1206" applyNumberFormat="1" applyFont="1" applyFill="1" applyBorder="1" applyAlignment="1">
      <alignment horizontal="center" wrapText="1"/>
    </xf>
    <xf numFmtId="3" fontId="85" fillId="49" borderId="17" xfId="1206" applyNumberFormat="1" applyFont="1" applyFill="1" applyBorder="1" applyAlignment="1">
      <alignment horizontal="center" wrapText="1"/>
    </xf>
    <xf numFmtId="0" fontId="178" fillId="46" borderId="0" xfId="1181" applyFont="1" applyFill="1" applyAlignment="1"/>
    <xf numFmtId="168" fontId="178" fillId="46" borderId="0" xfId="1181" applyNumberFormat="1" applyFont="1" applyFill="1"/>
    <xf numFmtId="0" fontId="178" fillId="46" borderId="0" xfId="1181" applyFont="1" applyFill="1"/>
    <xf numFmtId="0" fontId="262" fillId="48" borderId="0" xfId="1181" applyFont="1" applyFill="1"/>
    <xf numFmtId="0" fontId="178" fillId="0" borderId="0" xfId="1181" applyFont="1"/>
    <xf numFmtId="168" fontId="178" fillId="46" borderId="0" xfId="1181" applyNumberFormat="1" applyFont="1" applyFill="1" applyAlignment="1">
      <alignment horizontal="right"/>
    </xf>
    <xf numFmtId="168" fontId="262" fillId="48" borderId="0" xfId="1181" applyNumberFormat="1" applyFont="1" applyFill="1" applyAlignment="1">
      <alignment horizontal="right"/>
    </xf>
    <xf numFmtId="170" fontId="257" fillId="44" borderId="17" xfId="0" applyNumberFormat="1" applyFont="1" applyFill="1" applyBorder="1"/>
    <xf numFmtId="3" fontId="257" fillId="44" borderId="11" xfId="1318" applyNumberFormat="1" applyFont="1" applyFill="1" applyBorder="1" applyAlignment="1" applyProtection="1">
      <alignment horizontal="right" vertical="center"/>
      <protection locked="0"/>
    </xf>
    <xf numFmtId="168" fontId="259" fillId="29" borderId="11" xfId="0" applyNumberFormat="1" applyFont="1" applyFill="1" applyBorder="1"/>
    <xf numFmtId="173" fontId="263" fillId="44" borderId="17" xfId="1216" applyNumberFormat="1" applyFont="1" applyFill="1" applyBorder="1" applyAlignment="1">
      <alignment horizontal="right" wrapText="1"/>
    </xf>
    <xf numFmtId="170" fontId="257" fillId="46" borderId="17" xfId="0" applyNumberFormat="1" applyFont="1" applyFill="1" applyBorder="1" applyAlignment="1">
      <alignment vertical="center" wrapText="1"/>
    </xf>
    <xf numFmtId="10" fontId="9" fillId="0" borderId="0" xfId="0" applyNumberFormat="1" applyFont="1"/>
    <xf numFmtId="0" fontId="177" fillId="46" borderId="0" xfId="0" applyFont="1" applyFill="1" applyAlignment="1">
      <alignment horizontal="centerContinuous"/>
    </xf>
    <xf numFmtId="170" fontId="257" fillId="49" borderId="17" xfId="0" applyNumberFormat="1" applyFont="1" applyFill="1" applyBorder="1"/>
    <xf numFmtId="10" fontId="178" fillId="46" borderId="0" xfId="0" applyNumberFormat="1" applyFont="1" applyFill="1"/>
    <xf numFmtId="1" fontId="77" fillId="0" borderId="17" xfId="0" applyNumberFormat="1" applyFont="1" applyBorder="1" applyAlignment="1">
      <alignment vertical="center" wrapText="1"/>
    </xf>
    <xf numFmtId="3" fontId="77" fillId="0" borderId="17" xfId="0" applyNumberFormat="1" applyFont="1" applyBorder="1" applyAlignment="1">
      <alignment vertical="center" wrapText="1"/>
    </xf>
    <xf numFmtId="0" fontId="0" fillId="0" borderId="20" xfId="0" applyBorder="1" applyAlignment="1">
      <alignment horizontal="center" vertical="center" wrapText="1"/>
    </xf>
    <xf numFmtId="164" fontId="9" fillId="0" borderId="25" xfId="0" applyNumberFormat="1" applyFont="1" applyBorder="1" applyAlignment="1">
      <alignment wrapText="1"/>
    </xf>
    <xf numFmtId="0" fontId="11" fillId="0" borderId="17" xfId="0" applyFont="1" applyBorder="1"/>
    <xf numFmtId="0" fontId="58" fillId="0" borderId="0" xfId="0" applyFont="1" applyAlignment="1">
      <alignment horizontal="centerContinuous" wrapText="1"/>
    </xf>
    <xf numFmtId="0" fontId="98" fillId="0" borderId="17" xfId="0" applyFont="1" applyBorder="1"/>
    <xf numFmtId="170" fontId="11" fillId="0" borderId="17" xfId="0" applyNumberFormat="1" applyFont="1" applyBorder="1"/>
    <xf numFmtId="0" fontId="0" fillId="0" borderId="17" xfId="0" applyBorder="1"/>
    <xf numFmtId="0" fontId="55" fillId="0" borderId="0" xfId="0" applyFont="1" applyAlignment="1">
      <alignment horizontal="centerContinuous"/>
    </xf>
    <xf numFmtId="0" fontId="0" fillId="0" borderId="17" xfId="0" applyBorder="1" applyAlignment="1">
      <alignment horizontal="right"/>
    </xf>
    <xf numFmtId="0" fontId="58" fillId="28" borderId="17" xfId="0" applyFont="1" applyFill="1" applyBorder="1" applyAlignment="1">
      <alignment horizontal="right" vertical="center"/>
    </xf>
    <xf numFmtId="3" fontId="87" fillId="0" borderId="0" xfId="0" applyNumberFormat="1" applyFont="1" applyAlignment="1">
      <alignment horizontal="center" wrapText="1"/>
    </xf>
    <xf numFmtId="0" fontId="106" fillId="0" borderId="0" xfId="0" applyFont="1"/>
    <xf numFmtId="0" fontId="87" fillId="0" borderId="0" xfId="0" applyFont="1" applyAlignment="1">
      <alignment horizontal="center" wrapText="1"/>
    </xf>
    <xf numFmtId="0" fontId="106" fillId="0" borderId="17" xfId="0" applyFont="1" applyBorder="1" applyAlignment="1">
      <alignment horizontal="center" vertical="top" wrapText="1"/>
    </xf>
    <xf numFmtId="0" fontId="60" fillId="46" borderId="17" xfId="0" applyFont="1" applyFill="1" applyBorder="1" applyAlignment="1">
      <alignment horizontal="left" wrapText="1"/>
    </xf>
    <xf numFmtId="4" fontId="60" fillId="46" borderId="17" xfId="0" applyNumberFormat="1" applyFont="1" applyFill="1" applyBorder="1" applyAlignment="1">
      <alignment horizontal="right"/>
    </xf>
    <xf numFmtId="2" fontId="60" fillId="0" borderId="0" xfId="0" applyNumberFormat="1" applyFont="1"/>
    <xf numFmtId="4" fontId="87" fillId="0" borderId="0" xfId="0" applyNumberFormat="1" applyFont="1" applyAlignment="1">
      <alignment horizontal="center" wrapText="1"/>
    </xf>
    <xf numFmtId="4" fontId="106" fillId="0" borderId="0" xfId="0" applyNumberFormat="1" applyFont="1" applyAlignment="1">
      <alignment horizontal="center" wrapText="1"/>
    </xf>
    <xf numFmtId="0" fontId="14" fillId="46" borderId="17" xfId="0" applyFont="1" applyFill="1" applyBorder="1" applyAlignment="1">
      <alignment horizontal="left" wrapText="1"/>
    </xf>
    <xf numFmtId="4" fontId="14" fillId="46" borderId="17" xfId="0" applyNumberFormat="1" applyFont="1" applyFill="1" applyBorder="1" applyAlignment="1">
      <alignment horizontal="right"/>
    </xf>
    <xf numFmtId="4" fontId="14" fillId="46" borderId="17" xfId="0" applyNumberFormat="1" applyFont="1" applyFill="1" applyBorder="1"/>
    <xf numFmtId="0" fontId="14" fillId="0" borderId="0" xfId="0" applyFont="1"/>
    <xf numFmtId="4" fontId="244" fillId="0" borderId="0" xfId="0" applyNumberFormat="1" applyFont="1" applyAlignment="1">
      <alignment horizontal="center" wrapText="1"/>
    </xf>
    <xf numFmtId="0" fontId="244" fillId="0" borderId="0" xfId="0" applyFont="1"/>
    <xf numFmtId="2" fontId="87" fillId="0" borderId="0" xfId="0" applyNumberFormat="1" applyFont="1"/>
    <xf numFmtId="0" fontId="14" fillId="46" borderId="17" xfId="0" applyFont="1" applyFill="1" applyBorder="1" applyAlignment="1">
      <alignment wrapText="1"/>
    </xf>
    <xf numFmtId="194" fontId="14" fillId="46" borderId="17" xfId="1216" applyNumberFormat="1" applyFont="1" applyFill="1" applyBorder="1" applyAlignment="1">
      <alignment horizontal="right" wrapText="1"/>
    </xf>
    <xf numFmtId="173" fontId="14" fillId="46" borderId="17" xfId="1216" applyNumberFormat="1" applyFont="1" applyFill="1" applyBorder="1" applyAlignment="1">
      <alignment horizontal="right" wrapText="1"/>
    </xf>
    <xf numFmtId="0" fontId="14" fillId="46" borderId="17" xfId="0" applyFont="1" applyFill="1" applyBorder="1"/>
    <xf numFmtId="4" fontId="14" fillId="0" borderId="0" xfId="0" applyNumberFormat="1" applyFont="1" applyAlignment="1">
      <alignment horizontal="center" wrapText="1"/>
    </xf>
    <xf numFmtId="3" fontId="14" fillId="0" borderId="0" xfId="0" applyNumberFormat="1" applyFont="1" applyAlignment="1">
      <alignment horizontal="center" wrapText="1"/>
    </xf>
    <xf numFmtId="2" fontId="58" fillId="0" borderId="0" xfId="0" applyNumberFormat="1" applyFont="1" applyBorder="1"/>
    <xf numFmtId="170" fontId="58" fillId="0" borderId="0" xfId="0" applyNumberFormat="1" applyFont="1"/>
    <xf numFmtId="3" fontId="8" fillId="0" borderId="0" xfId="0" applyNumberFormat="1" applyFont="1" applyAlignment="1">
      <alignment horizontal="center" wrapText="1"/>
    </xf>
    <xf numFmtId="0" fontId="105" fillId="0" borderId="0" xfId="0" applyFont="1"/>
    <xf numFmtId="0" fontId="8" fillId="0" borderId="0" xfId="0" applyFont="1" applyAlignment="1">
      <alignment horizontal="center" wrapText="1"/>
    </xf>
    <xf numFmtId="2" fontId="8" fillId="0" borderId="0" xfId="0" applyNumberFormat="1" applyFont="1" applyAlignment="1">
      <alignment horizontal="center" wrapText="1"/>
    </xf>
    <xf numFmtId="0" fontId="60" fillId="0" borderId="17" xfId="0" applyFont="1" applyBorder="1"/>
    <xf numFmtId="4" fontId="60" fillId="0" borderId="17" xfId="0" applyNumberFormat="1" applyFont="1" applyBorder="1"/>
    <xf numFmtId="0" fontId="11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top"/>
    </xf>
    <xf numFmtId="10" fontId="0" fillId="0" borderId="0" xfId="0" applyNumberFormat="1"/>
    <xf numFmtId="167" fontId="122" fillId="46" borderId="11" xfId="0" applyNumberFormat="1" applyFont="1" applyFill="1" applyBorder="1"/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center" wrapText="1"/>
    </xf>
    <xf numFmtId="0" fontId="190" fillId="0" borderId="0" xfId="0" applyFont="1" applyAlignment="1">
      <alignment horizontal="center" wrapText="1"/>
    </xf>
    <xf numFmtId="0" fontId="0" fillId="0" borderId="0" xfId="0" applyAlignment="1">
      <alignment horizontal="left" wrapText="1"/>
    </xf>
    <xf numFmtId="0" fontId="0" fillId="0" borderId="24" xfId="0" applyBorder="1" applyAlignment="1">
      <alignment horizontal="left" wrapText="1"/>
    </xf>
    <xf numFmtId="0" fontId="150" fillId="0" borderId="24" xfId="0" applyFont="1" applyBorder="1" applyAlignment="1">
      <alignment horizontal="center" wrapText="1"/>
    </xf>
    <xf numFmtId="0" fontId="0" fillId="0" borderId="24" xfId="0" applyBorder="1" applyAlignment="1">
      <alignment horizontal="right" wrapText="1"/>
    </xf>
    <xf numFmtId="0" fontId="129" fillId="46" borderId="17" xfId="1214" applyFont="1" applyFill="1" applyBorder="1" applyAlignment="1" applyProtection="1">
      <alignment horizontal="left" vertical="center" wrapText="1"/>
    </xf>
    <xf numFmtId="0" fontId="292" fillId="0" borderId="0" xfId="0" applyFont="1" applyAlignment="1">
      <alignment horizontal="center" vertical="top" wrapText="1"/>
    </xf>
    <xf numFmtId="0" fontId="27" fillId="0" borderId="17" xfId="0" applyFont="1" applyBorder="1" applyAlignment="1">
      <alignment horizontal="center" wrapText="1"/>
    </xf>
    <xf numFmtId="0" fontId="149" fillId="0" borderId="17" xfId="0" applyFont="1" applyBorder="1" applyAlignment="1">
      <alignment horizontal="left" vertical="center" wrapText="1"/>
    </xf>
    <xf numFmtId="0" fontId="149" fillId="0" borderId="17" xfId="0" applyFont="1" applyBorder="1" applyAlignment="1">
      <alignment vertical="center" wrapText="1"/>
    </xf>
    <xf numFmtId="0" fontId="128" fillId="0" borderId="17" xfId="1178" applyFont="1" applyFill="1" applyBorder="1" applyAlignment="1" applyProtection="1">
      <alignment horizontal="center" vertical="center" wrapText="1"/>
    </xf>
    <xf numFmtId="0" fontId="77" fillId="48" borderId="17" xfId="0" applyFont="1" applyFill="1" applyBorder="1" applyAlignment="1">
      <alignment vertical="center" wrapText="1"/>
    </xf>
    <xf numFmtId="0" fontId="153" fillId="0" borderId="17" xfId="1178" applyFont="1" applyFill="1" applyBorder="1" applyAlignment="1" applyProtection="1">
      <alignment horizontal="center" vertical="center" wrapText="1"/>
    </xf>
    <xf numFmtId="0" fontId="77" fillId="0" borderId="17" xfId="0" applyFont="1" applyBorder="1" applyAlignment="1">
      <alignment horizontal="left" vertical="center" wrapText="1"/>
    </xf>
    <xf numFmtId="0" fontId="128" fillId="0" borderId="17" xfId="1178" applyFont="1" applyFill="1" applyBorder="1" applyAlignment="1" applyProtection="1">
      <alignment vertical="center" wrapText="1"/>
    </xf>
    <xf numFmtId="0" fontId="0" fillId="0" borderId="17" xfId="0" applyFont="1" applyBorder="1" applyAlignment="1">
      <alignment horizontal="right" vertical="distributed" wrapText="1"/>
    </xf>
    <xf numFmtId="0" fontId="129" fillId="0" borderId="17" xfId="1178" applyFont="1" applyFill="1" applyBorder="1" applyAlignment="1" applyProtection="1">
      <alignment horizontal="left" vertical="center" wrapText="1"/>
    </xf>
    <xf numFmtId="0" fontId="129" fillId="0" borderId="17" xfId="1178" applyFont="1" applyFill="1" applyBorder="1" applyAlignment="1" applyProtection="1">
      <alignment horizontal="center" vertical="center" wrapText="1"/>
    </xf>
    <xf numFmtId="0" fontId="0" fillId="48" borderId="17" xfId="0" applyFont="1" applyFill="1" applyBorder="1" applyAlignment="1">
      <alignment vertical="center" wrapText="1"/>
    </xf>
    <xf numFmtId="0" fontId="150" fillId="0" borderId="17" xfId="0" applyFont="1" applyBorder="1" applyAlignment="1">
      <alignment horizontal="right" vertical="center" wrapText="1"/>
    </xf>
    <xf numFmtId="0" fontId="154" fillId="0" borderId="17" xfId="1178" applyFont="1" applyFill="1" applyBorder="1" applyAlignment="1" applyProtection="1">
      <alignment horizontal="left" vertical="center" wrapText="1"/>
    </xf>
    <xf numFmtId="0" fontId="0" fillId="48" borderId="17" xfId="0" applyFont="1" applyFill="1" applyBorder="1" applyAlignment="1">
      <alignment horizontal="right" vertical="center" wrapText="1"/>
    </xf>
    <xf numFmtId="3" fontId="154" fillId="0" borderId="17" xfId="1178" applyNumberFormat="1" applyFont="1" applyFill="1" applyBorder="1" applyAlignment="1" applyProtection="1">
      <alignment horizontal="left" vertical="center" wrapText="1"/>
    </xf>
    <xf numFmtId="0" fontId="128" fillId="0" borderId="17" xfId="1178" applyFont="1" applyFill="1" applyBorder="1" applyAlignment="1" applyProtection="1">
      <alignment horizontal="left" vertical="center" wrapText="1"/>
    </xf>
    <xf numFmtId="0" fontId="77" fillId="48" borderId="17" xfId="0" applyFont="1" applyFill="1" applyBorder="1" applyAlignment="1">
      <alignment wrapText="1"/>
    </xf>
    <xf numFmtId="0" fontId="0" fillId="0" borderId="17" xfId="0" applyFont="1" applyBorder="1" applyAlignment="1">
      <alignment wrapText="1"/>
    </xf>
    <xf numFmtId="0" fontId="128" fillId="0" borderId="17" xfId="1025" applyFont="1" applyFill="1" applyBorder="1" applyAlignment="1" applyProtection="1">
      <alignment horizontal="left" vertical="center" wrapText="1"/>
    </xf>
    <xf numFmtId="0" fontId="128" fillId="0" borderId="17" xfId="1178" applyFont="1" applyFill="1" applyBorder="1" applyAlignment="1" applyProtection="1">
      <alignment vertical="top" wrapText="1"/>
    </xf>
    <xf numFmtId="0" fontId="293" fillId="0" borderId="17" xfId="1212" applyFont="1" applyFill="1" applyBorder="1" applyAlignment="1">
      <alignment horizontal="left" vertical="center" wrapText="1"/>
    </xf>
    <xf numFmtId="0" fontId="0" fillId="0" borderId="17" xfId="0" applyFont="1" applyBorder="1" applyAlignment="1">
      <alignment horizontal="center" wrapText="1"/>
    </xf>
    <xf numFmtId="0" fontId="0" fillId="0" borderId="17" xfId="0" applyFont="1" applyBorder="1" applyAlignment="1">
      <alignment vertical="center" wrapText="1"/>
    </xf>
    <xf numFmtId="0" fontId="294" fillId="0" borderId="17" xfId="0" applyFont="1" applyBorder="1" applyAlignment="1">
      <alignment horizontal="left" wrapText="1"/>
    </xf>
    <xf numFmtId="0" fontId="77" fillId="0" borderId="17" xfId="0" applyFont="1" applyFill="1" applyBorder="1" applyAlignment="1">
      <alignment horizontal="left" vertical="center" wrapText="1"/>
    </xf>
    <xf numFmtId="0" fontId="0" fillId="0" borderId="17" xfId="0" applyFont="1" applyBorder="1" applyAlignment="1">
      <alignment horizontal="center" vertical="center" wrapText="1"/>
    </xf>
    <xf numFmtId="0" fontId="77" fillId="0" borderId="17" xfId="0" applyFont="1" applyBorder="1" applyAlignment="1">
      <alignment horizontal="center" vertical="center" wrapText="1"/>
    </xf>
    <xf numFmtId="0" fontId="294" fillId="0" borderId="17" xfId="0" applyFont="1" applyBorder="1" applyAlignment="1">
      <alignment wrapText="1"/>
    </xf>
    <xf numFmtId="0" fontId="128" fillId="46" borderId="17" xfId="1214" applyFont="1" applyFill="1" applyBorder="1" applyAlignment="1" applyProtection="1">
      <alignment horizontal="left" vertical="center" wrapText="1"/>
    </xf>
    <xf numFmtId="0" fontId="0" fillId="0" borderId="17" xfId="0" applyFont="1" applyBorder="1" applyAlignment="1">
      <alignment horizontal="left" wrapText="1"/>
    </xf>
    <xf numFmtId="0" fontId="0" fillId="48" borderId="17" xfId="0" applyFont="1" applyFill="1" applyBorder="1" applyAlignment="1">
      <alignment wrapText="1"/>
    </xf>
    <xf numFmtId="0" fontId="77" fillId="0" borderId="17" xfId="0" applyFont="1" applyBorder="1" applyAlignment="1">
      <alignment horizontal="center" vertical="top" wrapText="1"/>
    </xf>
    <xf numFmtId="0" fontId="177" fillId="0" borderId="0" xfId="0" applyFont="1" applyAlignment="1">
      <alignment horizontal="centerContinuous" wrapText="1"/>
    </xf>
    <xf numFmtId="0" fontId="295" fillId="0" borderId="0" xfId="0" applyFont="1" applyAlignment="1">
      <alignment horizontal="centerContinuous" wrapText="1"/>
    </xf>
    <xf numFmtId="2" fontId="122" fillId="29" borderId="11" xfId="0" applyNumberFormat="1" applyFont="1" applyFill="1" applyBorder="1"/>
    <xf numFmtId="167" fontId="122" fillId="29" borderId="11" xfId="0" applyNumberFormat="1" applyFont="1" applyFill="1" applyBorder="1"/>
    <xf numFmtId="0" fontId="161" fillId="46" borderId="0" xfId="0" applyFont="1" applyFill="1"/>
    <xf numFmtId="0" fontId="161" fillId="46" borderId="17" xfId="1179" applyFont="1" applyFill="1" applyBorder="1" applyAlignment="1" applyProtection="1">
      <alignment horizontal="center" vertical="center" wrapText="1"/>
    </xf>
    <xf numFmtId="0" fontId="161" fillId="46" borderId="0" xfId="0" applyFont="1" applyFill="1" applyBorder="1" applyAlignment="1">
      <alignment vertical="center" wrapText="1"/>
    </xf>
    <xf numFmtId="0" fontId="161" fillId="46" borderId="0" xfId="1179" applyFont="1" applyFill="1" applyBorder="1" applyAlignment="1" applyProtection="1">
      <alignment horizontal="center" vertical="center" wrapText="1"/>
    </xf>
    <xf numFmtId="170" fontId="161" fillId="46" borderId="0" xfId="0" applyNumberFormat="1" applyFont="1" applyFill="1" applyBorder="1" applyAlignment="1">
      <alignment vertical="center" wrapText="1"/>
    </xf>
    <xf numFmtId="0" fontId="178" fillId="46" borderId="0" xfId="0" applyFont="1" applyFill="1" applyBorder="1"/>
    <xf numFmtId="0" fontId="178" fillId="46" borderId="0" xfId="0" applyFont="1" applyFill="1" applyBorder="1" applyAlignment="1">
      <alignment horizontal="left" vertical="center"/>
    </xf>
    <xf numFmtId="0" fontId="46" fillId="2" borderId="91" xfId="1195" applyFont="1" applyFill="1" applyBorder="1" applyAlignment="1" applyProtection="1">
      <alignment vertical="center"/>
    </xf>
    <xf numFmtId="0" fontId="178" fillId="46" borderId="0" xfId="1195" applyFont="1" applyFill="1" applyBorder="1" applyAlignment="1" applyProtection="1">
      <alignment horizontal="center" vertical="center"/>
    </xf>
    <xf numFmtId="0" fontId="178" fillId="0" borderId="92" xfId="1195" applyFont="1" applyBorder="1" applyAlignment="1" applyProtection="1">
      <alignment horizontal="center" vertical="top" wrapText="1"/>
    </xf>
    <xf numFmtId="0" fontId="161" fillId="2" borderId="91" xfId="1195" applyFont="1" applyFill="1" applyBorder="1" applyAlignment="1" applyProtection="1">
      <alignment vertical="center"/>
    </xf>
    <xf numFmtId="0" fontId="178" fillId="0" borderId="92" xfId="1195" applyFont="1" applyBorder="1" applyAlignment="1" applyProtection="1">
      <alignment horizontal="center" vertical="center" wrapText="1"/>
    </xf>
    <xf numFmtId="0" fontId="161" fillId="46" borderId="17" xfId="1179" applyFont="1" applyFill="1" applyBorder="1" applyAlignment="1" applyProtection="1">
      <alignment vertical="center" wrapText="1"/>
    </xf>
    <xf numFmtId="10" fontId="122" fillId="29" borderId="11" xfId="0" applyNumberFormat="1" applyFont="1" applyFill="1" applyBorder="1"/>
    <xf numFmtId="0" fontId="178" fillId="29" borderId="11" xfId="1195" applyFont="1" applyFill="1" applyBorder="1" applyAlignment="1" applyProtection="1">
      <alignment horizontal="center" vertical="center" wrapText="1"/>
    </xf>
    <xf numFmtId="2" fontId="178" fillId="29" borderId="11" xfId="1319" applyNumberFormat="1" applyFont="1" applyFill="1" applyBorder="1" applyAlignment="1" applyProtection="1">
      <alignment horizontal="right" vertical="center"/>
      <protection locked="0"/>
    </xf>
    <xf numFmtId="4" fontId="178" fillId="29" borderId="11" xfId="1319" applyNumberFormat="1" applyFont="1" applyFill="1" applyBorder="1" applyAlignment="1" applyProtection="1">
      <alignment horizontal="right" vertical="center"/>
      <protection locked="0"/>
    </xf>
    <xf numFmtId="49" fontId="178" fillId="29" borderId="12" xfId="1195" applyNumberFormat="1" applyFont="1" applyFill="1" applyBorder="1" applyAlignment="1" applyProtection="1">
      <alignment horizontal="center" vertical="center"/>
    </xf>
    <xf numFmtId="0" fontId="178" fillId="29" borderId="11" xfId="1195" applyFont="1" applyFill="1" applyBorder="1" applyAlignment="1" applyProtection="1">
      <alignment horizontal="left" vertical="center" wrapText="1"/>
    </xf>
    <xf numFmtId="0" fontId="178" fillId="29" borderId="11" xfId="1195" applyFont="1" applyFill="1" applyBorder="1" applyAlignment="1" applyProtection="1">
      <alignment horizontal="center" wrapText="1"/>
    </xf>
    <xf numFmtId="4" fontId="122" fillId="29" borderId="11" xfId="0" applyNumberFormat="1" applyFont="1" applyFill="1" applyBorder="1"/>
    <xf numFmtId="170" fontId="122" fillId="29" borderId="11" xfId="0" applyNumberFormat="1" applyFont="1" applyFill="1" applyBorder="1"/>
    <xf numFmtId="0" fontId="178" fillId="48" borderId="0" xfId="0" applyFont="1" applyFill="1"/>
    <xf numFmtId="0" fontId="161" fillId="2" borderId="95" xfId="1195" applyFont="1" applyFill="1" applyBorder="1" applyAlignment="1" applyProtection="1">
      <alignment vertical="center"/>
    </xf>
    <xf numFmtId="0" fontId="161" fillId="2" borderId="97" xfId="1195" applyFont="1" applyFill="1" applyBorder="1" applyAlignment="1" applyProtection="1">
      <alignment horizontal="left" vertical="center"/>
    </xf>
    <xf numFmtId="0" fontId="161" fillId="2" borderId="98" xfId="1195" applyFont="1" applyFill="1" applyBorder="1" applyAlignment="1" applyProtection="1">
      <alignment horizontal="left" vertical="center"/>
    </xf>
    <xf numFmtId="0" fontId="277" fillId="0" borderId="0" xfId="0" applyFont="1" applyFill="1"/>
    <xf numFmtId="0" fontId="58" fillId="0" borderId="0" xfId="1181" applyFont="1"/>
    <xf numFmtId="0" fontId="11" fillId="0" borderId="0" xfId="1176" applyFont="1"/>
    <xf numFmtId="0" fontId="11" fillId="0" borderId="0" xfId="1176" applyFont="1" applyAlignment="1">
      <alignment horizontal="justify"/>
    </xf>
    <xf numFmtId="0" fontId="11" fillId="0" borderId="0" xfId="1176" applyFont="1" applyAlignment="1">
      <alignment horizontal="center"/>
    </xf>
    <xf numFmtId="0" fontId="178" fillId="0" borderId="0" xfId="0" applyFont="1"/>
    <xf numFmtId="0" fontId="178" fillId="0" borderId="0" xfId="0" applyFont="1" applyAlignment="1">
      <alignment horizontal="right"/>
    </xf>
    <xf numFmtId="0" fontId="178" fillId="0" borderId="0" xfId="0" applyFont="1" applyAlignment="1">
      <alignment horizontal="justify"/>
    </xf>
    <xf numFmtId="0" fontId="178" fillId="0" borderId="0" xfId="0" applyFont="1" applyAlignment="1">
      <alignment horizontal="center"/>
    </xf>
    <xf numFmtId="0" fontId="178" fillId="0" borderId="17" xfId="0" applyNumberFormat="1" applyFont="1" applyBorder="1" applyAlignment="1">
      <alignment horizontal="center" vertical="center" wrapText="1"/>
    </xf>
    <xf numFmtId="0" fontId="178" fillId="0" borderId="17" xfId="0" applyNumberFormat="1" applyFont="1" applyFill="1" applyBorder="1" applyAlignment="1">
      <alignment horizontal="center" vertical="center" wrapText="1"/>
    </xf>
    <xf numFmtId="0" fontId="178" fillId="0" borderId="17" xfId="0" applyNumberFormat="1" applyFont="1" applyBorder="1" applyAlignment="1">
      <alignment horizontal="center" wrapText="1"/>
    </xf>
    <xf numFmtId="0" fontId="178" fillId="0" borderId="17" xfId="0" applyNumberFormat="1" applyFont="1" applyBorder="1" applyAlignment="1">
      <alignment horizontal="center"/>
    </xf>
    <xf numFmtId="0" fontId="178" fillId="0" borderId="17" xfId="0" applyNumberFormat="1" applyFont="1" applyFill="1" applyBorder="1" applyAlignment="1">
      <alignment horizontal="center" wrapText="1"/>
    </xf>
    <xf numFmtId="0" fontId="178" fillId="0" borderId="17" xfId="0" applyNumberFormat="1" applyFont="1" applyFill="1" applyBorder="1" applyAlignment="1">
      <alignment horizontal="center"/>
    </xf>
    <xf numFmtId="0" fontId="178" fillId="0" borderId="17" xfId="0" applyFont="1" applyBorder="1" applyAlignment="1">
      <alignment horizontal="center"/>
    </xf>
    <xf numFmtId="0" fontId="178" fillId="0" borderId="17" xfId="0" applyFont="1" applyBorder="1" applyAlignment="1">
      <alignment horizontal="justify"/>
    </xf>
    <xf numFmtId="0" fontId="178" fillId="0" borderId="17" xfId="0" applyFont="1" applyBorder="1" applyAlignment="1">
      <alignment wrapText="1"/>
    </xf>
    <xf numFmtId="0" fontId="178" fillId="0" borderId="17" xfId="0" applyNumberFormat="1" applyFont="1" applyBorder="1" applyAlignment="1">
      <alignment wrapText="1"/>
    </xf>
    <xf numFmtId="0" fontId="178" fillId="0" borderId="17" xfId="0" applyNumberFormat="1" applyFont="1" applyBorder="1" applyAlignment="1"/>
    <xf numFmtId="0" fontId="178" fillId="0" borderId="17" xfId="0" applyNumberFormat="1" applyFont="1" applyFill="1" applyBorder="1" applyAlignment="1">
      <alignment wrapText="1"/>
    </xf>
    <xf numFmtId="0" fontId="178" fillId="0" borderId="17" xfId="0" applyNumberFormat="1" applyFont="1" applyFill="1" applyBorder="1" applyAlignment="1"/>
    <xf numFmtId="0" fontId="178" fillId="0" borderId="17" xfId="0" applyFont="1" applyBorder="1"/>
    <xf numFmtId="0" fontId="178" fillId="0" borderId="17" xfId="0" applyFont="1" applyBorder="1" applyAlignment="1">
      <alignment horizontal="left" wrapText="1"/>
    </xf>
    <xf numFmtId="169" fontId="178" fillId="0" borderId="17" xfId="0" applyNumberFormat="1" applyFont="1" applyBorder="1" applyAlignment="1">
      <alignment horizontal="center"/>
    </xf>
    <xf numFmtId="4" fontId="178" fillId="0" borderId="17" xfId="0" applyNumberFormat="1" applyFont="1" applyBorder="1" applyAlignment="1">
      <alignment horizontal="center"/>
    </xf>
    <xf numFmtId="169" fontId="178" fillId="0" borderId="17" xfId="0" applyNumberFormat="1" applyFont="1" applyFill="1" applyBorder="1" applyAlignment="1">
      <alignment horizontal="center"/>
    </xf>
    <xf numFmtId="4" fontId="179" fillId="0" borderId="17" xfId="1211" applyNumberFormat="1" applyFont="1" applyFill="1" applyBorder="1" applyAlignment="1">
      <alignment horizontal="center"/>
    </xf>
    <xf numFmtId="169" fontId="179" fillId="0" borderId="17" xfId="1211" applyNumberFormat="1" applyFont="1" applyFill="1" applyBorder="1" applyAlignment="1">
      <alignment horizontal="center"/>
    </xf>
    <xf numFmtId="4" fontId="178" fillId="0" borderId="17" xfId="0" applyNumberFormat="1" applyFont="1" applyFill="1" applyBorder="1" applyAlignment="1">
      <alignment horizontal="center"/>
    </xf>
    <xf numFmtId="170" fontId="178" fillId="0" borderId="17" xfId="0" applyNumberFormat="1" applyFont="1" applyFill="1" applyBorder="1" applyAlignment="1">
      <alignment horizontal="center"/>
    </xf>
    <xf numFmtId="0" fontId="157" fillId="54" borderId="0" xfId="1183" applyFont="1" applyFill="1" applyAlignment="1">
      <alignment vertical="center" wrapText="1"/>
    </xf>
    <xf numFmtId="0" fontId="19" fillId="54" borderId="0" xfId="1183" applyFont="1" applyFill="1"/>
    <xf numFmtId="0" fontId="157" fillId="54" borderId="0" xfId="1183" applyFont="1" applyFill="1" applyAlignment="1">
      <alignment horizontal="center" wrapText="1"/>
    </xf>
    <xf numFmtId="0" fontId="159" fillId="54" borderId="0" xfId="1183" applyFont="1" applyFill="1" applyBorder="1" applyAlignment="1">
      <alignment vertical="center" wrapText="1"/>
    </xf>
    <xf numFmtId="0" fontId="158" fillId="54" borderId="67" xfId="1183" applyFont="1" applyFill="1" applyBorder="1" applyAlignment="1">
      <alignment horizontal="center" vertical="center"/>
    </xf>
    <xf numFmtId="0" fontId="158" fillId="54" borderId="80" xfId="1183" applyFont="1" applyFill="1" applyBorder="1" applyAlignment="1">
      <alignment horizontal="center" vertical="center"/>
    </xf>
    <xf numFmtId="0" fontId="160" fillId="54" borderId="0" xfId="1183" applyFont="1" applyFill="1" applyBorder="1" applyAlignment="1">
      <alignment vertical="center"/>
    </xf>
    <xf numFmtId="0" fontId="19" fillId="54" borderId="0" xfId="1183" applyFont="1" applyFill="1" applyBorder="1"/>
    <xf numFmtId="0" fontId="158" fillId="54" borderId="81" xfId="1183" applyFont="1" applyFill="1" applyBorder="1" applyAlignment="1">
      <alignment vertical="center" wrapText="1"/>
    </xf>
    <xf numFmtId="169" fontId="158" fillId="54" borderId="84" xfId="1183" applyNumberFormat="1" applyFont="1" applyFill="1" applyBorder="1" applyAlignment="1">
      <alignment wrapText="1"/>
    </xf>
    <xf numFmtId="169" fontId="158" fillId="54" borderId="84" xfId="1183" applyNumberFormat="1" applyFont="1" applyFill="1" applyBorder="1" applyAlignment="1"/>
    <xf numFmtId="169" fontId="160" fillId="54" borderId="84" xfId="1183" applyNumberFormat="1" applyFont="1" applyFill="1" applyBorder="1" applyAlignment="1">
      <alignment vertical="center"/>
    </xf>
    <xf numFmtId="169" fontId="158" fillId="54" borderId="86" xfId="1183" applyNumberFormat="1" applyFont="1" applyFill="1" applyBorder="1" applyAlignment="1"/>
    <xf numFmtId="0" fontId="19" fillId="55" borderId="0" xfId="1183" applyFont="1" applyFill="1"/>
    <xf numFmtId="0" fontId="158" fillId="54" borderId="88" xfId="1183" applyFont="1" applyFill="1" applyBorder="1" applyAlignment="1">
      <alignment vertical="center" wrapText="1"/>
    </xf>
    <xf numFmtId="166" fontId="158" fillId="54" borderId="85" xfId="1183" applyNumberFormat="1" applyFont="1" applyFill="1" applyBorder="1" applyAlignment="1">
      <alignment wrapText="1"/>
    </xf>
    <xf numFmtId="0" fontId="158" fillId="54" borderId="83" xfId="1183" applyFont="1" applyFill="1" applyBorder="1" applyAlignment="1">
      <alignment vertical="center" wrapText="1"/>
    </xf>
    <xf numFmtId="169" fontId="158" fillId="54" borderId="78" xfId="1183" applyNumberFormat="1" applyFont="1" applyFill="1" applyBorder="1" applyAlignment="1">
      <alignment wrapText="1"/>
    </xf>
    <xf numFmtId="169" fontId="158" fillId="54" borderId="46" xfId="0" applyNumberFormat="1" applyFont="1" applyFill="1" applyBorder="1" applyAlignment="1">
      <alignment horizontal="right"/>
    </xf>
    <xf numFmtId="169" fontId="158" fillId="54" borderId="47" xfId="0" applyNumberFormat="1" applyFont="1" applyFill="1" applyBorder="1" applyAlignment="1">
      <alignment horizontal="right"/>
    </xf>
    <xf numFmtId="0" fontId="159" fillId="54" borderId="0" xfId="1183" applyFont="1" applyFill="1" applyBorder="1" applyAlignment="1">
      <alignment horizontal="center" vertical="center"/>
    </xf>
    <xf numFmtId="0" fontId="158" fillId="54" borderId="82" xfId="1183" applyFont="1" applyFill="1" applyBorder="1" applyAlignment="1">
      <alignment vertical="center" wrapText="1"/>
    </xf>
    <xf numFmtId="166" fontId="158" fillId="54" borderId="37" xfId="0" applyNumberFormat="1" applyFont="1" applyFill="1" applyBorder="1" applyAlignment="1">
      <alignment horizontal="right"/>
    </xf>
    <xf numFmtId="166" fontId="158" fillId="54" borderId="38" xfId="0" applyNumberFormat="1" applyFont="1" applyFill="1" applyBorder="1" applyAlignment="1">
      <alignment horizontal="right"/>
    </xf>
    <xf numFmtId="1" fontId="19" fillId="54" borderId="0" xfId="1183" applyNumberFormat="1" applyFont="1" applyFill="1" applyBorder="1"/>
    <xf numFmtId="167" fontId="19" fillId="54" borderId="0" xfId="1183" applyNumberFormat="1" applyFont="1" applyFill="1"/>
    <xf numFmtId="1" fontId="19" fillId="54" borderId="0" xfId="1183" applyNumberFormat="1" applyFont="1" applyFill="1"/>
    <xf numFmtId="4" fontId="158" fillId="54" borderId="78" xfId="1183" applyNumberFormat="1" applyFont="1" applyFill="1" applyBorder="1" applyAlignment="1">
      <alignment wrapText="1"/>
    </xf>
    <xf numFmtId="4" fontId="160" fillId="54" borderId="78" xfId="1183" applyNumberFormat="1" applyFont="1" applyFill="1" applyBorder="1" applyAlignment="1">
      <alignment vertical="center"/>
    </xf>
    <xf numFmtId="4" fontId="160" fillId="54" borderId="78" xfId="1183" applyNumberFormat="1" applyFont="1" applyFill="1" applyBorder="1" applyAlignment="1"/>
    <xf numFmtId="4" fontId="158" fillId="54" borderId="116" xfId="1183" applyNumberFormat="1" applyFont="1" applyFill="1" applyBorder="1" applyAlignment="1"/>
    <xf numFmtId="0" fontId="158" fillId="54" borderId="85" xfId="1183" applyFont="1" applyFill="1" applyBorder="1" applyAlignment="1">
      <alignment wrapText="1"/>
    </xf>
    <xf numFmtId="0" fontId="160" fillId="54" borderId="85" xfId="1183" applyFont="1" applyFill="1" applyBorder="1" applyAlignment="1">
      <alignment vertical="center"/>
    </xf>
    <xf numFmtId="0" fontId="160" fillId="54" borderId="85" xfId="1183" applyFont="1" applyFill="1" applyBorder="1" applyAlignment="1">
      <alignment horizontal="center"/>
    </xf>
    <xf numFmtId="0" fontId="158" fillId="54" borderId="87" xfId="1183" applyFont="1" applyFill="1" applyBorder="1" applyAlignment="1">
      <alignment horizontal="right"/>
    </xf>
    <xf numFmtId="1" fontId="19" fillId="55" borderId="0" xfId="1183" applyNumberFormat="1" applyFont="1" applyFill="1" applyBorder="1"/>
    <xf numFmtId="0" fontId="19" fillId="55" borderId="0" xfId="1183" applyFont="1" applyFill="1" applyBorder="1"/>
    <xf numFmtId="169" fontId="158" fillId="54" borderId="86" xfId="1183" applyNumberFormat="1" applyFont="1" applyFill="1" applyBorder="1" applyAlignment="1">
      <alignment wrapText="1"/>
    </xf>
    <xf numFmtId="4" fontId="158" fillId="54" borderId="84" xfId="1183" applyNumberFormat="1" applyFont="1" applyFill="1" applyBorder="1" applyAlignment="1">
      <alignment wrapText="1"/>
    </xf>
    <xf numFmtId="0" fontId="160" fillId="54" borderId="84" xfId="1183" applyFont="1" applyFill="1" applyBorder="1" applyAlignment="1">
      <alignment vertical="center"/>
    </xf>
    <xf numFmtId="0" fontId="160" fillId="54" borderId="84" xfId="1183" applyFont="1" applyFill="1" applyBorder="1" applyAlignment="1"/>
    <xf numFmtId="4" fontId="158" fillId="54" borderId="86" xfId="1183" applyNumberFormat="1" applyFont="1" applyFill="1" applyBorder="1" applyAlignment="1"/>
    <xf numFmtId="171" fontId="158" fillId="54" borderId="87" xfId="1183" applyNumberFormat="1" applyFont="1" applyFill="1" applyBorder="1" applyAlignment="1"/>
    <xf numFmtId="4" fontId="158" fillId="54" borderId="84" xfId="1183" applyNumberFormat="1" applyFont="1" applyFill="1" applyBorder="1" applyAlignment="1">
      <alignment horizontal="right" wrapText="1"/>
    </xf>
    <xf numFmtId="0" fontId="158" fillId="54" borderId="85" xfId="1183" applyFont="1" applyFill="1" applyBorder="1" applyAlignment="1">
      <alignment horizontal="right" wrapText="1"/>
    </xf>
    <xf numFmtId="167" fontId="158" fillId="54" borderId="87" xfId="1183" applyNumberFormat="1" applyFont="1" applyFill="1" applyBorder="1" applyAlignment="1">
      <alignment horizontal="right"/>
    </xf>
    <xf numFmtId="0" fontId="158" fillId="54" borderId="86" xfId="1183" applyFont="1" applyFill="1" applyBorder="1" applyAlignment="1"/>
    <xf numFmtId="0" fontId="158" fillId="54" borderId="84" xfId="1183" applyFont="1" applyFill="1" applyBorder="1" applyAlignment="1">
      <alignment vertical="center" wrapText="1"/>
    </xf>
    <xf numFmtId="0" fontId="158" fillId="54" borderId="84" xfId="1183" applyFont="1" applyFill="1" applyBorder="1" applyAlignment="1">
      <alignment vertical="center"/>
    </xf>
    <xf numFmtId="0" fontId="158" fillId="54" borderId="84" xfId="1183" applyFont="1" applyFill="1" applyBorder="1" applyAlignment="1"/>
    <xf numFmtId="0" fontId="158" fillId="54" borderId="85" xfId="1183" applyFont="1" applyFill="1" applyBorder="1" applyAlignment="1">
      <alignment vertical="center" wrapText="1"/>
    </xf>
    <xf numFmtId="0" fontId="158" fillId="54" borderId="85" xfId="1183" applyFont="1" applyFill="1" applyBorder="1" applyAlignment="1">
      <alignment vertical="center"/>
    </xf>
    <xf numFmtId="0" fontId="158" fillId="54" borderId="85" xfId="1183" applyFont="1" applyFill="1" applyBorder="1" applyAlignment="1">
      <alignment horizontal="center"/>
    </xf>
    <xf numFmtId="0" fontId="158" fillId="54" borderId="87" xfId="1183" applyFont="1" applyFill="1" applyBorder="1" applyAlignment="1"/>
    <xf numFmtId="168" fontId="158" fillId="54" borderId="84" xfId="1183" applyNumberFormat="1" applyFont="1" applyFill="1" applyBorder="1" applyAlignment="1">
      <alignment horizontal="right" wrapText="1"/>
    </xf>
    <xf numFmtId="168" fontId="158" fillId="54" borderId="84" xfId="1183" applyNumberFormat="1" applyFont="1" applyFill="1" applyBorder="1" applyAlignment="1">
      <alignment vertical="center"/>
    </xf>
    <xf numFmtId="168" fontId="158" fillId="54" borderId="84" xfId="1183" applyNumberFormat="1" applyFont="1" applyFill="1" applyBorder="1" applyAlignment="1"/>
    <xf numFmtId="168" fontId="158" fillId="54" borderId="120" xfId="1183" applyNumberFormat="1" applyFont="1" applyFill="1" applyBorder="1" applyAlignment="1"/>
    <xf numFmtId="166" fontId="158" fillId="54" borderId="85" xfId="1183" applyNumberFormat="1" applyFont="1" applyFill="1" applyBorder="1" applyAlignment="1">
      <alignment horizontal="right"/>
    </xf>
    <xf numFmtId="166" fontId="158" fillId="54" borderId="121" xfId="1183" applyNumberFormat="1" applyFont="1" applyFill="1" applyBorder="1" applyAlignment="1">
      <alignment horizontal="right"/>
    </xf>
    <xf numFmtId="169" fontId="158" fillId="54" borderId="84" xfId="1183" applyNumberFormat="1" applyFont="1" applyFill="1" applyBorder="1" applyAlignment="1">
      <alignment horizontal="right" wrapText="1"/>
    </xf>
    <xf numFmtId="0" fontId="158" fillId="54" borderId="84" xfId="1183" applyFont="1" applyFill="1" applyBorder="1" applyAlignment="1">
      <alignment horizontal="right" wrapText="1"/>
    </xf>
    <xf numFmtId="0" fontId="160" fillId="54" borderId="0" xfId="1183" applyFont="1" applyFill="1"/>
    <xf numFmtId="0" fontId="158" fillId="56" borderId="81" xfId="1183" applyFont="1" applyFill="1" applyBorder="1" applyAlignment="1">
      <alignment vertical="center" wrapText="1"/>
    </xf>
    <xf numFmtId="0" fontId="158" fillId="56" borderId="82" xfId="1183" applyFont="1" applyFill="1" applyBorder="1" applyAlignment="1">
      <alignment vertical="center" wrapText="1"/>
    </xf>
    <xf numFmtId="0" fontId="158" fillId="56" borderId="0" xfId="1183" applyFont="1" applyFill="1" applyBorder="1" applyAlignment="1">
      <alignment vertical="center" wrapText="1"/>
    </xf>
    <xf numFmtId="0" fontId="158" fillId="54" borderId="0" xfId="1183" applyFont="1" applyFill="1" applyBorder="1" applyAlignment="1">
      <alignment vertical="center" wrapText="1"/>
    </xf>
    <xf numFmtId="0" fontId="301" fillId="54" borderId="0" xfId="1183" applyFont="1" applyFill="1"/>
    <xf numFmtId="0" fontId="298" fillId="54" borderId="0" xfId="1183" applyFont="1" applyFill="1"/>
    <xf numFmtId="0" fontId="19" fillId="54" borderId="0" xfId="1183" applyFont="1" applyFill="1" applyAlignment="1">
      <alignment horizontal="left"/>
    </xf>
    <xf numFmtId="0" fontId="9" fillId="54" borderId="0" xfId="0" applyFont="1" applyFill="1"/>
    <xf numFmtId="0" fontId="58" fillId="54" borderId="0" xfId="0" applyFont="1" applyFill="1" applyAlignment="1">
      <alignment horizontal="centerContinuous"/>
    </xf>
    <xf numFmtId="173" fontId="9" fillId="54" borderId="17" xfId="1216" applyNumberFormat="1" applyFont="1" applyFill="1" applyBorder="1" applyAlignment="1">
      <alignment horizontal="center" wrapText="1"/>
    </xf>
    <xf numFmtId="0" fontId="17" fillId="54" borderId="0" xfId="0" applyFont="1" applyFill="1"/>
    <xf numFmtId="0" fontId="11" fillId="54" borderId="0" xfId="0" applyFont="1" applyFill="1" applyAlignment="1">
      <alignment horizontal="right"/>
    </xf>
    <xf numFmtId="0" fontId="0" fillId="0" borderId="20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0" xfId="0"/>
    <xf numFmtId="0" fontId="0" fillId="0" borderId="17" xfId="0" applyBorder="1"/>
    <xf numFmtId="0" fontId="0" fillId="0" borderId="0" xfId="0"/>
    <xf numFmtId="0" fontId="9" fillId="0" borderId="17" xfId="0" applyFont="1" applyBorder="1" applyAlignment="1">
      <alignment horizontal="center"/>
    </xf>
    <xf numFmtId="0" fontId="98" fillId="0" borderId="0" xfId="0" applyFont="1"/>
    <xf numFmtId="0" fontId="277" fillId="0" borderId="0" xfId="0" applyFont="1"/>
    <xf numFmtId="0" fontId="42" fillId="0" borderId="0" xfId="0" applyFont="1"/>
    <xf numFmtId="0" fontId="178" fillId="0" borderId="17" xfId="0" applyFont="1" applyBorder="1" applyAlignment="1">
      <alignment horizontal="right"/>
    </xf>
    <xf numFmtId="0" fontId="178" fillId="0" borderId="0" xfId="0" applyFont="1" applyFill="1"/>
    <xf numFmtId="0" fontId="178" fillId="0" borderId="0" xfId="0" applyFont="1" applyFill="1" applyAlignment="1">
      <alignment vertical="center"/>
    </xf>
    <xf numFmtId="173" fontId="178" fillId="0" borderId="0" xfId="0" applyNumberFormat="1" applyFont="1" applyFill="1"/>
    <xf numFmtId="0" fontId="178" fillId="48" borderId="0" xfId="0" applyFont="1" applyFill="1" applyAlignment="1">
      <alignment vertical="center"/>
    </xf>
    <xf numFmtId="0" fontId="161" fillId="28" borderId="17" xfId="0" applyFont="1" applyFill="1" applyBorder="1" applyAlignment="1">
      <alignment horizontal="right" vertical="center"/>
    </xf>
    <xf numFmtId="0" fontId="161" fillId="28" borderId="17" xfId="0" applyFont="1" applyFill="1" applyBorder="1" applyAlignment="1">
      <alignment vertical="center"/>
    </xf>
    <xf numFmtId="0" fontId="313" fillId="0" borderId="0" xfId="0" applyFont="1"/>
    <xf numFmtId="0" fontId="313" fillId="46" borderId="0" xfId="0" applyFont="1" applyFill="1"/>
    <xf numFmtId="0" fontId="314" fillId="0" borderId="0" xfId="0" applyFont="1" applyAlignment="1">
      <alignment horizontal="right"/>
    </xf>
    <xf numFmtId="10" fontId="314" fillId="0" borderId="0" xfId="0" applyNumberFormat="1" applyFont="1"/>
    <xf numFmtId="0" fontId="314" fillId="0" borderId="0" xfId="0" applyFont="1"/>
    <xf numFmtId="0" fontId="314" fillId="46" borderId="0" xfId="0" applyFont="1" applyFill="1"/>
    <xf numFmtId="0" fontId="42" fillId="0" borderId="17" xfId="0" applyFont="1" applyBorder="1" applyAlignment="1">
      <alignment horizontal="center" wrapText="1"/>
    </xf>
    <xf numFmtId="173" fontId="178" fillId="46" borderId="17" xfId="1216" applyNumberFormat="1" applyFont="1" applyFill="1" applyBorder="1" applyAlignment="1">
      <alignment horizontal="center" wrapText="1"/>
    </xf>
    <xf numFmtId="0" fontId="42" fillId="0" borderId="0" xfId="0" applyFont="1" applyAlignment="1">
      <alignment horizontal="center"/>
    </xf>
    <xf numFmtId="0" fontId="42" fillId="48" borderId="17" xfId="1209" applyFont="1" applyFill="1" applyBorder="1" applyAlignment="1">
      <alignment horizontal="center" wrapText="1"/>
    </xf>
    <xf numFmtId="173" fontId="180" fillId="48" borderId="17" xfId="1216" applyNumberFormat="1" applyFont="1" applyFill="1" applyBorder="1" applyAlignment="1">
      <alignment horizontal="center" wrapText="1"/>
    </xf>
    <xf numFmtId="0" fontId="42" fillId="46" borderId="17" xfId="1209" applyFont="1" applyFill="1" applyBorder="1" applyAlignment="1">
      <alignment horizontal="center" wrapText="1"/>
    </xf>
    <xf numFmtId="0" fontId="284" fillId="46" borderId="17" xfId="1209" applyFont="1" applyFill="1" applyBorder="1" applyAlignment="1">
      <alignment horizontal="center" wrapText="1"/>
    </xf>
    <xf numFmtId="0" fontId="42" fillId="46" borderId="17" xfId="1209" applyFont="1" applyFill="1" applyBorder="1" applyAlignment="1">
      <alignment wrapText="1"/>
    </xf>
    <xf numFmtId="0" fontId="312" fillId="48" borderId="17" xfId="1209" applyFont="1" applyFill="1" applyBorder="1" applyAlignment="1">
      <alignment wrapText="1"/>
    </xf>
    <xf numFmtId="0" fontId="311" fillId="0" borderId="0" xfId="0" applyFont="1" applyAlignment="1">
      <alignment horizontal="centerContinuous"/>
    </xf>
    <xf numFmtId="0" fontId="42" fillId="0" borderId="17" xfId="0" applyFont="1" applyBorder="1" applyAlignment="1">
      <alignment horizontal="center" vertical="top"/>
    </xf>
    <xf numFmtId="0" fontId="42" fillId="0" borderId="17" xfId="0" applyFont="1" applyBorder="1" applyAlignment="1">
      <alignment horizontal="center" vertical="top" wrapText="1"/>
    </xf>
    <xf numFmtId="0" fontId="42" fillId="0" borderId="17" xfId="0" applyFont="1" applyBorder="1" applyAlignment="1">
      <alignment horizontal="centerContinuous" vertical="top" wrapText="1"/>
    </xf>
    <xf numFmtId="0" fontId="311" fillId="0" borderId="17" xfId="0" applyFont="1" applyBorder="1" applyAlignment="1">
      <alignment horizontal="center" vertical="top" wrapText="1"/>
    </xf>
    <xf numFmtId="0" fontId="310" fillId="0" borderId="23" xfId="0" applyFont="1" applyBorder="1" applyAlignment="1">
      <alignment horizontal="centerContinuous" vertical="top"/>
    </xf>
    <xf numFmtId="0" fontId="310" fillId="0" borderId="23" xfId="0" applyFont="1" applyBorder="1" applyAlignment="1">
      <alignment horizontal="centerContinuous" vertical="top" wrapText="1"/>
    </xf>
    <xf numFmtId="0" fontId="310" fillId="0" borderId="17" xfId="0" applyFont="1" applyBorder="1" applyAlignment="1">
      <alignment horizontal="centerContinuous" vertical="top" wrapText="1"/>
    </xf>
    <xf numFmtId="170" fontId="161" fillId="28" borderId="17" xfId="0" applyNumberFormat="1" applyFont="1" applyFill="1" applyBorder="1" applyAlignment="1">
      <alignment horizontal="center" vertical="center"/>
    </xf>
    <xf numFmtId="0" fontId="42" fillId="46" borderId="23" xfId="1209" applyFont="1" applyFill="1" applyBorder="1" applyAlignment="1">
      <alignment wrapText="1"/>
    </xf>
    <xf numFmtId="0" fontId="42" fillId="46" borderId="22" xfId="1209" applyFont="1" applyFill="1" applyBorder="1" applyAlignment="1">
      <alignment wrapText="1"/>
    </xf>
    <xf numFmtId="0" fontId="42" fillId="46" borderId="22" xfId="1209" applyFont="1" applyFill="1" applyBorder="1" applyAlignment="1">
      <alignment horizontal="center" wrapText="1"/>
    </xf>
    <xf numFmtId="0" fontId="316" fillId="58" borderId="0" xfId="0" applyFont="1" applyFill="1"/>
    <xf numFmtId="0" fontId="150" fillId="0" borderId="0" xfId="0" applyFont="1"/>
    <xf numFmtId="0" fontId="316" fillId="58" borderId="0" xfId="0" applyFont="1" applyFill="1" applyAlignment="1">
      <alignment horizontal="left"/>
    </xf>
    <xf numFmtId="164" fontId="303" fillId="58" borderId="0" xfId="0" applyNumberFormat="1" applyFont="1" applyFill="1"/>
    <xf numFmtId="0" fontId="0" fillId="0" borderId="0" xfId="0" applyAlignment="1">
      <alignment horizontal="center"/>
    </xf>
    <xf numFmtId="0" fontId="60" fillId="0" borderId="20" xfId="0" applyFont="1" applyBorder="1" applyAlignment="1">
      <alignment horizontal="center"/>
    </xf>
    <xf numFmtId="14" fontId="9" fillId="0" borderId="17" xfId="0" applyNumberFormat="1" applyFont="1" applyBorder="1" applyAlignment="1">
      <alignment horizontal="center"/>
    </xf>
    <xf numFmtId="0" fontId="60" fillId="0" borderId="17" xfId="0" applyFont="1" applyBorder="1" applyAlignment="1">
      <alignment horizontal="center"/>
    </xf>
    <xf numFmtId="0" fontId="60" fillId="0" borderId="20" xfId="0" applyFont="1" applyBorder="1" applyAlignment="1">
      <alignment horizontal="center" wrapText="1"/>
    </xf>
    <xf numFmtId="0" fontId="317" fillId="0" borderId="0" xfId="1176" applyFont="1"/>
    <xf numFmtId="0" fontId="303" fillId="0" borderId="0" xfId="0" applyFont="1"/>
    <xf numFmtId="0" fontId="315" fillId="0" borderId="0" xfId="1176" applyFont="1"/>
    <xf numFmtId="4" fontId="308" fillId="58" borderId="17" xfId="0" applyNumberFormat="1" applyFont="1" applyFill="1" applyBorder="1" applyAlignment="1">
      <alignment horizontal="center"/>
    </xf>
    <xf numFmtId="4" fontId="308" fillId="58" borderId="17" xfId="0" applyNumberFormat="1" applyFont="1" applyFill="1" applyBorder="1" applyAlignment="1">
      <alignment horizontal="left"/>
    </xf>
    <xf numFmtId="0" fontId="155" fillId="0" borderId="0" xfId="1181" applyFont="1"/>
    <xf numFmtId="0" fontId="8" fillId="46" borderId="66" xfId="0" applyFont="1" applyFill="1" applyBorder="1" applyAlignment="1">
      <alignment horizontal="center" vertical="center" wrapText="1"/>
    </xf>
    <xf numFmtId="199" fontId="9" fillId="51" borderId="66" xfId="1217" applyNumberFormat="1" applyFont="1" applyFill="1" applyBorder="1" applyAlignment="1">
      <alignment horizontal="center" vertical="top"/>
    </xf>
    <xf numFmtId="199" fontId="8" fillId="51" borderId="66" xfId="1217" applyNumberFormat="1" applyFont="1" applyFill="1" applyBorder="1" applyAlignment="1">
      <alignment horizontal="center" vertical="center"/>
    </xf>
    <xf numFmtId="0" fontId="11" fillId="54" borderId="0" xfId="0" applyFont="1" applyFill="1" applyAlignment="1">
      <alignment horizontal="left"/>
    </xf>
    <xf numFmtId="0" fontId="11" fillId="54" borderId="0" xfId="0" applyFont="1" applyFill="1"/>
    <xf numFmtId="170" fontId="58" fillId="54" borderId="0" xfId="0" applyNumberFormat="1" applyFont="1" applyFill="1" applyAlignment="1">
      <alignment horizontal="center"/>
    </xf>
    <xf numFmtId="0" fontId="58" fillId="54" borderId="0" xfId="0" applyFont="1" applyFill="1"/>
    <xf numFmtId="164" fontId="15" fillId="54" borderId="0" xfId="0" applyNumberFormat="1" applyFont="1" applyFill="1"/>
    <xf numFmtId="0" fontId="15" fillId="54" borderId="0" xfId="0" applyFont="1" applyFill="1"/>
    <xf numFmtId="0" fontId="9" fillId="0" borderId="66" xfId="0" applyFont="1" applyBorder="1" applyAlignment="1">
      <alignment horizontal="center" vertical="center"/>
    </xf>
    <xf numFmtId="0" fontId="9" fillId="0" borderId="66" xfId="0" applyFont="1" applyBorder="1" applyAlignment="1">
      <alignment horizontal="center" vertical="center" wrapText="1"/>
    </xf>
    <xf numFmtId="0" fontId="10" fillId="0" borderId="0" xfId="0" applyFont="1" applyAlignment="1">
      <alignment horizontal="justify" vertical="center" wrapText="1"/>
    </xf>
    <xf numFmtId="0" fontId="9" fillId="0" borderId="22" xfId="0" applyFont="1" applyBorder="1" applyAlignment="1">
      <alignment horizontal="center" vertical="top" wrapText="1"/>
    </xf>
    <xf numFmtId="0" fontId="9" fillId="0" borderId="22" xfId="0" applyFont="1" applyBorder="1" applyAlignment="1">
      <alignment vertical="top" wrapText="1"/>
    </xf>
    <xf numFmtId="0" fontId="9" fillId="0" borderId="23" xfId="0" applyFont="1" applyBorder="1" applyAlignment="1">
      <alignment vertical="top" wrapText="1"/>
    </xf>
    <xf numFmtId="0" fontId="9" fillId="0" borderId="25" xfId="0" applyFont="1" applyBorder="1" applyAlignment="1">
      <alignment horizontal="center" vertical="top" wrapText="1"/>
    </xf>
    <xf numFmtId="0" fontId="9" fillId="0" borderId="17" xfId="0" applyFont="1" applyBorder="1" applyAlignment="1">
      <alignment horizontal="center" vertical="center" wrapText="1"/>
    </xf>
    <xf numFmtId="0" fontId="10" fillId="0" borderId="26" xfId="0" applyFont="1" applyBorder="1" applyAlignment="1">
      <alignment vertical="top" wrapText="1"/>
    </xf>
    <xf numFmtId="0" fontId="10" fillId="46" borderId="26" xfId="0" applyFont="1" applyFill="1" applyBorder="1" applyAlignment="1">
      <alignment horizontal="center" vertical="top" wrapText="1"/>
    </xf>
    <xf numFmtId="0" fontId="9" fillId="46" borderId="24" xfId="0" applyFont="1" applyFill="1" applyBorder="1" applyAlignment="1">
      <alignment vertical="top" wrapText="1"/>
    </xf>
    <xf numFmtId="170" fontId="58" fillId="54" borderId="0" xfId="0" applyNumberFormat="1" applyFont="1" applyFill="1"/>
    <xf numFmtId="170" fontId="9" fillId="54" borderId="25" xfId="0" applyNumberFormat="1" applyFont="1" applyFill="1" applyBorder="1" applyAlignment="1">
      <alignment wrapText="1"/>
    </xf>
    <xf numFmtId="0" fontId="316" fillId="58" borderId="26" xfId="1176" applyFont="1" applyFill="1" applyBorder="1" applyAlignment="1">
      <alignment horizontal="center"/>
    </xf>
    <xf numFmtId="0" fontId="318" fillId="59" borderId="0" xfId="1176" applyFont="1" applyFill="1" applyAlignment="1">
      <alignment horizontal="left"/>
    </xf>
    <xf numFmtId="0" fontId="318" fillId="59" borderId="0" xfId="1176" applyFont="1" applyFill="1" applyAlignment="1">
      <alignment horizontal="center"/>
    </xf>
    <xf numFmtId="0" fontId="318" fillId="59" borderId="0" xfId="1176" applyFont="1" applyFill="1"/>
    <xf numFmtId="10" fontId="277" fillId="0" borderId="0" xfId="0" applyNumberFormat="1" applyFont="1"/>
    <xf numFmtId="4" fontId="313" fillId="58" borderId="17" xfId="0" applyNumberFormat="1" applyFont="1" applyFill="1" applyBorder="1" applyAlignment="1">
      <alignment horizontal="center" wrapText="1"/>
    </xf>
    <xf numFmtId="0" fontId="11" fillId="54" borderId="0" xfId="1176" applyFont="1" applyFill="1" applyAlignment="1">
      <alignment horizontal="center"/>
    </xf>
    <xf numFmtId="0" fontId="11" fillId="54" borderId="0" xfId="0" applyFont="1" applyFill="1" applyBorder="1" applyAlignment="1">
      <alignment horizontal="left" vertical="center"/>
    </xf>
    <xf numFmtId="0" fontId="95" fillId="54" borderId="0" xfId="0" applyFont="1" applyFill="1" applyBorder="1" applyAlignment="1">
      <alignment vertical="center"/>
    </xf>
    <xf numFmtId="0" fontId="58" fillId="54" borderId="0" xfId="0" applyFont="1" applyFill="1" applyBorder="1" applyAlignment="1">
      <alignment vertical="center"/>
    </xf>
    <xf numFmtId="170" fontId="95" fillId="54" borderId="0" xfId="0" applyNumberFormat="1" applyFont="1" applyFill="1" applyBorder="1" applyAlignment="1">
      <alignment vertical="center"/>
    </xf>
    <xf numFmtId="0" fontId="147" fillId="0" borderId="0" xfId="0" applyFont="1" applyAlignment="1">
      <alignment horizontal="center" vertical="top"/>
    </xf>
    <xf numFmtId="0" fontId="0" fillId="0" borderId="0" xfId="0"/>
    <xf numFmtId="0" fontId="311" fillId="0" borderId="17" xfId="0" applyFont="1" applyBorder="1" applyAlignment="1">
      <alignment horizontal="centerContinuous" vertical="top" wrapText="1"/>
    </xf>
    <xf numFmtId="173" fontId="178" fillId="54" borderId="23" xfId="1216" applyNumberFormat="1" applyFont="1" applyFill="1" applyBorder="1" applyAlignment="1">
      <alignment horizontal="center" wrapText="1"/>
    </xf>
    <xf numFmtId="173" fontId="178" fillId="54" borderId="22" xfId="1216" applyNumberFormat="1" applyFont="1" applyFill="1" applyBorder="1" applyAlignment="1">
      <alignment horizontal="center" wrapText="1"/>
    </xf>
    <xf numFmtId="0" fontId="42" fillId="54" borderId="23" xfId="0" applyFont="1" applyFill="1" applyBorder="1" applyAlignment="1">
      <alignment horizontal="center" wrapText="1"/>
    </xf>
    <xf numFmtId="0" fontId="42" fillId="54" borderId="22" xfId="0" applyFont="1" applyFill="1" applyBorder="1" applyAlignment="1">
      <alignment horizontal="center" wrapText="1"/>
    </xf>
    <xf numFmtId="173" fontId="42" fillId="54" borderId="22" xfId="1216" applyNumberFormat="1" applyFont="1" applyFill="1" applyBorder="1" applyAlignment="1">
      <alignment horizontal="center" wrapText="1"/>
    </xf>
    <xf numFmtId="197" fontId="9" fillId="46" borderId="23" xfId="1216" applyNumberFormat="1" applyFont="1" applyFill="1" applyBorder="1" applyAlignment="1">
      <alignment horizontal="right" vertical="top"/>
    </xf>
    <xf numFmtId="194" fontId="9" fillId="46" borderId="20" xfId="1216" applyNumberFormat="1" applyFont="1" applyFill="1" applyBorder="1" applyAlignment="1">
      <alignment horizontal="right" vertical="top"/>
    </xf>
    <xf numFmtId="165" fontId="9" fillId="46" borderId="25" xfId="0" applyNumberFormat="1" applyFont="1" applyFill="1" applyBorder="1" applyAlignment="1">
      <alignment vertical="top" wrapText="1"/>
    </xf>
    <xf numFmtId="166" fontId="9" fillId="46" borderId="25" xfId="0" applyNumberFormat="1" applyFont="1" applyFill="1" applyBorder="1" applyAlignment="1">
      <alignment vertical="top" wrapText="1"/>
    </xf>
    <xf numFmtId="166" fontId="9" fillId="46" borderId="17" xfId="1216" applyNumberFormat="1" applyFont="1" applyFill="1" applyBorder="1" applyAlignment="1">
      <alignment horizontal="right" vertical="top"/>
    </xf>
    <xf numFmtId="197" fontId="9" fillId="46" borderId="17" xfId="1216" applyNumberFormat="1" applyFont="1" applyFill="1" applyBorder="1" applyAlignment="1">
      <alignment horizontal="right" vertical="top"/>
    </xf>
    <xf numFmtId="198" fontId="9" fillId="46" borderId="20" xfId="1216" applyNumberFormat="1" applyFont="1" applyFill="1" applyBorder="1" applyAlignment="1">
      <alignment horizontal="right" vertical="top"/>
    </xf>
    <xf numFmtId="0" fontId="12" fillId="0" borderId="24" xfId="0" applyFont="1" applyBorder="1" applyAlignment="1">
      <alignment horizontal="center" vertical="top" wrapText="1"/>
    </xf>
    <xf numFmtId="0" fontId="9" fillId="46" borderId="6" xfId="0" applyFont="1" applyFill="1" applyBorder="1" applyAlignment="1">
      <alignment vertical="top" wrapText="1"/>
    </xf>
    <xf numFmtId="0" fontId="9" fillId="46" borderId="26" xfId="0" applyFont="1" applyFill="1" applyBorder="1" applyAlignment="1">
      <alignment horizontal="center" vertical="top" wrapText="1"/>
    </xf>
    <xf numFmtId="170" fontId="31" fillId="0" borderId="0" xfId="0" applyNumberFormat="1" applyFont="1"/>
    <xf numFmtId="167" fontId="31" fillId="0" borderId="0" xfId="0" applyNumberFormat="1" applyFont="1"/>
    <xf numFmtId="0" fontId="9" fillId="0" borderId="6" xfId="0" applyFont="1" applyBorder="1" applyAlignment="1">
      <alignment vertical="top" wrapText="1"/>
    </xf>
    <xf numFmtId="0" fontId="12" fillId="0" borderId="6" xfId="0" applyFont="1" applyBorder="1" applyAlignment="1">
      <alignment horizontal="center" vertical="top" wrapText="1"/>
    </xf>
    <xf numFmtId="0" fontId="9" fillId="46" borderId="6" xfId="0" applyFont="1" applyFill="1" applyBorder="1" applyAlignment="1">
      <alignment horizontal="right"/>
    </xf>
    <xf numFmtId="170" fontId="65" fillId="0" borderId="0" xfId="0" applyNumberFormat="1" applyFont="1" applyAlignment="1">
      <alignment horizontal="center"/>
    </xf>
    <xf numFmtId="0" fontId="9" fillId="0" borderId="0" xfId="1428" applyFont="1" applyAlignment="1">
      <alignment horizontal="right"/>
    </xf>
    <xf numFmtId="216" fontId="9" fillId="0" borderId="0" xfId="1427" applyNumberFormat="1" applyFont="1"/>
    <xf numFmtId="168" fontId="8" fillId="0" borderId="66" xfId="0" applyNumberFormat="1" applyFont="1" applyBorder="1" applyAlignment="1">
      <alignment horizontal="center"/>
    </xf>
    <xf numFmtId="0" fontId="31" fillId="0" borderId="0" xfId="0" applyFont="1" applyAlignment="1">
      <alignment horizontal="center"/>
    </xf>
    <xf numFmtId="0" fontId="8" fillId="0" borderId="66" xfId="0" applyFont="1" applyBorder="1" applyAlignment="1">
      <alignment horizontal="center"/>
    </xf>
    <xf numFmtId="195" fontId="64" fillId="0" borderId="0" xfId="0" applyNumberFormat="1" applyFont="1"/>
    <xf numFmtId="0" fontId="31" fillId="0" borderId="0" xfId="0" applyFont="1" applyAlignment="1">
      <alignment horizontal="right"/>
    </xf>
    <xf numFmtId="0" fontId="31" fillId="0" borderId="0" xfId="0" applyFont="1" applyAlignment="1">
      <alignment horizontal="left"/>
    </xf>
    <xf numFmtId="199" fontId="8" fillId="52" borderId="66" xfId="1217" applyNumberFormat="1" applyFont="1" applyFill="1" applyBorder="1" applyAlignment="1">
      <alignment horizontal="center" vertical="top"/>
    </xf>
    <xf numFmtId="170" fontId="277" fillId="0" borderId="0" xfId="0" applyNumberFormat="1" applyFont="1"/>
    <xf numFmtId="0" fontId="42" fillId="46" borderId="23" xfId="1209" applyFont="1" applyFill="1" applyBorder="1" applyAlignment="1">
      <alignment horizontal="center" wrapText="1"/>
    </xf>
    <xf numFmtId="0" fontId="146" fillId="0" borderId="0" xfId="0" applyFont="1" applyAlignment="1">
      <alignment horizontal="centerContinuous"/>
    </xf>
    <xf numFmtId="0" fontId="178" fillId="54" borderId="17" xfId="0" applyFont="1" applyFill="1" applyBorder="1" applyAlignment="1">
      <alignment horizontal="right"/>
    </xf>
    <xf numFmtId="0" fontId="42" fillId="54" borderId="17" xfId="1209" applyFont="1" applyFill="1" applyBorder="1" applyAlignment="1">
      <alignment wrapText="1"/>
    </xf>
    <xf numFmtId="0" fontId="42" fillId="54" borderId="17" xfId="1209" applyFont="1" applyFill="1" applyBorder="1" applyAlignment="1">
      <alignment horizontal="center" wrapText="1"/>
    </xf>
    <xf numFmtId="0" fontId="42" fillId="54" borderId="17" xfId="0" applyFont="1" applyFill="1" applyBorder="1" applyAlignment="1">
      <alignment horizontal="center" wrapText="1"/>
    </xf>
    <xf numFmtId="173" fontId="178" fillId="54" borderId="17" xfId="1216" applyNumberFormat="1" applyFont="1" applyFill="1" applyBorder="1" applyAlignment="1">
      <alignment horizontal="center" wrapText="1"/>
    </xf>
    <xf numFmtId="0" fontId="178" fillId="54" borderId="0" xfId="0" applyFont="1" applyFill="1"/>
    <xf numFmtId="0" fontId="178" fillId="54" borderId="0" xfId="0" applyFont="1" applyFill="1" applyAlignment="1">
      <alignment vertical="center"/>
    </xf>
    <xf numFmtId="0" fontId="42" fillId="54" borderId="23" xfId="1209" applyFont="1" applyFill="1" applyBorder="1" applyAlignment="1">
      <alignment horizontal="center" vertical="center" wrapText="1"/>
    </xf>
    <xf numFmtId="173" fontId="308" fillId="54" borderId="17" xfId="1216" applyNumberFormat="1" applyFont="1" applyFill="1" applyBorder="1" applyAlignment="1">
      <alignment horizontal="center" wrapText="1"/>
    </xf>
    <xf numFmtId="169" fontId="320" fillId="54" borderId="46" xfId="0" applyNumberFormat="1" applyFont="1" applyFill="1" applyBorder="1" applyAlignment="1">
      <alignment horizontal="right"/>
    </xf>
    <xf numFmtId="169" fontId="320" fillId="54" borderId="46" xfId="0" applyNumberFormat="1" applyFont="1" applyFill="1" applyBorder="1" applyAlignment="1">
      <alignment horizontal="right" vertical="center"/>
    </xf>
    <xf numFmtId="166" fontId="19" fillId="54" borderId="0" xfId="1183" applyNumberFormat="1" applyFont="1" applyFill="1"/>
    <xf numFmtId="0" fontId="17" fillId="54" borderId="0" xfId="0" quotePrefix="1" applyFont="1" applyFill="1" applyAlignment="1">
      <alignment horizontal="right"/>
    </xf>
    <xf numFmtId="0" fontId="17" fillId="54" borderId="0" xfId="0" applyFont="1" applyFill="1" applyAlignment="1">
      <alignment horizontal="centerContinuous"/>
    </xf>
    <xf numFmtId="0" fontId="17" fillId="54" borderId="0" xfId="0" applyFont="1" applyFill="1" applyBorder="1" applyAlignment="1">
      <alignment horizontal="center"/>
    </xf>
    <xf numFmtId="0" fontId="17" fillId="54" borderId="0" xfId="0" applyFont="1" applyFill="1" applyBorder="1"/>
    <xf numFmtId="0" fontId="17" fillId="54" borderId="0" xfId="0" applyFont="1" applyFill="1" applyAlignment="1">
      <alignment horizontal="right"/>
    </xf>
    <xf numFmtId="0" fontId="17" fillId="54" borderId="17" xfId="0" applyFont="1" applyFill="1" applyBorder="1" applyAlignment="1">
      <alignment horizontal="center"/>
    </xf>
    <xf numFmtId="0" fontId="18" fillId="54" borderId="17" xfId="0" applyFont="1" applyFill="1" applyBorder="1" applyAlignment="1">
      <alignment horizontal="center"/>
    </xf>
    <xf numFmtId="198" fontId="17" fillId="54" borderId="17" xfId="1216" applyNumberFormat="1" applyFont="1" applyFill="1" applyBorder="1" applyAlignment="1">
      <alignment horizontal="right" wrapText="1"/>
    </xf>
    <xf numFmtId="165" fontId="17" fillId="54" borderId="17" xfId="0" applyNumberFormat="1" applyFont="1" applyFill="1" applyBorder="1" applyAlignment="1"/>
    <xf numFmtId="0" fontId="17" fillId="54" borderId="17" xfId="0" applyFont="1" applyFill="1" applyBorder="1" applyAlignment="1"/>
    <xf numFmtId="0" fontId="17" fillId="54" borderId="0" xfId="0" applyFont="1" applyFill="1" applyAlignment="1"/>
    <xf numFmtId="194" fontId="17" fillId="54" borderId="17" xfId="1216" applyNumberFormat="1" applyFont="1" applyFill="1" applyBorder="1" applyAlignment="1">
      <alignment horizontal="right" wrapText="1"/>
    </xf>
    <xf numFmtId="173" fontId="17" fillId="54" borderId="17" xfId="1216" applyNumberFormat="1" applyFont="1" applyFill="1" applyBorder="1" applyAlignment="1">
      <alignment horizontal="right" wrapText="1"/>
    </xf>
    <xf numFmtId="2" fontId="17" fillId="54" borderId="23" xfId="0" applyNumberFormat="1" applyFont="1" applyFill="1" applyBorder="1" applyAlignment="1"/>
    <xf numFmtId="173" fontId="17" fillId="54" borderId="23" xfId="1216" applyNumberFormat="1" applyFont="1" applyFill="1" applyBorder="1" applyAlignment="1">
      <alignment horizontal="right" wrapText="1"/>
    </xf>
    <xf numFmtId="0" fontId="17" fillId="54" borderId="23" xfId="0" applyFont="1" applyFill="1" applyBorder="1" applyAlignment="1"/>
    <xf numFmtId="0" fontId="17" fillId="54" borderId="25" xfId="0" applyFont="1" applyFill="1" applyBorder="1" applyAlignment="1"/>
    <xf numFmtId="0" fontId="17" fillId="54" borderId="22" xfId="0" applyFont="1" applyFill="1" applyBorder="1" applyAlignment="1"/>
    <xf numFmtId="198" fontId="17" fillId="54" borderId="23" xfId="1216" applyNumberFormat="1" applyFont="1" applyFill="1" applyBorder="1" applyAlignment="1">
      <alignment horizontal="right" wrapText="1"/>
    </xf>
    <xf numFmtId="0" fontId="17" fillId="54" borderId="29" xfId="0" applyFont="1" applyFill="1" applyBorder="1" applyAlignment="1"/>
    <xf numFmtId="0" fontId="17" fillId="54" borderId="24" xfId="0" applyFont="1" applyFill="1" applyBorder="1" applyAlignment="1"/>
    <xf numFmtId="0" fontId="126" fillId="54" borderId="0" xfId="1181" applyFont="1" applyFill="1"/>
    <xf numFmtId="0" fontId="60" fillId="46" borderId="23" xfId="0" applyFont="1" applyFill="1" applyBorder="1" applyAlignment="1">
      <alignment horizontal="center" wrapText="1"/>
    </xf>
    <xf numFmtId="0" fontId="56" fillId="0" borderId="0" xfId="1176" applyAlignment="1">
      <alignment vertical="center" wrapText="1"/>
    </xf>
    <xf numFmtId="0" fontId="78" fillId="0" borderId="0" xfId="1176" applyFont="1" applyFill="1" applyAlignment="1">
      <alignment horizontal="centerContinuous" wrapText="1"/>
    </xf>
    <xf numFmtId="0" fontId="321" fillId="0" borderId="0" xfId="1176" applyFont="1" applyFill="1" applyAlignment="1">
      <alignment horizontal="centerContinuous" vertical="center" wrapText="1"/>
    </xf>
    <xf numFmtId="0" fontId="236" fillId="0" borderId="0" xfId="1176" applyFont="1" applyAlignment="1">
      <alignment vertical="center" wrapText="1"/>
    </xf>
    <xf numFmtId="0" fontId="322" fillId="0" borderId="0" xfId="1176" applyFont="1" applyFill="1" applyAlignment="1">
      <alignment horizontal="centerContinuous" vertical="center" wrapText="1"/>
    </xf>
    <xf numFmtId="0" fontId="321" fillId="0" borderId="0" xfId="1176" applyFont="1" applyFill="1" applyAlignment="1">
      <alignment horizontal="left" vertical="center" wrapText="1"/>
    </xf>
    <xf numFmtId="0" fontId="70" fillId="0" borderId="0" xfId="1176" applyFont="1" applyAlignment="1">
      <alignment vertical="center" wrapText="1"/>
    </xf>
    <xf numFmtId="4" fontId="56" fillId="0" borderId="0" xfId="1176" applyNumberFormat="1" applyAlignment="1">
      <alignment vertical="center" wrapText="1"/>
    </xf>
    <xf numFmtId="0" fontId="236" fillId="0" borderId="0" xfId="1176" applyFont="1" applyAlignment="1">
      <alignment horizontal="centerContinuous" vertical="center" wrapText="1"/>
    </xf>
    <xf numFmtId="0" fontId="70" fillId="0" borderId="23" xfId="1176" applyFont="1" applyBorder="1" applyAlignment="1">
      <alignment horizontal="center" vertical="center" wrapText="1"/>
    </xf>
    <xf numFmtId="0" fontId="70" fillId="0" borderId="23" xfId="1176" applyFont="1" applyBorder="1" applyAlignment="1">
      <alignment horizontal="centerContinuous" vertical="center"/>
    </xf>
    <xf numFmtId="0" fontId="74" fillId="0" borderId="0" xfId="1176" applyFont="1" applyAlignment="1">
      <alignment vertical="center" wrapText="1"/>
    </xf>
    <xf numFmtId="0" fontId="74" fillId="2" borderId="17" xfId="1176" applyFont="1" applyFill="1" applyBorder="1" applyAlignment="1">
      <alignment horizontal="centerContinuous" vertical="center" wrapText="1"/>
    </xf>
    <xf numFmtId="0" fontId="323" fillId="2" borderId="20" xfId="1176" applyFont="1" applyFill="1" applyBorder="1" applyAlignment="1">
      <alignment horizontal="centerContinuous" vertical="center" wrapText="1"/>
    </xf>
    <xf numFmtId="0" fontId="70" fillId="2" borderId="17" xfId="1176" applyFont="1" applyFill="1" applyBorder="1" applyAlignment="1">
      <alignment horizontal="centerContinuous" vertical="center" wrapText="1"/>
    </xf>
    <xf numFmtId="4" fontId="70" fillId="2" borderId="17" xfId="1176" applyNumberFormat="1" applyFont="1" applyFill="1" applyBorder="1" applyAlignment="1">
      <alignment horizontal="centerContinuous" vertical="center" wrapText="1"/>
    </xf>
    <xf numFmtId="164" fontId="324" fillId="0" borderId="0" xfId="1176" applyNumberFormat="1" applyFont="1" applyAlignment="1">
      <alignment horizontal="center" vertical="center" wrapText="1"/>
    </xf>
    <xf numFmtId="0" fontId="323" fillId="0" borderId="0" xfId="1176" applyFont="1" applyAlignment="1">
      <alignment horizontal="center" vertical="center" wrapText="1"/>
    </xf>
    <xf numFmtId="4" fontId="323" fillId="0" borderId="0" xfId="1176" applyNumberFormat="1" applyFont="1" applyAlignment="1">
      <alignment horizontal="center" vertical="center" wrapText="1"/>
    </xf>
    <xf numFmtId="0" fontId="70" fillId="46" borderId="17" xfId="1176" applyFont="1" applyFill="1" applyBorder="1" applyAlignment="1">
      <alignment horizontal="right" wrapText="1"/>
    </xf>
    <xf numFmtId="0" fontId="70" fillId="46" borderId="17" xfId="1176" applyFont="1" applyFill="1" applyBorder="1" applyAlignment="1">
      <alignment horizontal="left" wrapText="1"/>
    </xf>
    <xf numFmtId="0" fontId="70" fillId="46" borderId="17" xfId="1176" applyFont="1" applyFill="1" applyBorder="1" applyAlignment="1">
      <alignment horizontal="center" wrapText="1"/>
    </xf>
    <xf numFmtId="164" fontId="324" fillId="46" borderId="0" xfId="1176" applyNumberFormat="1" applyFont="1" applyFill="1" applyAlignment="1">
      <alignment horizontal="center" vertical="center" wrapText="1"/>
    </xf>
    <xf numFmtId="0" fontId="323" fillId="46" borderId="0" xfId="1176" applyFont="1" applyFill="1" applyAlignment="1">
      <alignment horizontal="center" vertical="center" wrapText="1"/>
    </xf>
    <xf numFmtId="4" fontId="323" fillId="46" borderId="0" xfId="1176" applyNumberFormat="1" applyFont="1" applyFill="1" applyAlignment="1">
      <alignment horizontal="center" vertical="center" wrapText="1"/>
    </xf>
    <xf numFmtId="0" fontId="78" fillId="0" borderId="0" xfId="1176" applyFont="1" applyFill="1" applyAlignment="1">
      <alignment horizontal="centerContinuous" vertical="top" wrapText="1"/>
    </xf>
    <xf numFmtId="0" fontId="321" fillId="0" borderId="0" xfId="1176" applyFont="1" applyFill="1" applyAlignment="1">
      <alignment horizontal="centerContinuous" vertical="top" wrapText="1"/>
    </xf>
    <xf numFmtId="0" fontId="70" fillId="2" borderId="17" xfId="1176" applyFont="1" applyFill="1" applyBorder="1" applyAlignment="1">
      <alignment horizontal="centerContinuous" vertical="top" wrapText="1"/>
    </xf>
    <xf numFmtId="0" fontId="56" fillId="0" borderId="0" xfId="1176" applyAlignment="1">
      <alignment vertical="top" wrapText="1"/>
    </xf>
    <xf numFmtId="3" fontId="70" fillId="46" borderId="17" xfId="1176" applyNumberFormat="1" applyFont="1" applyFill="1" applyBorder="1" applyAlignment="1">
      <alignment horizontal="right" wrapText="1"/>
    </xf>
    <xf numFmtId="3" fontId="70" fillId="44" borderId="17" xfId="1176" applyNumberFormat="1" applyFont="1" applyFill="1" applyBorder="1" applyAlignment="1">
      <alignment horizontal="right" wrapText="1"/>
    </xf>
    <xf numFmtId="164" fontId="323" fillId="46" borderId="0" xfId="1176" applyNumberFormat="1" applyFont="1" applyFill="1" applyAlignment="1">
      <alignment horizontal="center" vertical="center" wrapText="1"/>
    </xf>
    <xf numFmtId="0" fontId="98" fillId="0" borderId="0" xfId="1176" applyFont="1" applyFill="1" applyAlignment="1">
      <alignment horizontal="centerContinuous"/>
    </xf>
    <xf numFmtId="0" fontId="70" fillId="0" borderId="17" xfId="1176" applyFont="1" applyBorder="1" applyAlignment="1">
      <alignment horizontal="center" vertical="center" wrapText="1"/>
    </xf>
    <xf numFmtId="3" fontId="323" fillId="46" borderId="0" xfId="1176" applyNumberFormat="1" applyFont="1" applyFill="1" applyAlignment="1">
      <alignment horizontal="center" vertical="center" wrapText="1"/>
    </xf>
    <xf numFmtId="4" fontId="70" fillId="64" borderId="17" xfId="1176" applyNumberFormat="1" applyFont="1" applyFill="1" applyBorder="1" applyAlignment="1">
      <alignment horizontal="centerContinuous" vertical="center" wrapText="1"/>
    </xf>
    <xf numFmtId="0" fontId="321" fillId="54" borderId="0" xfId="1176" applyFont="1" applyFill="1" applyAlignment="1">
      <alignment horizontal="centerContinuous" vertical="center" wrapText="1"/>
    </xf>
    <xf numFmtId="0" fontId="322" fillId="54" borderId="0" xfId="1176" applyFont="1" applyFill="1" applyAlignment="1">
      <alignment horizontal="centerContinuous" vertical="center" wrapText="1"/>
    </xf>
    <xf numFmtId="0" fontId="14" fillId="54" borderId="0" xfId="1176" applyFont="1" applyFill="1" applyAlignment="1">
      <alignment horizontal="centerContinuous" vertical="center" wrapText="1"/>
    </xf>
    <xf numFmtId="0" fontId="74" fillId="54" borderId="6" xfId="1176" applyFont="1" applyFill="1" applyBorder="1" applyAlignment="1">
      <alignment horizontal="centerContinuous" vertical="center" wrapText="1"/>
    </xf>
    <xf numFmtId="0" fontId="74" fillId="54" borderId="26" xfId="1176" applyFont="1" applyFill="1" applyBorder="1" applyAlignment="1">
      <alignment horizontal="centerContinuous" vertical="center" wrapText="1"/>
    </xf>
    <xf numFmtId="3" fontId="70" fillId="54" borderId="17" xfId="1176" applyNumberFormat="1" applyFont="1" applyFill="1" applyBorder="1" applyAlignment="1">
      <alignment horizontal="right" wrapText="1"/>
    </xf>
    <xf numFmtId="0" fontId="56" fillId="54" borderId="0" xfId="1176" applyFill="1" applyAlignment="1">
      <alignment vertical="center" wrapText="1"/>
    </xf>
    <xf numFmtId="170" fontId="70" fillId="54" borderId="17" xfId="1176" applyNumberFormat="1" applyFont="1" applyFill="1" applyBorder="1" applyAlignment="1">
      <alignment horizontal="right" wrapText="1"/>
    </xf>
    <xf numFmtId="2" fontId="201" fillId="48" borderId="0" xfId="0" applyNumberFormat="1" applyFont="1" applyFill="1" applyAlignment="1">
      <alignment horizontal="center"/>
    </xf>
    <xf numFmtId="0" fontId="11" fillId="46" borderId="30" xfId="0" applyFont="1" applyFill="1" applyBorder="1"/>
    <xf numFmtId="0" fontId="11" fillId="46" borderId="28" xfId="0" applyFont="1" applyFill="1" applyBorder="1" applyAlignment="1">
      <alignment horizontal="center"/>
    </xf>
    <xf numFmtId="0" fontId="0" fillId="63" borderId="0" xfId="1208" applyFont="1" applyFill="1" applyAlignment="1">
      <alignment horizontal="centerContinuous"/>
    </xf>
    <xf numFmtId="0" fontId="30" fillId="63" borderId="0" xfId="1208" applyFill="1" applyAlignment="1">
      <alignment horizontal="centerContinuous"/>
    </xf>
    <xf numFmtId="0" fontId="0" fillId="63" borderId="0" xfId="1208" applyFont="1" applyFill="1" applyAlignment="1">
      <alignment horizontal="center"/>
    </xf>
    <xf numFmtId="0" fontId="0" fillId="63" borderId="0" xfId="1208" applyFont="1" applyFill="1"/>
    <xf numFmtId="0" fontId="30" fillId="63" borderId="0" xfId="1208" applyFill="1"/>
    <xf numFmtId="0" fontId="11" fillId="59" borderId="0" xfId="1176" applyFont="1" applyFill="1"/>
    <xf numFmtId="0" fontId="11" fillId="59" borderId="0" xfId="1176" applyFont="1" applyFill="1" applyAlignment="1">
      <alignment horizontal="center"/>
    </xf>
    <xf numFmtId="0" fontId="144" fillId="54" borderId="0" xfId="0" applyFont="1" applyFill="1" applyAlignment="1">
      <alignment horizontal="centerContinuous"/>
    </xf>
    <xf numFmtId="0" fontId="0" fillId="54" borderId="0" xfId="0" applyFont="1" applyFill="1" applyAlignment="1">
      <alignment horizontal="centerContinuous"/>
    </xf>
    <xf numFmtId="0" fontId="302" fillId="54" borderId="0" xfId="0" applyFont="1" applyFill="1"/>
    <xf numFmtId="0" fontId="0" fillId="54" borderId="0" xfId="0" applyFont="1" applyFill="1" applyAlignment="1"/>
    <xf numFmtId="0" fontId="0" fillId="54" borderId="0" xfId="0" applyFont="1" applyFill="1"/>
    <xf numFmtId="4" fontId="0" fillId="54" borderId="0" xfId="0" applyNumberFormat="1" applyFont="1" applyFill="1"/>
    <xf numFmtId="0" fontId="302" fillId="58" borderId="0" xfId="0" applyFont="1" applyFill="1" applyAlignment="1">
      <alignment horizontal="right"/>
    </xf>
    <xf numFmtId="0" fontId="0" fillId="59" borderId="0" xfId="0" applyFill="1" applyAlignment="1">
      <alignment horizontal="center"/>
    </xf>
    <xf numFmtId="170" fontId="302" fillId="58" borderId="0" xfId="0" applyNumberFormat="1" applyFont="1" applyFill="1" applyAlignment="1"/>
    <xf numFmtId="170" fontId="0" fillId="59" borderId="0" xfId="0" applyNumberFormat="1" applyFont="1" applyFill="1" applyAlignment="1">
      <alignment horizontal="center"/>
    </xf>
    <xf numFmtId="0" fontId="77" fillId="54" borderId="0" xfId="0" applyFont="1" applyFill="1"/>
    <xf numFmtId="0" fontId="0" fillId="65" borderId="0" xfId="0" applyFont="1" applyFill="1" applyAlignment="1">
      <alignment horizontal="right"/>
    </xf>
    <xf numFmtId="170" fontId="0" fillId="65" borderId="0" xfId="0" applyNumberFormat="1" applyFont="1" applyFill="1"/>
    <xf numFmtId="0" fontId="0" fillId="54" borderId="17" xfId="0" applyFont="1" applyFill="1" applyBorder="1" applyAlignment="1">
      <alignment horizontal="center" vertical="top"/>
    </xf>
    <xf numFmtId="170" fontId="0" fillId="54" borderId="17" xfId="0" applyNumberFormat="1" applyFont="1" applyFill="1" applyBorder="1" applyAlignment="1">
      <alignment horizontal="center" vertical="top" wrapText="1"/>
    </xf>
    <xf numFmtId="0" fontId="302" fillId="54" borderId="0" xfId="0" applyFont="1" applyFill="1" applyAlignment="1"/>
    <xf numFmtId="170" fontId="325" fillId="66" borderId="0" xfId="0" applyNumberFormat="1" applyFont="1" applyFill="1" applyAlignment="1">
      <alignment horizontal="right"/>
    </xf>
    <xf numFmtId="0" fontId="0" fillId="54" borderId="17" xfId="0" applyFont="1" applyFill="1" applyBorder="1" applyAlignment="1">
      <alignment horizontal="right"/>
    </xf>
    <xf numFmtId="0" fontId="0" fillId="54" borderId="33" xfId="0" applyFill="1" applyBorder="1"/>
    <xf numFmtId="0" fontId="0" fillId="54" borderId="6" xfId="0" applyFont="1" applyFill="1" applyBorder="1"/>
    <xf numFmtId="0" fontId="0" fillId="54" borderId="17" xfId="0" applyFill="1" applyBorder="1" applyAlignment="1">
      <alignment horizontal="right"/>
    </xf>
    <xf numFmtId="0" fontId="0" fillId="54" borderId="29" xfId="0" applyFont="1" applyFill="1" applyBorder="1"/>
    <xf numFmtId="4" fontId="302" fillId="54" borderId="0" xfId="0" applyNumberFormat="1" applyFont="1" applyFill="1"/>
    <xf numFmtId="0" fontId="302" fillId="54" borderId="0" xfId="0" applyFont="1" applyFill="1" applyAlignment="1">
      <alignment horizontal="right"/>
    </xf>
    <xf numFmtId="0" fontId="0" fillId="59" borderId="0" xfId="0" applyFont="1" applyFill="1"/>
    <xf numFmtId="170" fontId="302" fillId="59" borderId="0" xfId="0" applyNumberFormat="1" applyFont="1" applyFill="1" applyAlignment="1">
      <alignment horizontal="center"/>
    </xf>
    <xf numFmtId="0" fontId="302" fillId="59" borderId="0" xfId="0" applyFont="1" applyFill="1" applyAlignment="1">
      <alignment horizontal="center"/>
    </xf>
    <xf numFmtId="170" fontId="302" fillId="59" borderId="0" xfId="0" applyNumberFormat="1" applyFont="1" applyFill="1" applyAlignment="1">
      <alignment horizontal="right"/>
    </xf>
    <xf numFmtId="0" fontId="302" fillId="59" borderId="0" xfId="0" applyFont="1" applyFill="1" applyAlignment="1">
      <alignment horizontal="left"/>
    </xf>
    <xf numFmtId="0" fontId="0" fillId="54" borderId="28" xfId="0" applyFill="1" applyBorder="1"/>
    <xf numFmtId="170" fontId="302" fillId="54" borderId="0" xfId="0" applyNumberFormat="1" applyFont="1" applyFill="1"/>
    <xf numFmtId="0" fontId="326" fillId="58" borderId="30" xfId="0" applyFont="1" applyFill="1" applyBorder="1"/>
    <xf numFmtId="0" fontId="307" fillId="58" borderId="24" xfId="0" applyFont="1" applyFill="1" applyBorder="1"/>
    <xf numFmtId="4" fontId="0" fillId="54" borderId="22" xfId="0" applyNumberFormat="1" applyFont="1" applyFill="1" applyBorder="1"/>
    <xf numFmtId="170" fontId="0" fillId="54" borderId="0" xfId="0" applyNumberFormat="1" applyFont="1" applyFill="1"/>
    <xf numFmtId="0" fontId="0" fillId="54" borderId="24" xfId="0" applyFont="1" applyFill="1" applyBorder="1"/>
    <xf numFmtId="0" fontId="0" fillId="54" borderId="0" xfId="0" applyFill="1"/>
    <xf numFmtId="170" fontId="77" fillId="54" borderId="0" xfId="0" applyNumberFormat="1" applyFont="1" applyFill="1"/>
    <xf numFmtId="0" fontId="178" fillId="46" borderId="0" xfId="1434" applyFont="1" applyFill="1" applyAlignment="1"/>
    <xf numFmtId="0" fontId="180" fillId="0" borderId="0" xfId="1434" applyFont="1" applyAlignment="1"/>
    <xf numFmtId="168" fontId="178" fillId="46" borderId="0" xfId="1434" applyNumberFormat="1" applyFont="1" applyFill="1"/>
    <xf numFmtId="0" fontId="178" fillId="46" borderId="0" xfId="1434" applyFont="1" applyFill="1"/>
    <xf numFmtId="0" fontId="161" fillId="0" borderId="0" xfId="1434" applyFont="1"/>
    <xf numFmtId="0" fontId="178" fillId="0" borderId="0" xfId="1434" applyFont="1"/>
    <xf numFmtId="169" fontId="309" fillId="0" borderId="0" xfId="1434" applyNumberFormat="1" applyFont="1"/>
    <xf numFmtId="168" fontId="161" fillId="46" borderId="0" xfId="1434" applyNumberFormat="1" applyFont="1" applyFill="1" applyAlignment="1">
      <alignment horizontal="left"/>
    </xf>
    <xf numFmtId="168" fontId="161" fillId="0" borderId="0" xfId="1434" applyNumberFormat="1" applyFont="1" applyAlignment="1">
      <alignment horizontal="center"/>
    </xf>
    <xf numFmtId="0" fontId="126" fillId="54" borderId="0" xfId="0" applyFont="1" applyFill="1"/>
    <xf numFmtId="0" fontId="126" fillId="54" borderId="0" xfId="0" applyFont="1" applyFill="1" applyAlignment="1">
      <alignment horizontal="center"/>
    </xf>
    <xf numFmtId="49" fontId="126" fillId="54" borderId="0" xfId="0" applyNumberFormat="1" applyFont="1" applyFill="1" applyAlignment="1">
      <alignment horizontal="center"/>
    </xf>
    <xf numFmtId="0" fontId="327" fillId="54" borderId="0" xfId="0" applyFont="1" applyFill="1"/>
    <xf numFmtId="0" fontId="147" fillId="0" borderId="0" xfId="0" applyFont="1" applyAlignment="1">
      <alignment horizontal="center" vertical="top"/>
    </xf>
    <xf numFmtId="0" fontId="0" fillId="0" borderId="0" xfId="0"/>
    <xf numFmtId="0" fontId="9" fillId="0" borderId="17" xfId="0" applyFont="1" applyBorder="1" applyAlignment="1">
      <alignment horizontal="center" vertical="center" wrapText="1"/>
    </xf>
    <xf numFmtId="0" fontId="9" fillId="0" borderId="66" xfId="0" applyFont="1" applyBorder="1" applyAlignment="1">
      <alignment horizontal="center" vertical="center"/>
    </xf>
    <xf numFmtId="0" fontId="12" fillId="0" borderId="66" xfId="0" applyFont="1" applyBorder="1" applyAlignment="1">
      <alignment horizontal="left" vertical="center" wrapText="1" indent="1"/>
    </xf>
    <xf numFmtId="0" fontId="12" fillId="0" borderId="66" xfId="0" applyFont="1" applyBorder="1" applyAlignment="1">
      <alignment horizontal="center" vertical="center" wrapText="1"/>
    </xf>
    <xf numFmtId="0" fontId="9" fillId="0" borderId="66" xfId="0" applyFont="1" applyBorder="1" applyAlignment="1">
      <alignment horizontal="left" vertical="center" indent="1"/>
    </xf>
    <xf numFmtId="0" fontId="9" fillId="0" borderId="66" xfId="0" applyFont="1" applyBorder="1" applyAlignment="1">
      <alignment horizontal="center" vertical="center" wrapText="1"/>
    </xf>
    <xf numFmtId="200" fontId="9" fillId="0" borderId="66" xfId="0" applyNumberFormat="1" applyFont="1" applyBorder="1" applyAlignment="1">
      <alignment horizontal="left" vertical="center" wrapText="1" indent="1"/>
    </xf>
    <xf numFmtId="165" fontId="17" fillId="46" borderId="17" xfId="1216" applyNumberFormat="1" applyFont="1" applyFill="1" applyBorder="1" applyAlignment="1">
      <alignment horizontal="right" wrapText="1"/>
    </xf>
    <xf numFmtId="198" fontId="17" fillId="0" borderId="17" xfId="0" applyNumberFormat="1" applyFont="1" applyBorder="1"/>
    <xf numFmtId="0" fontId="9" fillId="0" borderId="17" xfId="0" applyFont="1" applyBorder="1" applyAlignment="1">
      <alignment horizontal="center" vertical="center" wrapText="1"/>
    </xf>
    <xf numFmtId="0" fontId="9" fillId="0" borderId="66" xfId="0" applyFont="1" applyBorder="1" applyAlignment="1">
      <alignment horizontal="center" vertical="center"/>
    </xf>
    <xf numFmtId="0" fontId="9" fillId="0" borderId="66" xfId="0" applyFont="1" applyBorder="1" applyAlignment="1">
      <alignment horizontal="center" vertical="center" wrapText="1"/>
    </xf>
    <xf numFmtId="200" fontId="9" fillId="0" borderId="66" xfId="0" applyNumberFormat="1" applyFont="1" applyBorder="1" applyAlignment="1">
      <alignment horizontal="left" vertical="center" wrapText="1" indent="1"/>
    </xf>
    <xf numFmtId="0" fontId="12" fillId="0" borderId="66" xfId="0" applyFont="1" applyBorder="1" applyAlignment="1">
      <alignment horizontal="center" vertical="center" wrapText="1"/>
    </xf>
    <xf numFmtId="0" fontId="12" fillId="0" borderId="66" xfId="0" applyFont="1" applyBorder="1" applyAlignment="1">
      <alignment horizontal="left" vertical="center" wrapText="1" indent="1"/>
    </xf>
    <xf numFmtId="0" fontId="9" fillId="0" borderId="66" xfId="0" applyFont="1" applyBorder="1" applyAlignment="1">
      <alignment horizontal="left" vertical="center" indent="1"/>
    </xf>
    <xf numFmtId="0" fontId="303" fillId="0" borderId="0" xfId="0" applyFont="1" applyAlignment="1">
      <alignment horizontal="right"/>
    </xf>
    <xf numFmtId="0" fontId="9" fillId="54" borderId="67" xfId="0" applyFont="1" applyFill="1" applyBorder="1" applyAlignment="1">
      <alignment horizontal="center"/>
    </xf>
    <xf numFmtId="0" fontId="9" fillId="54" borderId="66" xfId="0" applyFont="1" applyFill="1" applyBorder="1" applyAlignment="1">
      <alignment horizontal="center" vertical="center"/>
    </xf>
    <xf numFmtId="0" fontId="9" fillId="54" borderId="66" xfId="0" applyFont="1" applyFill="1" applyBorder="1" applyAlignment="1">
      <alignment horizontal="center" vertical="center" wrapText="1"/>
    </xf>
    <xf numFmtId="0" fontId="305" fillId="54" borderId="66" xfId="0" applyFont="1" applyFill="1" applyBorder="1" applyAlignment="1">
      <alignment horizontal="center" vertical="center" wrapText="1"/>
    </xf>
    <xf numFmtId="0" fontId="303" fillId="59" borderId="0" xfId="0" applyFont="1" applyFill="1" applyAlignment="1">
      <alignment horizontal="center"/>
    </xf>
    <xf numFmtId="194" fontId="303" fillId="67" borderId="66" xfId="1217" applyNumberFormat="1" applyFont="1" applyFill="1" applyBorder="1" applyAlignment="1">
      <alignment horizontal="center"/>
    </xf>
    <xf numFmtId="0" fontId="9" fillId="59" borderId="67" xfId="0" applyFont="1" applyFill="1" applyBorder="1" applyAlignment="1">
      <alignment horizontal="center"/>
    </xf>
    <xf numFmtId="194" fontId="9" fillId="67" borderId="66" xfId="1217" applyNumberFormat="1" applyFont="1" applyFill="1" applyBorder="1" applyAlignment="1">
      <alignment horizontal="center"/>
    </xf>
    <xf numFmtId="0" fontId="120" fillId="59" borderId="66" xfId="0" applyFont="1" applyFill="1" applyBorder="1" applyAlignment="1">
      <alignment horizontal="center" vertical="center" wrapText="1"/>
    </xf>
    <xf numFmtId="0" fontId="120" fillId="54" borderId="66" xfId="0" applyFont="1" applyFill="1" applyBorder="1" applyAlignment="1">
      <alignment horizontal="center" vertical="center" wrapText="1"/>
    </xf>
    <xf numFmtId="0" fontId="306" fillId="68" borderId="0" xfId="0" applyFont="1" applyFill="1" applyAlignment="1">
      <alignment horizontal="center"/>
    </xf>
    <xf numFmtId="0" fontId="306" fillId="68" borderId="0" xfId="0" applyFont="1" applyFill="1" applyAlignment="1">
      <alignment horizontal="right"/>
    </xf>
    <xf numFmtId="0" fontId="306" fillId="68" borderId="0" xfId="0" applyFont="1" applyFill="1" applyAlignment="1">
      <alignment horizontal="left"/>
    </xf>
    <xf numFmtId="216" fontId="9" fillId="59" borderId="0" xfId="1427" applyNumberFormat="1" applyFont="1" applyFill="1"/>
    <xf numFmtId="216" fontId="306" fillId="68" borderId="0" xfId="1427" applyNumberFormat="1" applyFont="1" applyFill="1"/>
    <xf numFmtId="199" fontId="9" fillId="67" borderId="66" xfId="1217" applyNumberFormat="1" applyFont="1" applyFill="1" applyBorder="1" applyAlignment="1">
      <alignment horizontal="center" vertical="top"/>
    </xf>
    <xf numFmtId="216" fontId="9" fillId="59" borderId="0" xfId="0" applyNumberFormat="1" applyFont="1" applyFill="1"/>
    <xf numFmtId="0" fontId="303" fillId="0" borderId="0" xfId="0" applyFont="1" applyAlignment="1">
      <alignment horizontal="left"/>
    </xf>
    <xf numFmtId="0" fontId="303" fillId="0" borderId="0" xfId="0" applyFont="1" applyAlignment="1">
      <alignment horizontal="centerContinuous"/>
    </xf>
    <xf numFmtId="0" fontId="305" fillId="0" borderId="0" xfId="0" applyFont="1" applyAlignment="1">
      <alignment horizontal="centerContinuous" vertical="center" wrapText="1"/>
    </xf>
    <xf numFmtId="170" fontId="194" fillId="59" borderId="0" xfId="0" applyNumberFormat="1" applyFont="1" applyFill="1"/>
    <xf numFmtId="0" fontId="11" fillId="59" borderId="0" xfId="0" applyFont="1" applyFill="1" applyAlignment="1">
      <alignment horizontal="left"/>
    </xf>
    <xf numFmtId="0" fontId="30" fillId="59" borderId="0" xfId="1208" applyFont="1" applyFill="1"/>
    <xf numFmtId="0" fontId="102" fillId="59" borderId="0" xfId="1208" applyFont="1" applyFill="1"/>
    <xf numFmtId="0" fontId="11" fillId="59" borderId="0" xfId="0" applyFont="1" applyFill="1"/>
    <xf numFmtId="169" fontId="60" fillId="59" borderId="0" xfId="0" applyNumberFormat="1" applyFont="1" applyFill="1"/>
    <xf numFmtId="170" fontId="14" fillId="59" borderId="0" xfId="0" applyNumberFormat="1" applyFont="1" applyFill="1" applyAlignment="1">
      <alignment horizontal="right"/>
    </xf>
    <xf numFmtId="0" fontId="60" fillId="46" borderId="17" xfId="1208" applyFont="1" applyFill="1" applyBorder="1" applyAlignment="1">
      <alignment horizontal="centerContinuous" vertical="center" wrapText="1"/>
    </xf>
    <xf numFmtId="0" fontId="30" fillId="54" borderId="0" xfId="1208" applyFill="1"/>
    <xf numFmtId="2" fontId="15" fillId="54" borderId="0" xfId="0" applyNumberFormat="1" applyFont="1" applyFill="1" applyBorder="1"/>
    <xf numFmtId="0" fontId="9" fillId="54" borderId="0" xfId="0" applyFont="1" applyFill="1" applyBorder="1"/>
    <xf numFmtId="0" fontId="30" fillId="54" borderId="0" xfId="1208" applyFill="1" applyAlignment="1">
      <alignment horizontal="centerContinuous"/>
    </xf>
    <xf numFmtId="0" fontId="0" fillId="54" borderId="0" xfId="1208" applyFont="1" applyFill="1"/>
    <xf numFmtId="0" fontId="11" fillId="54" borderId="17" xfId="1208" applyFont="1" applyFill="1" applyBorder="1" applyAlignment="1">
      <alignment horizontal="centerContinuous" vertical="center" wrapText="1"/>
    </xf>
    <xf numFmtId="4" fontId="60" fillId="54" borderId="17" xfId="1208" applyNumberFormat="1" applyFont="1" applyFill="1" applyBorder="1" applyAlignment="1">
      <alignment horizontal="right" wrapText="1"/>
    </xf>
    <xf numFmtId="0" fontId="102" fillId="0" borderId="0" xfId="1208" applyFont="1" applyAlignment="1">
      <alignment horizontal="centerContinuous"/>
    </xf>
    <xf numFmtId="1" fontId="60" fillId="46" borderId="17" xfId="1208" applyNumberFormat="1" applyFont="1" applyFill="1" applyBorder="1" applyAlignment="1">
      <alignment horizontal="right" wrapText="1"/>
    </xf>
    <xf numFmtId="1" fontId="60" fillId="54" borderId="17" xfId="1208" applyNumberFormat="1" applyFont="1" applyFill="1" applyBorder="1" applyAlignment="1">
      <alignment horizontal="right" wrapText="1"/>
    </xf>
    <xf numFmtId="170" fontId="60" fillId="46" borderId="17" xfId="1208" applyNumberFormat="1" applyFont="1" applyFill="1" applyBorder="1" applyAlignment="1">
      <alignment horizontal="right" wrapText="1"/>
    </xf>
    <xf numFmtId="170" fontId="60" fillId="54" borderId="17" xfId="1208" applyNumberFormat="1" applyFont="1" applyFill="1" applyBorder="1" applyAlignment="1">
      <alignment horizontal="right" wrapText="1"/>
    </xf>
    <xf numFmtId="170" fontId="14" fillId="46" borderId="17" xfId="1208" applyNumberFormat="1" applyFont="1" applyFill="1" applyBorder="1" applyAlignment="1">
      <alignment horizontal="right" wrapText="1"/>
    </xf>
    <xf numFmtId="170" fontId="14" fillId="54" borderId="17" xfId="1208" applyNumberFormat="1" applyFont="1" applyFill="1" applyBorder="1" applyAlignment="1">
      <alignment horizontal="right" wrapText="1"/>
    </xf>
    <xf numFmtId="0" fontId="58" fillId="54" borderId="17" xfId="1208" applyFont="1" applyFill="1" applyBorder="1" applyAlignment="1">
      <alignment horizontal="centerContinuous" vertical="center" wrapText="1"/>
    </xf>
    <xf numFmtId="0" fontId="9" fillId="54" borderId="0" xfId="0" applyFont="1" applyFill="1" applyAlignment="1">
      <alignment horizontal="centerContinuous" vertical="center" wrapText="1"/>
    </xf>
    <xf numFmtId="0" fontId="11" fillId="54" borderId="0" xfId="0" applyFont="1" applyFill="1" applyAlignment="1">
      <alignment horizontal="centerContinuous"/>
    </xf>
    <xf numFmtId="0" fontId="303" fillId="54" borderId="0" xfId="0" applyFont="1" applyFill="1" applyAlignment="1">
      <alignment horizontal="right"/>
    </xf>
    <xf numFmtId="0" fontId="11" fillId="54" borderId="0" xfId="0" applyFont="1" applyFill="1" applyAlignment="1">
      <alignment horizontal="centerContinuous" wrapText="1"/>
    </xf>
    <xf numFmtId="0" fontId="9" fillId="54" borderId="0" xfId="0" applyFont="1" applyFill="1" applyAlignment="1">
      <alignment horizontal="centerContinuous"/>
    </xf>
    <xf numFmtId="0" fontId="9" fillId="54" borderId="0" xfId="0" applyFont="1" applyFill="1" applyAlignment="1">
      <alignment horizontal="centerContinuous" wrapText="1"/>
    </xf>
    <xf numFmtId="0" fontId="9" fillId="54" borderId="0" xfId="0" applyFont="1" applyFill="1" applyAlignment="1">
      <alignment horizontal="center"/>
    </xf>
    <xf numFmtId="0" fontId="305" fillId="63" borderId="17" xfId="1209" applyFont="1" applyFill="1" applyBorder="1" applyAlignment="1">
      <alignment horizontal="center" wrapText="1"/>
    </xf>
    <xf numFmtId="4" fontId="328" fillId="63" borderId="17" xfId="1209" applyNumberFormat="1" applyFont="1" applyFill="1" applyBorder="1" applyAlignment="1">
      <alignment wrapText="1"/>
    </xf>
    <xf numFmtId="0" fontId="158" fillId="54" borderId="84" xfId="1183" applyFont="1" applyFill="1" applyBorder="1" applyAlignment="1">
      <alignment wrapText="1"/>
    </xf>
    <xf numFmtId="0" fontId="158" fillId="54" borderId="120" xfId="1183" applyFont="1" applyFill="1" applyBorder="1" applyAlignment="1"/>
    <xf numFmtId="0" fontId="158" fillId="54" borderId="85" xfId="1183" applyFont="1" applyFill="1" applyBorder="1" applyAlignment="1"/>
    <xf numFmtId="202" fontId="158" fillId="54" borderId="121" xfId="1183" applyNumberFormat="1" applyFont="1" applyFill="1" applyBorder="1" applyAlignment="1">
      <alignment horizontal="right"/>
    </xf>
    <xf numFmtId="202" fontId="158" fillId="54" borderId="85" xfId="1183" applyNumberFormat="1" applyFont="1" applyFill="1" applyBorder="1" applyAlignment="1">
      <alignment horizontal="right"/>
    </xf>
    <xf numFmtId="202" fontId="158" fillId="54" borderId="87" xfId="1183" applyNumberFormat="1" applyFont="1" applyFill="1" applyBorder="1" applyAlignment="1">
      <alignment horizontal="right"/>
    </xf>
    <xf numFmtId="0" fontId="160" fillId="54" borderId="86" xfId="1183" applyFont="1" applyFill="1" applyBorder="1" applyAlignment="1"/>
    <xf numFmtId="202" fontId="158" fillId="54" borderId="85" xfId="1183" applyNumberFormat="1" applyFont="1" applyFill="1" applyBorder="1" applyAlignment="1">
      <alignment horizontal="right" wrapText="1"/>
    </xf>
    <xf numFmtId="202" fontId="160" fillId="54" borderId="87" xfId="1183" applyNumberFormat="1" applyFont="1" applyFill="1" applyBorder="1" applyAlignment="1">
      <alignment horizontal="right"/>
    </xf>
    <xf numFmtId="168" fontId="158" fillId="54" borderId="86" xfId="1183" applyNumberFormat="1" applyFont="1" applyFill="1" applyBorder="1" applyAlignment="1"/>
    <xf numFmtId="166" fontId="158" fillId="54" borderId="85" xfId="1183" applyNumberFormat="1" applyFont="1" applyFill="1" applyBorder="1" applyAlignment="1"/>
    <xf numFmtId="166" fontId="158" fillId="54" borderId="87" xfId="1183" applyNumberFormat="1" applyFont="1" applyFill="1" applyBorder="1" applyAlignment="1"/>
    <xf numFmtId="169" fontId="158" fillId="54" borderId="84" xfId="1183" applyNumberFormat="1" applyFont="1" applyFill="1" applyBorder="1" applyAlignment="1">
      <alignment horizontal="right"/>
    </xf>
    <xf numFmtId="164" fontId="58" fillId="0" borderId="0" xfId="0" applyNumberFormat="1" applyFont="1" applyAlignment="1">
      <alignment horizontal="center"/>
    </xf>
    <xf numFmtId="3" fontId="329" fillId="54" borderId="48" xfId="1176" applyNumberFormat="1" applyFont="1" applyFill="1" applyBorder="1" applyAlignment="1">
      <alignment horizontal="right" wrapText="1"/>
    </xf>
    <xf numFmtId="0" fontId="58" fillId="0" borderId="0" xfId="1176" applyFont="1" applyFill="1" applyAlignment="1">
      <alignment horizontal="centerContinuous" wrapText="1"/>
    </xf>
    <xf numFmtId="0" fontId="74" fillId="46" borderId="17" xfId="1176" applyFont="1" applyFill="1" applyBorder="1" applyAlignment="1">
      <alignment horizontal="center" wrapText="1"/>
    </xf>
    <xf numFmtId="3" fontId="74" fillId="46" borderId="17" xfId="1176" applyNumberFormat="1" applyFont="1" applyFill="1" applyBorder="1" applyAlignment="1">
      <alignment horizontal="right" wrapText="1"/>
    </xf>
    <xf numFmtId="3" fontId="74" fillId="54" borderId="17" xfId="1176" applyNumberFormat="1" applyFont="1" applyFill="1" applyBorder="1" applyAlignment="1">
      <alignment horizontal="right" wrapText="1"/>
    </xf>
    <xf numFmtId="170" fontId="74" fillId="54" borderId="17" xfId="1176" applyNumberFormat="1" applyFont="1" applyFill="1" applyBorder="1" applyAlignment="1">
      <alignment horizontal="right" wrapText="1"/>
    </xf>
    <xf numFmtId="170" fontId="74" fillId="54" borderId="0" xfId="1176" applyNumberFormat="1" applyFont="1" applyFill="1" applyBorder="1" applyAlignment="1">
      <alignment horizontal="right" wrapText="1"/>
    </xf>
    <xf numFmtId="0" fontId="324" fillId="46" borderId="0" xfId="1176" applyFont="1" applyFill="1" applyAlignment="1">
      <alignment horizontal="center" vertical="center" wrapText="1"/>
    </xf>
    <xf numFmtId="4" fontId="9" fillId="54" borderId="0" xfId="1208" applyNumberFormat="1" applyFont="1" applyFill="1"/>
    <xf numFmtId="0" fontId="11" fillId="63" borderId="17" xfId="1208" applyFont="1" applyFill="1" applyBorder="1" applyAlignment="1">
      <alignment horizontal="centerContinuous" vertical="center" wrapText="1"/>
    </xf>
    <xf numFmtId="1" fontId="60" fillId="63" borderId="17" xfId="1208" applyNumberFormat="1" applyFont="1" applyFill="1" applyBorder="1" applyAlignment="1">
      <alignment horizontal="right" wrapText="1"/>
    </xf>
    <xf numFmtId="170" fontId="60" fillId="63" borderId="17" xfId="1208" applyNumberFormat="1" applyFont="1" applyFill="1" applyBorder="1" applyAlignment="1">
      <alignment horizontal="right" wrapText="1"/>
    </xf>
    <xf numFmtId="4" fontId="60" fillId="63" borderId="17" xfId="1208" applyNumberFormat="1" applyFont="1" applyFill="1" applyBorder="1" applyAlignment="1">
      <alignment horizontal="right" wrapText="1"/>
    </xf>
    <xf numFmtId="170" fontId="14" fillId="63" borderId="17" xfId="1208" applyNumberFormat="1" applyFont="1" applyFill="1" applyBorder="1" applyAlignment="1">
      <alignment horizontal="right" wrapText="1"/>
    </xf>
    <xf numFmtId="0" fontId="316" fillId="63" borderId="20" xfId="0" applyFont="1" applyFill="1" applyBorder="1" applyAlignment="1">
      <alignment horizontal="center"/>
    </xf>
    <xf numFmtId="1" fontId="316" fillId="63" borderId="19" xfId="0" applyNumberFormat="1" applyFont="1" applyFill="1" applyBorder="1" applyAlignment="1">
      <alignment horizontal="center"/>
    </xf>
    <xf numFmtId="0" fontId="316" fillId="63" borderId="22" xfId="0" applyFont="1" applyFill="1" applyBorder="1" applyAlignment="1">
      <alignment horizontal="center"/>
    </xf>
    <xf numFmtId="0" fontId="60" fillId="54" borderId="17" xfId="1208" applyFont="1" applyFill="1" applyBorder="1" applyAlignment="1">
      <alignment horizontal="centerContinuous" vertical="center" wrapText="1"/>
    </xf>
    <xf numFmtId="0" fontId="78" fillId="54" borderId="0" xfId="1218" applyFont="1" applyFill="1" applyBorder="1" applyAlignment="1">
      <alignment horizontal="centerContinuous" wrapText="1"/>
    </xf>
    <xf numFmtId="0" fontId="30" fillId="54" borderId="0" xfId="1208" applyFont="1" applyFill="1" applyAlignment="1">
      <alignment horizontal="centerContinuous"/>
    </xf>
    <xf numFmtId="0" fontId="102" fillId="54" borderId="0" xfId="1208" applyFont="1" applyFill="1" applyAlignment="1">
      <alignment horizontal="centerContinuous"/>
    </xf>
    <xf numFmtId="0" fontId="11" fillId="46" borderId="0" xfId="1208" applyFont="1" applyFill="1" applyBorder="1" applyAlignment="1">
      <alignment horizontal="left" wrapText="1"/>
    </xf>
    <xf numFmtId="0" fontId="9" fillId="46" borderId="0" xfId="1208" applyFont="1" applyFill="1" applyBorder="1" applyAlignment="1">
      <alignment horizontal="center" wrapText="1"/>
    </xf>
    <xf numFmtId="4" fontId="60" fillId="46" borderId="0" xfId="1208" applyNumberFormat="1" applyFont="1" applyFill="1" applyBorder="1" applyAlignment="1">
      <alignment horizontal="right" wrapText="1"/>
    </xf>
    <xf numFmtId="4" fontId="60" fillId="63" borderId="0" xfId="1208" applyNumberFormat="1" applyFont="1" applyFill="1" applyBorder="1" applyAlignment="1">
      <alignment horizontal="right" wrapText="1"/>
    </xf>
    <xf numFmtId="4" fontId="60" fillId="54" borderId="0" xfId="1208" applyNumberFormat="1" applyFont="1" applyFill="1" applyBorder="1" applyAlignment="1">
      <alignment horizontal="right" wrapText="1"/>
    </xf>
    <xf numFmtId="173" fontId="328" fillId="63" borderId="17" xfId="1216" applyNumberFormat="1" applyFont="1" applyFill="1" applyBorder="1" applyAlignment="1">
      <alignment horizontal="right" wrapText="1"/>
    </xf>
    <xf numFmtId="4" fontId="70" fillId="54" borderId="17" xfId="1176" applyNumberFormat="1" applyFont="1" applyFill="1" applyBorder="1" applyAlignment="1">
      <alignment horizontal="right" wrapText="1"/>
    </xf>
    <xf numFmtId="10" fontId="70" fillId="54" borderId="17" xfId="1176" applyNumberFormat="1" applyFont="1" applyFill="1" applyBorder="1" applyAlignment="1">
      <alignment horizontal="right" wrapText="1"/>
    </xf>
    <xf numFmtId="170" fontId="329" fillId="54" borderId="0" xfId="1176" applyNumberFormat="1" applyFont="1" applyFill="1" applyBorder="1" applyAlignment="1">
      <alignment horizontal="right" wrapText="1"/>
    </xf>
    <xf numFmtId="0" fontId="11" fillId="54" borderId="0" xfId="0" applyFont="1" applyFill="1" applyBorder="1"/>
    <xf numFmtId="0" fontId="60" fillId="54" borderId="0" xfId="0" applyFont="1" applyFill="1" applyAlignment="1">
      <alignment horizontal="center"/>
    </xf>
    <xf numFmtId="0" fontId="60" fillId="54" borderId="0" xfId="0" applyFont="1" applyFill="1" applyBorder="1" applyAlignment="1">
      <alignment horizontal="right"/>
    </xf>
    <xf numFmtId="0" fontId="89" fillId="54" borderId="0" xfId="0" applyFont="1" applyFill="1" applyAlignment="1">
      <alignment horizontal="center" wrapText="1"/>
    </xf>
    <xf numFmtId="169" fontId="60" fillId="54" borderId="0" xfId="0" applyNumberFormat="1" applyFont="1" applyFill="1"/>
    <xf numFmtId="4" fontId="14" fillId="54" borderId="0" xfId="0" applyNumberFormat="1" applyFont="1" applyFill="1" applyAlignment="1">
      <alignment horizontal="right"/>
    </xf>
    <xf numFmtId="170" fontId="14" fillId="54" borderId="0" xfId="0" applyNumberFormat="1" applyFont="1" applyFill="1" applyAlignment="1">
      <alignment horizontal="right"/>
    </xf>
    <xf numFmtId="1" fontId="11" fillId="54" borderId="17" xfId="1208" applyNumberFormat="1" applyFont="1" applyFill="1" applyBorder="1" applyAlignment="1">
      <alignment horizontal="right" wrapText="1"/>
    </xf>
    <xf numFmtId="170" fontId="11" fillId="54" borderId="17" xfId="1208" applyNumberFormat="1" applyFont="1" applyFill="1" applyBorder="1" applyAlignment="1">
      <alignment horizontal="right" wrapText="1"/>
    </xf>
    <xf numFmtId="4" fontId="11" fillId="54" borderId="17" xfId="1208" applyNumberFormat="1" applyFont="1" applyFill="1" applyBorder="1" applyAlignment="1">
      <alignment horizontal="right" wrapText="1"/>
    </xf>
    <xf numFmtId="170" fontId="58" fillId="54" borderId="17" xfId="1208" applyNumberFormat="1" applyFont="1" applyFill="1" applyBorder="1" applyAlignment="1">
      <alignment horizontal="right" wrapText="1"/>
    </xf>
    <xf numFmtId="0" fontId="9" fillId="0" borderId="22" xfId="0" applyFont="1" applyBorder="1" applyAlignment="1">
      <alignment horizontal="center" vertical="top" wrapText="1"/>
    </xf>
    <xf numFmtId="0" fontId="9" fillId="0" borderId="25" xfId="0" applyFont="1" applyBorder="1" applyAlignment="1">
      <alignment vertical="top" wrapText="1"/>
    </xf>
    <xf numFmtId="0" fontId="330" fillId="0" borderId="0" xfId="0" applyFont="1" applyBorder="1"/>
    <xf numFmtId="4" fontId="328" fillId="0" borderId="17" xfId="0" applyNumberFormat="1" applyFont="1" applyBorder="1"/>
    <xf numFmtId="0" fontId="316" fillId="0" borderId="0" xfId="0" applyFont="1" applyBorder="1"/>
    <xf numFmtId="0" fontId="60" fillId="63" borderId="17" xfId="0" applyFont="1" applyFill="1" applyBorder="1" applyAlignment="1">
      <alignment horizontal="left" wrapText="1"/>
    </xf>
    <xf numFmtId="0" fontId="60" fillId="63" borderId="17" xfId="0" applyFont="1" applyFill="1" applyBorder="1" applyAlignment="1">
      <alignment horizontal="center" wrapText="1"/>
    </xf>
    <xf numFmtId="0" fontId="60" fillId="63" borderId="17" xfId="0" applyFont="1" applyFill="1" applyBorder="1" applyAlignment="1">
      <alignment horizontal="center"/>
    </xf>
    <xf numFmtId="173" fontId="60" fillId="63" borderId="17" xfId="1216" applyNumberFormat="1" applyFont="1" applyFill="1" applyBorder="1" applyAlignment="1">
      <alignment horizontal="right" wrapText="1"/>
    </xf>
    <xf numFmtId="4" fontId="60" fillId="63" borderId="17" xfId="0" applyNumberFormat="1" applyFont="1" applyFill="1" applyBorder="1"/>
    <xf numFmtId="0" fontId="303" fillId="63" borderId="0" xfId="0" applyFont="1" applyFill="1" applyAlignment="1">
      <alignment horizontal="right"/>
    </xf>
    <xf numFmtId="1" fontId="303" fillId="63" borderId="0" xfId="0" applyNumberFormat="1" applyFont="1" applyFill="1" applyAlignment="1">
      <alignment horizontal="left"/>
    </xf>
    <xf numFmtId="0" fontId="11" fillId="0" borderId="17" xfId="0" applyFont="1" applyBorder="1" applyAlignment="1">
      <alignment vertical="top"/>
    </xf>
    <xf numFmtId="0" fontId="9" fillId="0" borderId="17" xfId="0" applyFont="1" applyBorder="1" applyAlignment="1">
      <alignment horizontal="centerContinuous" vertical="top" wrapText="1"/>
    </xf>
    <xf numFmtId="0" fontId="9" fillId="0" borderId="17" xfId="0" applyFont="1" applyBorder="1" applyAlignment="1">
      <alignment vertical="top"/>
    </xf>
    <xf numFmtId="0" fontId="11" fillId="0" borderId="17" xfId="0" applyFont="1" applyBorder="1" applyAlignment="1"/>
    <xf numFmtId="0" fontId="9" fillId="0" borderId="17" xfId="0" applyFont="1" applyBorder="1" applyAlignment="1"/>
    <xf numFmtId="0" fontId="11" fillId="0" borderId="17" xfId="0" applyFont="1" applyBorder="1" applyAlignment="1">
      <alignment horizontal="right"/>
    </xf>
    <xf numFmtId="169" fontId="11" fillId="0" borderId="17" xfId="0" applyNumberFormat="1" applyFont="1" applyBorder="1" applyAlignment="1"/>
    <xf numFmtId="4" fontId="11" fillId="0" borderId="17" xfId="0" applyNumberFormat="1" applyFont="1" applyBorder="1" applyAlignment="1">
      <alignment horizontal="right"/>
    </xf>
    <xf numFmtId="170" fontId="11" fillId="0" borderId="17" xfId="0" applyNumberFormat="1" applyFont="1" applyBorder="1" applyAlignment="1">
      <alignment horizontal="right"/>
    </xf>
    <xf numFmtId="0" fontId="42" fillId="63" borderId="17" xfId="1209" applyFont="1" applyFill="1" applyBorder="1" applyAlignment="1">
      <alignment horizontal="center" wrapText="1"/>
    </xf>
    <xf numFmtId="173" fontId="178" fillId="63" borderId="17" xfId="1216" applyNumberFormat="1" applyFont="1" applyFill="1" applyBorder="1" applyAlignment="1">
      <alignment horizontal="center" wrapText="1"/>
    </xf>
    <xf numFmtId="0" fontId="42" fillId="63" borderId="17" xfId="1209" applyFont="1" applyFill="1" applyBorder="1" applyAlignment="1">
      <alignment wrapText="1"/>
    </xf>
    <xf numFmtId="0" fontId="42" fillId="63" borderId="17" xfId="0" applyFont="1" applyFill="1" applyBorder="1" applyAlignment="1">
      <alignment horizontal="center" wrapText="1"/>
    </xf>
    <xf numFmtId="0" fontId="313" fillId="63" borderId="17" xfId="1209" applyFont="1" applyFill="1" applyBorder="1" applyAlignment="1">
      <alignment horizontal="center" wrapText="1"/>
    </xf>
    <xf numFmtId="173" fontId="308" fillId="63" borderId="17" xfId="1216" applyNumberFormat="1" applyFont="1" applyFill="1" applyBorder="1" applyAlignment="1">
      <alignment horizontal="center" wrapText="1"/>
    </xf>
    <xf numFmtId="173" fontId="178" fillId="63" borderId="23" xfId="1216" applyNumberFormat="1" applyFont="1" applyFill="1" applyBorder="1" applyAlignment="1">
      <alignment horizontal="center" wrapText="1"/>
    </xf>
    <xf numFmtId="173" fontId="42" fillId="63" borderId="22" xfId="1216" applyNumberFormat="1" applyFont="1" applyFill="1" applyBorder="1" applyAlignment="1">
      <alignment horizontal="center" wrapText="1"/>
    </xf>
    <xf numFmtId="173" fontId="178" fillId="63" borderId="22" xfId="1216" applyNumberFormat="1" applyFont="1" applyFill="1" applyBorder="1" applyAlignment="1">
      <alignment horizontal="center" wrapText="1"/>
    </xf>
    <xf numFmtId="0" fontId="313" fillId="63" borderId="17" xfId="1209" applyFont="1" applyFill="1" applyBorder="1" applyAlignment="1">
      <alignment wrapText="1"/>
    </xf>
    <xf numFmtId="0" fontId="313" fillId="63" borderId="17" xfId="0" applyFont="1" applyFill="1" applyBorder="1" applyAlignment="1">
      <alignment horizontal="center" wrapText="1"/>
    </xf>
    <xf numFmtId="169" fontId="11" fillId="59" borderId="17" xfId="0" applyNumberFormat="1" applyFont="1" applyFill="1" applyBorder="1" applyAlignment="1"/>
    <xf numFmtId="0" fontId="42" fillId="54" borderId="0" xfId="0" applyFont="1" applyFill="1"/>
    <xf numFmtId="0" fontId="277" fillId="54" borderId="0" xfId="0" applyFont="1" applyFill="1"/>
    <xf numFmtId="0" fontId="161" fillId="54" borderId="0" xfId="0" applyFont="1" applyFill="1"/>
    <xf numFmtId="10" fontId="277" fillId="54" borderId="0" xfId="0" applyNumberFormat="1" applyFont="1" applyFill="1"/>
    <xf numFmtId="0" fontId="14" fillId="0" borderId="24" xfId="0" applyFont="1" applyBorder="1" applyAlignment="1">
      <alignment horizontal="center" vertical="top" wrapText="1"/>
    </xf>
    <xf numFmtId="0" fontId="11" fillId="54" borderId="0" xfId="0" applyFont="1" applyFill="1" applyBorder="1" applyAlignment="1">
      <alignment horizontal="centerContinuous" vertical="top" wrapText="1"/>
    </xf>
    <xf numFmtId="0" fontId="11" fillId="54" borderId="29" xfId="0" applyFont="1" applyFill="1" applyBorder="1" applyAlignment="1">
      <alignment horizontal="centerContinuous" vertical="top" wrapText="1"/>
    </xf>
    <xf numFmtId="0" fontId="11" fillId="54" borderId="27" xfId="0" applyFont="1" applyFill="1" applyBorder="1" applyAlignment="1">
      <alignment horizontal="centerContinuous" vertical="top" wrapText="1"/>
    </xf>
    <xf numFmtId="0" fontId="194" fillId="54" borderId="0" xfId="0" applyFont="1" applyFill="1" applyBorder="1" applyAlignment="1">
      <alignment horizontal="center" vertical="top" wrapText="1"/>
    </xf>
    <xf numFmtId="0" fontId="11" fillId="54" borderId="0" xfId="0" applyFont="1" applyFill="1" applyBorder="1" applyAlignment="1">
      <alignment horizontal="center" vertical="top" wrapText="1"/>
    </xf>
    <xf numFmtId="164" fontId="194" fillId="54" borderId="0" xfId="0" applyNumberFormat="1" applyFont="1" applyFill="1"/>
    <xf numFmtId="0" fontId="77" fillId="54" borderId="0" xfId="0" applyFont="1" applyFill="1" applyBorder="1" applyAlignment="1">
      <alignment horizontal="centerContinuous" vertical="center" wrapText="1"/>
    </xf>
    <xf numFmtId="0" fontId="15" fillId="54" borderId="0" xfId="1209" applyFont="1" applyFill="1" applyBorder="1" applyAlignment="1">
      <alignment horizontal="center" wrapText="1"/>
    </xf>
    <xf numFmtId="201" fontId="9" fillId="54" borderId="0" xfId="1209" applyNumberFormat="1" applyFont="1" applyFill="1" applyBorder="1" applyAlignment="1">
      <alignment horizontal="center" wrapText="1"/>
    </xf>
    <xf numFmtId="4" fontId="14" fillId="54" borderId="0" xfId="1209" applyNumberFormat="1" applyFont="1" applyFill="1" applyBorder="1" applyAlignment="1">
      <alignment wrapText="1"/>
    </xf>
    <xf numFmtId="164" fontId="303" fillId="54" borderId="0" xfId="0" applyNumberFormat="1" applyFont="1" applyFill="1"/>
    <xf numFmtId="14" fontId="9" fillId="0" borderId="6" xfId="0" applyNumberFormat="1" applyFont="1" applyBorder="1" applyAlignment="1">
      <alignment horizontal="center"/>
    </xf>
    <xf numFmtId="0" fontId="9" fillId="46" borderId="6" xfId="1209" applyFont="1" applyFill="1" applyBorder="1" applyAlignment="1">
      <alignment horizontal="center" vertical="center" wrapText="1"/>
    </xf>
    <xf numFmtId="4" fontId="60" fillId="46" borderId="26" xfId="1209" applyNumberFormat="1" applyFont="1" applyFill="1" applyBorder="1" applyAlignment="1">
      <alignment wrapText="1"/>
    </xf>
    <xf numFmtId="0" fontId="305" fillId="63" borderId="26" xfId="1209" applyFont="1" applyFill="1" applyBorder="1" applyAlignment="1">
      <alignment horizontal="center" wrapText="1"/>
    </xf>
    <xf numFmtId="0" fontId="60" fillId="46" borderId="17" xfId="1209" applyFont="1" applyFill="1" applyBorder="1" applyAlignment="1">
      <alignment horizontal="right" wrapText="1"/>
    </xf>
    <xf numFmtId="164" fontId="58" fillId="54" borderId="0" xfId="0" applyNumberFormat="1" applyFont="1" applyFill="1"/>
    <xf numFmtId="4" fontId="303" fillId="54" borderId="0" xfId="0" applyNumberFormat="1" applyFont="1" applyFill="1"/>
    <xf numFmtId="0" fontId="60" fillId="0" borderId="0" xfId="0" applyFont="1" applyAlignment="1">
      <alignment horizontal="left"/>
    </xf>
    <xf numFmtId="172" fontId="60" fillId="0" borderId="0" xfId="0" applyNumberFormat="1" applyFont="1"/>
    <xf numFmtId="0" fontId="0" fillId="0" borderId="33" xfId="0" applyFont="1" applyBorder="1" applyAlignment="1">
      <alignment horizontal="right" vertical="center" wrapText="1"/>
    </xf>
    <xf numFmtId="0" fontId="0" fillId="0" borderId="6" xfId="0" applyFont="1" applyBorder="1" applyAlignment="1">
      <alignment horizontal="center" vertical="center" wrapText="1"/>
    </xf>
    <xf numFmtId="168" fontId="8" fillId="0" borderId="0" xfId="1209" applyNumberFormat="1" applyFont="1" applyBorder="1" applyAlignment="1">
      <alignment vertical="top" wrapText="1"/>
    </xf>
    <xf numFmtId="168" fontId="8" fillId="0" borderId="0" xfId="1209" applyNumberFormat="1" applyFont="1" applyBorder="1" applyAlignment="1">
      <alignment horizontal="right" vertical="top" wrapText="1"/>
    </xf>
    <xf numFmtId="0" fontId="60" fillId="46" borderId="17" xfId="1209" applyFont="1" applyFill="1" applyBorder="1" applyAlignment="1">
      <alignment horizontal="centerContinuous" wrapText="1"/>
    </xf>
    <xf numFmtId="0" fontId="0" fillId="0" borderId="17" xfId="0" applyFont="1" applyBorder="1" applyAlignment="1">
      <alignment horizontal="centerContinuous" vertical="center" wrapText="1"/>
    </xf>
    <xf numFmtId="0" fontId="0" fillId="0" borderId="17" xfId="0" applyFont="1" applyBorder="1"/>
    <xf numFmtId="0" fontId="96" fillId="59" borderId="0" xfId="0" applyFont="1" applyFill="1" applyBorder="1" applyAlignment="1">
      <alignment horizontal="left" vertical="top"/>
    </xf>
    <xf numFmtId="0" fontId="11" fillId="59" borderId="0" xfId="0" applyFont="1" applyFill="1" applyBorder="1" applyAlignment="1">
      <alignment horizontal="centerContinuous" vertical="top" wrapText="1"/>
    </xf>
    <xf numFmtId="0" fontId="11" fillId="0" borderId="17" xfId="0" applyFont="1" applyBorder="1" applyAlignment="1">
      <alignment horizontal="center" vertical="center"/>
    </xf>
    <xf numFmtId="0" fontId="60" fillId="0" borderId="17" xfId="0" applyFont="1" applyBorder="1" applyAlignment="1">
      <alignment horizontal="left"/>
    </xf>
    <xf numFmtId="0" fontId="11" fillId="0" borderId="33" xfId="0" applyFont="1" applyBorder="1"/>
    <xf numFmtId="0" fontId="11" fillId="0" borderId="26" xfId="0" applyFont="1" applyBorder="1"/>
    <xf numFmtId="0" fontId="11" fillId="0" borderId="28" xfId="0" applyFont="1" applyBorder="1" applyAlignment="1">
      <alignment horizontal="centerContinuous" vertical="center"/>
    </xf>
    <xf numFmtId="0" fontId="11" fillId="0" borderId="27" xfId="0" applyFont="1" applyBorder="1" applyAlignment="1">
      <alignment horizontal="centerContinuous" vertical="center"/>
    </xf>
    <xf numFmtId="0" fontId="11" fillId="0" borderId="30" xfId="0" applyFont="1" applyBorder="1" applyAlignment="1">
      <alignment horizontal="centerContinuous" vertical="center"/>
    </xf>
    <xf numFmtId="0" fontId="11" fillId="0" borderId="25" xfId="0" applyFont="1" applyBorder="1" applyAlignment="1">
      <alignment horizontal="centerContinuous" vertical="center"/>
    </xf>
    <xf numFmtId="0" fontId="11" fillId="0" borderId="17" xfId="0" applyFont="1" applyBorder="1" applyAlignment="1">
      <alignment horizontal="centerContinuous" vertical="center" wrapText="1"/>
    </xf>
    <xf numFmtId="170" fontId="60" fillId="0" borderId="17" xfId="0" applyNumberFormat="1" applyFont="1" applyBorder="1"/>
    <xf numFmtId="14" fontId="9" fillId="0" borderId="17" xfId="0" applyNumberFormat="1" applyFont="1" applyBorder="1" applyAlignment="1">
      <alignment horizontal="center" wrapText="1"/>
    </xf>
    <xf numFmtId="0" fontId="60" fillId="46" borderId="17" xfId="0" applyFont="1" applyFill="1" applyBorder="1" applyAlignment="1">
      <alignment horizontal="center" vertical="center" wrapText="1"/>
    </xf>
    <xf numFmtId="168" fontId="11" fillId="0" borderId="0" xfId="1176" applyNumberFormat="1" applyFont="1"/>
    <xf numFmtId="4" fontId="302" fillId="58" borderId="0" xfId="0" applyNumberFormat="1" applyFont="1" applyFill="1"/>
    <xf numFmtId="170" fontId="178" fillId="0" borderId="33" xfId="0" applyNumberFormat="1" applyFont="1" applyFill="1" applyBorder="1" applyAlignment="1">
      <alignment horizontal="center"/>
    </xf>
    <xf numFmtId="0" fontId="11" fillId="58" borderId="28" xfId="1176" applyFont="1" applyFill="1" applyBorder="1" applyAlignment="1">
      <alignment horizontal="center"/>
    </xf>
    <xf numFmtId="0" fontId="11" fillId="58" borderId="30" xfId="1176" applyFont="1" applyFill="1" applyBorder="1" applyAlignment="1">
      <alignment horizontal="center"/>
    </xf>
    <xf numFmtId="0" fontId="316" fillId="58" borderId="24" xfId="1176" applyFont="1" applyFill="1" applyBorder="1" applyAlignment="1">
      <alignment horizontal="center"/>
    </xf>
    <xf numFmtId="0" fontId="316" fillId="58" borderId="25" xfId="1176" applyFont="1" applyFill="1" applyBorder="1" applyAlignment="1">
      <alignment horizontal="center"/>
    </xf>
    <xf numFmtId="0" fontId="335" fillId="58" borderId="27" xfId="1176" applyFont="1" applyFill="1" applyBorder="1" applyAlignment="1">
      <alignment horizontal="center"/>
    </xf>
    <xf numFmtId="0" fontId="334" fillId="58" borderId="29" xfId="0" applyFont="1" applyFill="1" applyBorder="1" applyAlignment="1">
      <alignment horizontal="right"/>
    </xf>
    <xf numFmtId="0" fontId="31" fillId="59" borderId="0" xfId="1206" applyFont="1" applyFill="1"/>
    <xf numFmtId="0" fontId="9" fillId="59" borderId="0" xfId="1206" applyFont="1" applyFill="1"/>
    <xf numFmtId="10" fontId="9" fillId="59" borderId="0" xfId="1206" applyNumberFormat="1" applyFont="1" applyFill="1"/>
    <xf numFmtId="3" fontId="31" fillId="59" borderId="0" xfId="1206" applyNumberFormat="1" applyFont="1" applyFill="1"/>
    <xf numFmtId="0" fontId="296" fillId="59" borderId="0" xfId="1206" applyFill="1"/>
    <xf numFmtId="0" fontId="9" fillId="59" borderId="23" xfId="1206" applyFont="1" applyFill="1" applyBorder="1" applyAlignment="1">
      <alignment horizontal="centerContinuous" wrapText="1"/>
    </xf>
    <xf numFmtId="10" fontId="9" fillId="59" borderId="23" xfId="1206" applyNumberFormat="1" applyFont="1" applyFill="1" applyBorder="1" applyAlignment="1">
      <alignment horizontal="centerContinuous" wrapText="1"/>
    </xf>
    <xf numFmtId="0" fontId="9" fillId="59" borderId="17" xfId="1206" applyFont="1" applyFill="1" applyBorder="1" applyAlignment="1">
      <alignment horizontal="center" wrapText="1"/>
    </xf>
    <xf numFmtId="10" fontId="10" fillId="59" borderId="17" xfId="1206" applyNumberFormat="1" applyFont="1" applyFill="1" applyBorder="1" applyAlignment="1">
      <alignment horizontal="center" vertical="top" wrapText="1"/>
    </xf>
    <xf numFmtId="0" fontId="10" fillId="59" borderId="17" xfId="1206" applyFont="1" applyFill="1" applyBorder="1" applyAlignment="1">
      <alignment horizontal="center" vertical="top" wrapText="1"/>
    </xf>
    <xf numFmtId="0" fontId="9" fillId="59" borderId="17" xfId="1206" applyFont="1" applyFill="1" applyBorder="1" applyAlignment="1">
      <alignment horizontal="center" vertical="top" wrapText="1"/>
    </xf>
    <xf numFmtId="0" fontId="15" fillId="59" borderId="17" xfId="1206" applyFont="1" applyFill="1" applyBorder="1" applyAlignment="1">
      <alignment horizontal="center" vertical="top" wrapText="1"/>
    </xf>
    <xf numFmtId="10" fontId="9" fillId="59" borderId="17" xfId="1206" applyNumberFormat="1" applyFont="1" applyFill="1" applyBorder="1" applyAlignment="1">
      <alignment horizontal="center" vertical="top" wrapText="1"/>
    </xf>
    <xf numFmtId="4" fontId="9" fillId="59" borderId="17" xfId="1206" applyNumberFormat="1" applyFont="1" applyFill="1" applyBorder="1" applyAlignment="1">
      <alignment horizontal="center" wrapText="1"/>
    </xf>
    <xf numFmtId="10" fontId="9" fillId="59" borderId="17" xfId="1206" applyNumberFormat="1" applyFont="1" applyFill="1" applyBorder="1" applyAlignment="1">
      <alignment horizontal="center" wrapText="1"/>
    </xf>
    <xf numFmtId="3" fontId="9" fillId="59" borderId="17" xfId="1206" applyNumberFormat="1" applyFont="1" applyFill="1" applyBorder="1" applyAlignment="1">
      <alignment horizontal="center" wrapText="1"/>
    </xf>
    <xf numFmtId="0" fontId="3" fillId="59" borderId="0" xfId="1206" applyFont="1" applyFill="1"/>
    <xf numFmtId="3" fontId="305" fillId="54" borderId="17" xfId="1206" applyNumberFormat="1" applyFont="1" applyFill="1" applyBorder="1" applyAlignment="1">
      <alignment horizontal="center" wrapText="1"/>
    </xf>
    <xf numFmtId="0" fontId="175" fillId="0" borderId="0" xfId="1435" applyFont="1" applyAlignment="1">
      <alignment horizontal="centerContinuous"/>
    </xf>
    <xf numFmtId="10" fontId="175" fillId="0" borderId="0" xfId="1435" applyNumberFormat="1" applyFont="1" applyAlignment="1">
      <alignment horizontal="centerContinuous"/>
    </xf>
    <xf numFmtId="0" fontId="2" fillId="0" borderId="0" xfId="1435"/>
    <xf numFmtId="0" fontId="2" fillId="0" borderId="0" xfId="1435" applyFont="1"/>
    <xf numFmtId="10" fontId="2" fillId="0" borderId="0" xfId="1435" applyNumberFormat="1"/>
    <xf numFmtId="0" fontId="58" fillId="0" borderId="0" xfId="1435" applyFont="1"/>
    <xf numFmtId="0" fontId="31" fillId="0" borderId="0" xfId="1435" applyFont="1"/>
    <xf numFmtId="0" fontId="9" fillId="0" borderId="0" xfId="1435" applyFont="1"/>
    <xf numFmtId="10" fontId="9" fillId="0" borderId="0" xfId="1435" applyNumberFormat="1" applyFont="1"/>
    <xf numFmtId="3" fontId="31" fillId="0" borderId="0" xfId="1435" applyNumberFormat="1" applyFont="1"/>
    <xf numFmtId="0" fontId="11" fillId="0" borderId="0" xfId="1435" applyFont="1"/>
    <xf numFmtId="0" fontId="11" fillId="46" borderId="0" xfId="1435" applyFont="1" applyFill="1"/>
    <xf numFmtId="0" fontId="9" fillId="0" borderId="23" xfId="1435" applyFont="1" applyBorder="1" applyAlignment="1">
      <alignment horizontal="centerContinuous" wrapText="1"/>
    </xf>
    <xf numFmtId="10" fontId="9" fillId="0" borderId="23" xfId="1435" applyNumberFormat="1" applyFont="1" applyBorder="1" applyAlignment="1">
      <alignment horizontal="centerContinuous" wrapText="1"/>
    </xf>
    <xf numFmtId="0" fontId="9" fillId="0" borderId="17" xfId="1435" applyFont="1" applyBorder="1" applyAlignment="1">
      <alignment horizontal="centerContinuous" wrapText="1"/>
    </xf>
    <xf numFmtId="0" fontId="9" fillId="0" borderId="17" xfId="1435" applyFont="1" applyBorder="1" applyAlignment="1">
      <alignment horizontal="center" wrapText="1"/>
    </xf>
    <xf numFmtId="10" fontId="10" fillId="0" borderId="17" xfId="1435" applyNumberFormat="1" applyFont="1" applyBorder="1" applyAlignment="1">
      <alignment horizontal="center" vertical="top" wrapText="1"/>
    </xf>
    <xf numFmtId="0" fontId="10" fillId="0" borderId="17" xfId="1435" applyFont="1" applyBorder="1" applyAlignment="1">
      <alignment horizontal="center" vertical="top" wrapText="1"/>
    </xf>
    <xf numFmtId="0" fontId="9" fillId="0" borderId="17" xfId="1435" applyFont="1" applyBorder="1" applyAlignment="1">
      <alignment horizontal="center" vertical="top" wrapText="1"/>
    </xf>
    <xf numFmtId="0" fontId="15" fillId="0" borderId="17" xfId="1435" applyFont="1" applyBorder="1" applyAlignment="1">
      <alignment horizontal="center" vertical="top" wrapText="1"/>
    </xf>
    <xf numFmtId="10" fontId="9" fillId="44" borderId="17" xfId="1435" applyNumberFormat="1" applyFont="1" applyFill="1" applyBorder="1" applyAlignment="1">
      <alignment horizontal="center" vertical="top" wrapText="1"/>
    </xf>
    <xf numFmtId="0" fontId="9" fillId="44" borderId="17" xfId="1435" applyFont="1" applyFill="1" applyBorder="1" applyAlignment="1">
      <alignment horizontal="center" vertical="top" wrapText="1"/>
    </xf>
    <xf numFmtId="0" fontId="9" fillId="46" borderId="17" xfId="1435" applyFont="1" applyFill="1" applyBorder="1" applyAlignment="1">
      <alignment horizontal="center" vertical="top" wrapText="1"/>
    </xf>
    <xf numFmtId="10" fontId="9" fillId="44" borderId="17" xfId="1435" applyNumberFormat="1" applyFont="1" applyFill="1" applyBorder="1" applyAlignment="1">
      <alignment horizontal="center" wrapText="1"/>
    </xf>
    <xf numFmtId="0" fontId="9" fillId="46" borderId="17" xfId="1435" applyFont="1" applyFill="1" applyBorder="1" applyAlignment="1">
      <alignment horizontal="center" wrapText="1"/>
    </xf>
    <xf numFmtId="4" fontId="9" fillId="46" borderId="17" xfId="1435" applyNumberFormat="1" applyFont="1" applyFill="1" applyBorder="1" applyAlignment="1">
      <alignment horizontal="center" wrapText="1"/>
    </xf>
    <xf numFmtId="3" fontId="9" fillId="46" borderId="17" xfId="1435" applyNumberFormat="1" applyFont="1" applyFill="1" applyBorder="1" applyAlignment="1">
      <alignment horizontal="center" wrapText="1"/>
    </xf>
    <xf numFmtId="0" fontId="9" fillId="46" borderId="0" xfId="1435" applyFont="1" applyFill="1" applyBorder="1" applyAlignment="1">
      <alignment horizontal="center" wrapText="1"/>
    </xf>
    <xf numFmtId="4" fontId="9" fillId="46" borderId="0" xfId="1435" applyNumberFormat="1" applyFont="1" applyFill="1" applyBorder="1" applyAlignment="1">
      <alignment horizontal="center" wrapText="1"/>
    </xf>
    <xf numFmtId="10" fontId="9" fillId="46" borderId="0" xfId="1435" applyNumberFormat="1" applyFont="1" applyFill="1" applyBorder="1" applyAlignment="1">
      <alignment horizontal="center" wrapText="1"/>
    </xf>
    <xf numFmtId="3" fontId="9" fillId="46" borderId="0" xfId="1435" applyNumberFormat="1" applyFont="1" applyFill="1" applyBorder="1" applyAlignment="1">
      <alignment horizontal="center" wrapText="1"/>
    </xf>
    <xf numFmtId="4" fontId="31" fillId="46" borderId="0" xfId="1435" applyNumberFormat="1" applyFont="1" applyFill="1" applyBorder="1" applyAlignment="1">
      <alignment horizontal="right"/>
    </xf>
    <xf numFmtId="0" fontId="31" fillId="48" borderId="0" xfId="1435" applyFont="1" applyFill="1"/>
    <xf numFmtId="0" fontId="9" fillId="48" borderId="0" xfId="1435" applyFont="1" applyFill="1"/>
    <xf numFmtId="10" fontId="9" fillId="48" borderId="0" xfId="1435" applyNumberFormat="1" applyFont="1" applyFill="1"/>
    <xf numFmtId="3" fontId="31" fillId="48" borderId="0" xfId="1435" applyNumberFormat="1" applyFont="1" applyFill="1"/>
    <xf numFmtId="0" fontId="11" fillId="48" borderId="0" xfId="1435" applyFont="1" applyFill="1"/>
    <xf numFmtId="0" fontId="109" fillId="49" borderId="0" xfId="1435" applyFont="1" applyFill="1"/>
    <xf numFmtId="0" fontId="9" fillId="48" borderId="23" xfId="1435" applyFont="1" applyFill="1" applyBorder="1" applyAlignment="1">
      <alignment horizontal="centerContinuous" wrapText="1"/>
    </xf>
    <xf numFmtId="10" fontId="9" fillId="48" borderId="23" xfId="1435" applyNumberFormat="1" applyFont="1" applyFill="1" applyBorder="1" applyAlignment="1">
      <alignment horizontal="centerContinuous" wrapText="1"/>
    </xf>
    <xf numFmtId="0" fontId="9" fillId="48" borderId="17" xfId="1435" applyFont="1" applyFill="1" applyBorder="1" applyAlignment="1">
      <alignment horizontal="centerContinuous" wrapText="1"/>
    </xf>
    <xf numFmtId="0" fontId="9" fillId="48" borderId="17" xfId="1435" applyFont="1" applyFill="1" applyBorder="1" applyAlignment="1">
      <alignment horizontal="center" wrapText="1"/>
    </xf>
    <xf numFmtId="10" fontId="10" fillId="48" borderId="17" xfId="1435" applyNumberFormat="1" applyFont="1" applyFill="1" applyBorder="1" applyAlignment="1">
      <alignment horizontal="center" vertical="top" wrapText="1"/>
    </xf>
    <xf numFmtId="0" fontId="10" fillId="48" borderId="17" xfId="1435" applyFont="1" applyFill="1" applyBorder="1" applyAlignment="1">
      <alignment horizontal="center" vertical="top" wrapText="1"/>
    </xf>
    <xf numFmtId="0" fontId="9" fillId="48" borderId="17" xfId="1435" applyFont="1" applyFill="1" applyBorder="1" applyAlignment="1">
      <alignment horizontal="center" vertical="top" wrapText="1"/>
    </xf>
    <xf numFmtId="0" fontId="31" fillId="44" borderId="0" xfId="1435" applyFont="1" applyFill="1"/>
    <xf numFmtId="0" fontId="15" fillId="48" borderId="17" xfId="1435" applyFont="1" applyFill="1" applyBorder="1" applyAlignment="1">
      <alignment horizontal="center" vertical="top" wrapText="1"/>
    </xf>
    <xf numFmtId="10" fontId="9" fillId="48" borderId="17" xfId="1435" applyNumberFormat="1" applyFont="1" applyFill="1" applyBorder="1" applyAlignment="1">
      <alignment horizontal="center" vertical="top" wrapText="1"/>
    </xf>
    <xf numFmtId="0" fontId="31" fillId="44" borderId="33" xfId="1435" applyFont="1" applyFill="1" applyBorder="1" applyAlignment="1">
      <alignment horizontal="centerContinuous"/>
    </xf>
    <xf numFmtId="0" fontId="31" fillId="44" borderId="23" xfId="1435" applyFont="1" applyFill="1" applyBorder="1"/>
    <xf numFmtId="0" fontId="31" fillId="44" borderId="33" xfId="1435" applyFont="1" applyFill="1" applyBorder="1" applyAlignment="1">
      <alignment horizontal="center"/>
    </xf>
    <xf numFmtId="0" fontId="31" fillId="44" borderId="17" xfId="1435" applyFont="1" applyFill="1" applyBorder="1" applyAlignment="1">
      <alignment horizontal="center"/>
    </xf>
    <xf numFmtId="0" fontId="31" fillId="44" borderId="25" xfId="1435" applyFont="1" applyFill="1" applyBorder="1"/>
    <xf numFmtId="4" fontId="8" fillId="48" borderId="17" xfId="1435" applyNumberFormat="1" applyFont="1" applyFill="1" applyBorder="1" applyAlignment="1">
      <alignment horizontal="center" wrapText="1"/>
    </xf>
    <xf numFmtId="10" fontId="9" fillId="48" borderId="17" xfId="1435" applyNumberFormat="1" applyFont="1" applyFill="1" applyBorder="1" applyAlignment="1">
      <alignment horizontal="center" wrapText="1"/>
    </xf>
    <xf numFmtId="3" fontId="9" fillId="48" borderId="17" xfId="1435" applyNumberFormat="1" applyFont="1" applyFill="1" applyBorder="1" applyAlignment="1">
      <alignment horizontal="center" wrapText="1"/>
    </xf>
    <xf numFmtId="10" fontId="8" fillId="44" borderId="17" xfId="1435" applyNumberFormat="1" applyFont="1" applyFill="1" applyBorder="1" applyAlignment="1">
      <alignment horizontal="center" wrapText="1"/>
    </xf>
    <xf numFmtId="4" fontId="8" fillId="44" borderId="17" xfId="1435" applyNumberFormat="1" applyFont="1" applyFill="1" applyBorder="1" applyAlignment="1">
      <alignment horizontal="center" wrapText="1"/>
    </xf>
    <xf numFmtId="3" fontId="9" fillId="44" borderId="17" xfId="1435" applyNumberFormat="1" applyFont="1" applyFill="1" applyBorder="1" applyAlignment="1">
      <alignment horizontal="center" wrapText="1"/>
    </xf>
    <xf numFmtId="0" fontId="11" fillId="44" borderId="0" xfId="1435" applyFont="1" applyFill="1"/>
    <xf numFmtId="10" fontId="2" fillId="0" borderId="0" xfId="1435" applyNumberFormat="1" applyFont="1"/>
    <xf numFmtId="0" fontId="2" fillId="48" borderId="0" xfId="1435" applyFont="1" applyFill="1"/>
    <xf numFmtId="4" fontId="9" fillId="48" borderId="17" xfId="1435" applyNumberFormat="1" applyFont="1" applyFill="1" applyBorder="1" applyAlignment="1">
      <alignment horizontal="center" wrapText="1"/>
    </xf>
    <xf numFmtId="0" fontId="9" fillId="0" borderId="23" xfId="1435" applyFont="1" applyBorder="1" applyAlignment="1">
      <alignment horizontal="center" wrapText="1"/>
    </xf>
    <xf numFmtId="0" fontId="15" fillId="44" borderId="17" xfId="1435" applyFont="1" applyFill="1" applyBorder="1" applyAlignment="1">
      <alignment horizontal="center" vertical="top" wrapText="1"/>
    </xf>
    <xf numFmtId="0" fontId="15" fillId="46" borderId="17" xfId="1435" applyFont="1" applyFill="1" applyBorder="1" applyAlignment="1">
      <alignment horizontal="center" vertical="top" wrapText="1"/>
    </xf>
    <xf numFmtId="10" fontId="9" fillId="44" borderId="0" xfId="1435" applyNumberFormat="1" applyFont="1" applyFill="1" applyBorder="1" applyAlignment="1">
      <alignment horizontal="center" wrapText="1"/>
    </xf>
    <xf numFmtId="3" fontId="85" fillId="49" borderId="17" xfId="1435" applyNumberFormat="1" applyFont="1" applyFill="1" applyBorder="1" applyAlignment="1">
      <alignment horizontal="center" wrapText="1"/>
    </xf>
    <xf numFmtId="0" fontId="160" fillId="54" borderId="0" xfId="1183" applyFont="1" applyFill="1" applyBorder="1" applyAlignment="1">
      <alignment horizontal="center"/>
    </xf>
    <xf numFmtId="0" fontId="19" fillId="63" borderId="0" xfId="1183" applyFont="1" applyFill="1"/>
    <xf numFmtId="169" fontId="320" fillId="63" borderId="46" xfId="0" applyNumberFormat="1" applyFont="1" applyFill="1" applyBorder="1" applyAlignment="1">
      <alignment horizontal="right"/>
    </xf>
    <xf numFmtId="169" fontId="320" fillId="63" borderId="47" xfId="0" applyNumberFormat="1" applyFont="1" applyFill="1" applyBorder="1" applyAlignment="1">
      <alignment horizontal="right"/>
    </xf>
    <xf numFmtId="169" fontId="320" fillId="63" borderId="47" xfId="0" applyNumberFormat="1" applyFont="1" applyFill="1" applyBorder="1" applyAlignment="1">
      <alignment horizontal="right" vertical="center"/>
    </xf>
    <xf numFmtId="0" fontId="9" fillId="54" borderId="0" xfId="1434" applyFont="1" applyFill="1"/>
    <xf numFmtId="168" fontId="9" fillId="54" borderId="0" xfId="1434" applyNumberFormat="1" applyFont="1" applyFill="1"/>
    <xf numFmtId="0" fontId="9" fillId="54" borderId="66" xfId="1434" applyFont="1" applyFill="1" applyBorder="1" applyAlignment="1">
      <alignment horizontal="center" vertical="top" wrapText="1"/>
    </xf>
    <xf numFmtId="0" fontId="9" fillId="54" borderId="66" xfId="1434" applyFont="1" applyFill="1" applyBorder="1" applyAlignment="1">
      <alignment horizontal="centerContinuous" vertical="top" wrapText="1"/>
    </xf>
    <xf numFmtId="168" fontId="9" fillId="54" borderId="66" xfId="1434" applyNumberFormat="1" applyFont="1" applyFill="1" applyBorder="1" applyAlignment="1">
      <alignment horizontal="centerContinuous" vertical="top" wrapText="1"/>
    </xf>
    <xf numFmtId="166" fontId="9" fillId="54" borderId="0" xfId="1434" applyNumberFormat="1" applyFont="1" applyFill="1"/>
    <xf numFmtId="0" fontId="5" fillId="54" borderId="0" xfId="1434" applyFont="1" applyFill="1"/>
    <xf numFmtId="168" fontId="9" fillId="54" borderId="66" xfId="1434" applyNumberFormat="1" applyFont="1" applyFill="1" applyBorder="1" applyAlignment="1">
      <alignment horizontal="center" vertical="top" wrapText="1"/>
    </xf>
    <xf numFmtId="0" fontId="9" fillId="54" borderId="66" xfId="1434" applyFont="1" applyFill="1" applyBorder="1" applyAlignment="1">
      <alignment horizontal="center"/>
    </xf>
    <xf numFmtId="1" fontId="9" fillId="54" borderId="66" xfId="1434" applyNumberFormat="1" applyFont="1" applyFill="1" applyBorder="1" applyAlignment="1">
      <alignment horizontal="center"/>
    </xf>
    <xf numFmtId="169" fontId="9" fillId="54" borderId="0" xfId="1434" applyNumberFormat="1" applyFont="1" applyFill="1"/>
    <xf numFmtId="49" fontId="9" fillId="54" borderId="66" xfId="1434" applyNumberFormat="1" applyFont="1" applyFill="1" applyBorder="1" applyAlignment="1">
      <alignment horizontal="center"/>
    </xf>
    <xf numFmtId="0" fontId="9" fillId="54" borderId="77" xfId="1434" applyFont="1" applyFill="1" applyBorder="1" applyAlignment="1">
      <alignment horizontal="left" wrapText="1"/>
    </xf>
    <xf numFmtId="169" fontId="9" fillId="54" borderId="66" xfId="1434" applyNumberFormat="1" applyFont="1" applyFill="1" applyBorder="1" applyAlignment="1">
      <alignment horizontal="center"/>
    </xf>
    <xf numFmtId="202" fontId="9" fillId="54" borderId="66" xfId="1434" applyNumberFormat="1" applyFont="1" applyFill="1" applyBorder="1" applyAlignment="1">
      <alignment horizontal="center"/>
    </xf>
    <xf numFmtId="0" fontId="9" fillId="54" borderId="68" xfId="1434" applyFont="1" applyFill="1" applyBorder="1" applyAlignment="1">
      <alignment horizontal="left" wrapText="1"/>
    </xf>
    <xf numFmtId="166" fontId="9" fillId="54" borderId="66" xfId="1434" applyNumberFormat="1" applyFont="1" applyFill="1" applyBorder="1" applyAlignment="1">
      <alignment horizontal="center"/>
    </xf>
    <xf numFmtId="3" fontId="63" fillId="54" borderId="0" xfId="1434" applyNumberFormat="1" applyFont="1" applyFill="1"/>
    <xf numFmtId="168" fontId="5" fillId="54" borderId="0" xfId="1434" applyNumberFormat="1" applyFont="1" applyFill="1"/>
    <xf numFmtId="169" fontId="63" fillId="54" borderId="0" xfId="1434" applyNumberFormat="1" applyFont="1" applyFill="1"/>
    <xf numFmtId="49" fontId="9" fillId="54" borderId="66" xfId="1434" applyNumberFormat="1" applyFont="1" applyFill="1" applyBorder="1" applyAlignment="1">
      <alignment horizontal="center" vertical="top"/>
    </xf>
    <xf numFmtId="1" fontId="5" fillId="54" borderId="0" xfId="1434" applyNumberFormat="1" applyFont="1" applyFill="1"/>
    <xf numFmtId="169" fontId="5" fillId="54" borderId="0" xfId="1434" applyNumberFormat="1" applyFont="1" applyFill="1"/>
    <xf numFmtId="167" fontId="9" fillId="54" borderId="66" xfId="1434" applyNumberFormat="1" applyFont="1" applyFill="1" applyBorder="1" applyAlignment="1">
      <alignment horizontal="center"/>
    </xf>
    <xf numFmtId="168" fontId="9" fillId="54" borderId="66" xfId="1434" applyNumberFormat="1" applyFont="1" applyFill="1" applyBorder="1" applyAlignment="1">
      <alignment horizontal="center"/>
    </xf>
    <xf numFmtId="49" fontId="9" fillId="54" borderId="17" xfId="1434" applyNumberFormat="1" applyFont="1" applyFill="1" applyBorder="1" applyAlignment="1">
      <alignment horizontal="center"/>
    </xf>
    <xf numFmtId="49" fontId="9" fillId="54" borderId="78" xfId="1434" applyNumberFormat="1" applyFont="1" applyFill="1" applyBorder="1" applyAlignment="1">
      <alignment horizontal="center"/>
    </xf>
    <xf numFmtId="0" fontId="9" fillId="54" borderId="79" xfId="1434" applyFont="1" applyFill="1" applyBorder="1" applyAlignment="1">
      <alignment horizontal="left" wrapText="1"/>
    </xf>
    <xf numFmtId="169" fontId="9" fillId="54" borderId="78" xfId="1434" applyNumberFormat="1" applyFont="1" applyFill="1" applyBorder="1" applyAlignment="1">
      <alignment horizontal="center"/>
    </xf>
    <xf numFmtId="168" fontId="9" fillId="54" borderId="78" xfId="1434" applyNumberFormat="1" applyFont="1" applyFill="1" applyBorder="1" applyAlignment="1">
      <alignment horizontal="center"/>
    </xf>
    <xf numFmtId="49" fontId="9" fillId="54" borderId="68" xfId="1434" applyNumberFormat="1" applyFont="1" applyFill="1" applyBorder="1" applyAlignment="1">
      <alignment horizontal="left" wrapText="1" indent="1"/>
    </xf>
    <xf numFmtId="166" fontId="5" fillId="54" borderId="0" xfId="1434" applyNumberFormat="1" applyFont="1" applyFill="1"/>
    <xf numFmtId="4" fontId="5" fillId="54" borderId="0" xfId="1434" applyNumberFormat="1" applyFont="1" applyFill="1"/>
    <xf numFmtId="169" fontId="9" fillId="54" borderId="67" xfId="1434" applyNumberFormat="1" applyFont="1" applyFill="1" applyBorder="1" applyAlignment="1">
      <alignment horizontal="center"/>
    </xf>
    <xf numFmtId="166" fontId="9" fillId="54" borderId="67" xfId="1434" applyNumberFormat="1" applyFont="1" applyFill="1" applyBorder="1" applyAlignment="1">
      <alignment horizontal="center"/>
    </xf>
    <xf numFmtId="1" fontId="77" fillId="54" borderId="0" xfId="1434" applyNumberFormat="1" applyFont="1" applyFill="1"/>
    <xf numFmtId="0" fontId="77" fillId="54" borderId="0" xfId="1434" applyFont="1" applyFill="1"/>
    <xf numFmtId="169" fontId="102" fillId="54" borderId="0" xfId="1434" applyNumberFormat="1" applyFont="1" applyFill="1"/>
    <xf numFmtId="3" fontId="77" fillId="54" borderId="0" xfId="1434" applyNumberFormat="1" applyFont="1" applyFill="1"/>
    <xf numFmtId="0" fontId="9" fillId="54" borderId="0" xfId="1434" applyFont="1" applyFill="1" applyAlignment="1"/>
    <xf numFmtId="169" fontId="178" fillId="54" borderId="17" xfId="1211" applyNumberFormat="1" applyFont="1" applyFill="1" applyBorder="1" applyAlignment="1">
      <alignment horizontal="center"/>
    </xf>
    <xf numFmtId="167" fontId="178" fillId="29" borderId="11" xfId="1319" applyNumberFormat="1" applyFont="1" applyFill="1" applyBorder="1" applyAlignment="1" applyProtection="1">
      <alignment horizontal="right" vertical="center"/>
      <protection locked="0"/>
    </xf>
    <xf numFmtId="170" fontId="161" fillId="54" borderId="17" xfId="0" applyNumberFormat="1" applyFont="1" applyFill="1" applyBorder="1" applyAlignment="1">
      <alignment vertical="center" wrapText="1"/>
    </xf>
    <xf numFmtId="0" fontId="42" fillId="58" borderId="17" xfId="0" applyFont="1" applyFill="1" applyBorder="1" applyAlignment="1">
      <alignment horizontal="centerContinuous" vertical="top" wrapText="1"/>
    </xf>
    <xf numFmtId="0" fontId="311" fillId="58" borderId="0" xfId="0" applyFont="1" applyFill="1" applyAlignment="1">
      <alignment horizontal="centerContinuous"/>
    </xf>
    <xf numFmtId="0" fontId="42" fillId="58" borderId="0" xfId="0" applyFont="1" applyFill="1"/>
    <xf numFmtId="170" fontId="58" fillId="59" borderId="0" xfId="0" applyNumberFormat="1" applyFont="1" applyFill="1" applyAlignment="1">
      <alignment horizontal="center"/>
    </xf>
    <xf numFmtId="0" fontId="58" fillId="59" borderId="0" xfId="0" applyFont="1" applyFill="1"/>
    <xf numFmtId="0" fontId="160" fillId="54" borderId="0" xfId="1183" applyFont="1" applyFill="1" applyBorder="1" applyAlignment="1">
      <alignment horizontal="center"/>
    </xf>
    <xf numFmtId="0" fontId="9" fillId="0" borderId="17" xfId="0" applyFont="1" applyBorder="1" applyAlignment="1">
      <alignment horizontal="center" vertical="center" wrapText="1"/>
    </xf>
    <xf numFmtId="0" fontId="9" fillId="0" borderId="66" xfId="0" applyFont="1" applyBorder="1" applyAlignment="1">
      <alignment horizontal="center" vertical="center"/>
    </xf>
    <xf numFmtId="0" fontId="9" fillId="0" borderId="66" xfId="0" applyFont="1" applyBorder="1" applyAlignment="1">
      <alignment horizontal="center" vertical="center" wrapText="1"/>
    </xf>
    <xf numFmtId="200" fontId="9" fillId="0" borderId="66" xfId="0" applyNumberFormat="1" applyFont="1" applyBorder="1" applyAlignment="1">
      <alignment horizontal="left" vertical="center" wrapText="1" indent="1"/>
    </xf>
    <xf numFmtId="0" fontId="12" fillId="0" borderId="66" xfId="0" applyFont="1" applyBorder="1" applyAlignment="1">
      <alignment horizontal="center" vertical="center" wrapText="1"/>
    </xf>
    <xf numFmtId="0" fontId="12" fillId="0" borderId="66" xfId="0" applyFont="1" applyBorder="1" applyAlignment="1">
      <alignment horizontal="left" vertical="center" wrapText="1" indent="1"/>
    </xf>
    <xf numFmtId="0" fontId="9" fillId="0" borderId="66" xfId="0" applyFont="1" applyBorder="1" applyAlignment="1">
      <alignment horizontal="left" vertical="center" indent="1"/>
    </xf>
    <xf numFmtId="167" fontId="158" fillId="54" borderId="85" xfId="1183" applyNumberFormat="1" applyFont="1" applyFill="1" applyBorder="1" applyAlignment="1">
      <alignment wrapText="1"/>
    </xf>
    <xf numFmtId="167" fontId="158" fillId="54" borderId="109" xfId="1183" applyNumberFormat="1" applyFont="1" applyFill="1" applyBorder="1" applyAlignment="1"/>
    <xf numFmtId="167" fontId="160" fillId="54" borderId="67" xfId="1183" applyNumberFormat="1" applyFont="1" applyFill="1" applyBorder="1" applyAlignment="1">
      <alignment vertical="center"/>
    </xf>
    <xf numFmtId="167" fontId="158" fillId="54" borderId="110" xfId="1183" applyNumberFormat="1" applyFont="1" applyFill="1" applyBorder="1" applyAlignment="1"/>
    <xf numFmtId="167" fontId="320" fillId="63" borderId="37" xfId="0" applyNumberFormat="1" applyFont="1" applyFill="1" applyBorder="1" applyAlignment="1">
      <alignment horizontal="right"/>
    </xf>
    <xf numFmtId="167" fontId="158" fillId="54" borderId="37" xfId="0" applyNumberFormat="1" applyFont="1" applyFill="1" applyBorder="1" applyAlignment="1">
      <alignment horizontal="right"/>
    </xf>
    <xf numFmtId="167" fontId="320" fillId="63" borderId="38" xfId="0" applyNumberFormat="1" applyFont="1" applyFill="1" applyBorder="1" applyAlignment="1">
      <alignment horizontal="right"/>
    </xf>
    <xf numFmtId="167" fontId="158" fillId="54" borderId="87" xfId="1183" applyNumberFormat="1" applyFont="1" applyFill="1" applyBorder="1" applyAlignment="1">
      <alignment wrapText="1"/>
    </xf>
    <xf numFmtId="167" fontId="160" fillId="54" borderId="85" xfId="1183" applyNumberFormat="1" applyFont="1" applyFill="1" applyBorder="1" applyAlignment="1">
      <alignment vertical="center"/>
    </xf>
    <xf numFmtId="167" fontId="158" fillId="54" borderId="85" xfId="1183" applyNumberFormat="1" applyFont="1" applyFill="1" applyBorder="1" applyAlignment="1">
      <alignment horizontal="right" wrapText="1"/>
    </xf>
    <xf numFmtId="167" fontId="158" fillId="54" borderId="85" xfId="1183" applyNumberFormat="1" applyFont="1" applyFill="1" applyBorder="1" applyAlignment="1">
      <alignment vertical="center"/>
    </xf>
    <xf numFmtId="167" fontId="158" fillId="54" borderId="85" xfId="1183" applyNumberFormat="1" applyFont="1" applyFill="1" applyBorder="1" applyAlignment="1">
      <alignment horizontal="right"/>
    </xf>
    <xf numFmtId="168" fontId="320" fillId="63" borderId="86" xfId="1183" applyNumberFormat="1" applyFont="1" applyFill="1" applyBorder="1" applyAlignment="1"/>
    <xf numFmtId="167" fontId="320" fillId="63" borderId="87" xfId="1183" applyNumberFormat="1" applyFont="1" applyFill="1" applyBorder="1" applyAlignment="1">
      <alignment horizontal="right"/>
    </xf>
    <xf numFmtId="167" fontId="158" fillId="54" borderId="121" xfId="1183" applyNumberFormat="1" applyFont="1" applyFill="1" applyBorder="1" applyAlignment="1">
      <alignment horizontal="right"/>
    </xf>
    <xf numFmtId="167" fontId="320" fillId="63" borderId="37" xfId="0" applyNumberFormat="1" applyFont="1" applyFill="1" applyBorder="1" applyAlignment="1">
      <alignment horizontal="right" vertical="center"/>
    </xf>
    <xf numFmtId="167" fontId="320" fillId="63" borderId="38" xfId="0" applyNumberFormat="1" applyFont="1" applyFill="1" applyBorder="1" applyAlignment="1">
      <alignment horizontal="right" vertical="center"/>
    </xf>
    <xf numFmtId="167" fontId="158" fillId="54" borderId="38" xfId="0" applyNumberFormat="1" applyFont="1" applyFill="1" applyBorder="1" applyAlignment="1">
      <alignment horizontal="right"/>
    </xf>
    <xf numFmtId="0" fontId="8" fillId="67" borderId="66" xfId="0" applyFont="1" applyFill="1" applyBorder="1" applyAlignment="1">
      <alignment horizontal="center" vertical="center" wrapText="1"/>
    </xf>
    <xf numFmtId="173" fontId="9" fillId="67" borderId="66" xfId="1217" applyNumberFormat="1" applyFont="1" applyFill="1" applyBorder="1" applyAlignment="1">
      <alignment horizontal="center" vertical="top"/>
    </xf>
    <xf numFmtId="173" fontId="9" fillId="67" borderId="66" xfId="1217" applyNumberFormat="1" applyFont="1" applyFill="1" applyBorder="1" applyAlignment="1">
      <alignment horizontal="center" vertical="center"/>
    </xf>
    <xf numFmtId="173" fontId="9" fillId="56" borderId="66" xfId="1217" applyNumberFormat="1" applyFont="1" applyFill="1" applyBorder="1" applyAlignment="1">
      <alignment horizontal="center" vertical="top"/>
    </xf>
    <xf numFmtId="0" fontId="9" fillId="59" borderId="66" xfId="0" applyFont="1" applyFill="1" applyBorder="1" applyAlignment="1">
      <alignment horizontal="center" vertical="center" wrapText="1"/>
    </xf>
    <xf numFmtId="0" fontId="9" fillId="68" borderId="0" xfId="0" applyFont="1" applyFill="1"/>
    <xf numFmtId="217" fontId="9" fillId="0" borderId="0" xfId="1427" applyNumberFormat="1" applyFont="1"/>
    <xf numFmtId="217" fontId="306" fillId="68" borderId="0" xfId="1427" applyNumberFormat="1" applyFont="1" applyFill="1"/>
    <xf numFmtId="0" fontId="11" fillId="46" borderId="0" xfId="1434" applyFont="1" applyFill="1" applyAlignment="1"/>
    <xf numFmtId="0" fontId="207" fillId="0" borderId="0" xfId="1434" applyFont="1" applyAlignment="1"/>
    <xf numFmtId="168" fontId="11" fillId="0" borderId="0" xfId="1434" applyNumberFormat="1" applyFont="1"/>
    <xf numFmtId="0" fontId="126" fillId="0" borderId="0" xfId="1434" applyFont="1"/>
    <xf numFmtId="0" fontId="155" fillId="0" borderId="0" xfId="1434" applyFont="1"/>
    <xf numFmtId="0" fontId="11" fillId="0" borderId="0" xfId="1434" applyFont="1"/>
    <xf numFmtId="168" fontId="58" fillId="0" borderId="0" xfId="1434" applyNumberFormat="1" applyFont="1" applyAlignment="1">
      <alignment horizontal="right"/>
    </xf>
    <xf numFmtId="0" fontId="305" fillId="59" borderId="66" xfId="0" applyFont="1" applyFill="1" applyBorder="1" applyAlignment="1">
      <alignment horizontal="center" vertical="center" wrapText="1"/>
    </xf>
    <xf numFmtId="0" fontId="60" fillId="59" borderId="17" xfId="0" applyFont="1" applyFill="1" applyBorder="1" applyAlignment="1">
      <alignment horizontal="center" vertical="top" wrapText="1"/>
    </xf>
    <xf numFmtId="4" fontId="60" fillId="59" borderId="17" xfId="0" applyNumberFormat="1" applyFont="1" applyFill="1" applyBorder="1" applyAlignment="1">
      <alignment horizontal="right"/>
    </xf>
    <xf numFmtId="4" fontId="60" fillId="59" borderId="17" xfId="0" applyNumberFormat="1" applyFont="1" applyFill="1" applyBorder="1"/>
    <xf numFmtId="173" fontId="60" fillId="59" borderId="17" xfId="1216" applyNumberFormat="1" applyFont="1" applyFill="1" applyBorder="1" applyAlignment="1">
      <alignment horizontal="right" wrapText="1"/>
    </xf>
    <xf numFmtId="4" fontId="328" fillId="59" borderId="17" xfId="0" applyNumberFormat="1" applyFont="1" applyFill="1" applyBorder="1"/>
    <xf numFmtId="194" fontId="60" fillId="59" borderId="17" xfId="1216" applyNumberFormat="1" applyFont="1" applyFill="1" applyBorder="1" applyAlignment="1">
      <alignment horizontal="right" wrapText="1"/>
    </xf>
    <xf numFmtId="4" fontId="14" fillId="59" borderId="17" xfId="0" applyNumberFormat="1" applyFont="1" applyFill="1" applyBorder="1" applyAlignment="1">
      <alignment horizontal="right"/>
    </xf>
    <xf numFmtId="194" fontId="14" fillId="59" borderId="17" xfId="1216" applyNumberFormat="1" applyFont="1" applyFill="1" applyBorder="1" applyAlignment="1">
      <alignment horizontal="right" wrapText="1"/>
    </xf>
    <xf numFmtId="173" fontId="14" fillId="59" borderId="17" xfId="1216" applyNumberFormat="1" applyFont="1" applyFill="1" applyBorder="1" applyAlignment="1">
      <alignment horizontal="right" wrapText="1"/>
    </xf>
    <xf numFmtId="4" fontId="14" fillId="59" borderId="17" xfId="0" applyNumberFormat="1" applyFont="1" applyFill="1" applyBorder="1"/>
    <xf numFmtId="0" fontId="0" fillId="0" borderId="0" xfId="0"/>
    <xf numFmtId="0" fontId="0" fillId="0" borderId="22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9" fillId="0" borderId="17" xfId="0" applyFont="1" applyBorder="1" applyAlignment="1">
      <alignment horizontal="center"/>
    </xf>
    <xf numFmtId="0" fontId="0" fillId="0" borderId="17" xfId="0" applyBorder="1"/>
    <xf numFmtId="0" fontId="0" fillId="0" borderId="0" xfId="0"/>
    <xf numFmtId="170" fontId="178" fillId="46" borderId="0" xfId="0" applyNumberFormat="1" applyFont="1" applyFill="1"/>
    <xf numFmtId="0" fontId="0" fillId="54" borderId="0" xfId="0" applyFill="1" applyAlignment="1">
      <alignment horizontal="centerContinuous"/>
    </xf>
    <xf numFmtId="0" fontId="0" fillId="54" borderId="17" xfId="0" applyFill="1" applyBorder="1" applyAlignment="1">
      <alignment horizontal="centerContinuous" wrapText="1"/>
    </xf>
    <xf numFmtId="0" fontId="0" fillId="54" borderId="0" xfId="0" applyFont="1" applyFill="1" applyAlignment="1">
      <alignment horizontal="center"/>
    </xf>
    <xf numFmtId="4" fontId="0" fillId="54" borderId="17" xfId="0" applyNumberFormat="1" applyFill="1" applyBorder="1" applyAlignment="1">
      <alignment wrapText="1"/>
    </xf>
    <xf numFmtId="1" fontId="0" fillId="54" borderId="17" xfId="0" applyNumberFormat="1" applyFont="1" applyFill="1" applyBorder="1" applyAlignment="1">
      <alignment horizontal="center"/>
    </xf>
    <xf numFmtId="0" fontId="77" fillId="54" borderId="17" xfId="0" applyFont="1" applyFill="1" applyBorder="1"/>
    <xf numFmtId="0" fontId="0" fillId="54" borderId="0" xfId="0" applyFill="1" applyAlignment="1">
      <alignment horizontal="centerContinuous" wrapText="1"/>
    </xf>
    <xf numFmtId="0" fontId="0" fillId="54" borderId="0" xfId="0" applyFont="1" applyFill="1" applyAlignment="1">
      <alignment horizontal="centerContinuous" wrapText="1"/>
    </xf>
    <xf numFmtId="170" fontId="178" fillId="54" borderId="17" xfId="0" applyNumberFormat="1" applyFont="1" applyFill="1" applyBorder="1" applyAlignment="1">
      <alignment wrapText="1"/>
    </xf>
    <xf numFmtId="0" fontId="0" fillId="0" borderId="0" xfId="0" applyFont="1"/>
    <xf numFmtId="0" fontId="9" fillId="0" borderId="17" xfId="0" applyFont="1" applyBorder="1" applyAlignment="1">
      <alignment horizontal="center" vertical="top"/>
    </xf>
    <xf numFmtId="0" fontId="11" fillId="0" borderId="33" xfId="0" applyFont="1" applyBorder="1" applyAlignment="1">
      <alignment horizontal="centerContinuous" vertical="top" wrapText="1"/>
    </xf>
    <xf numFmtId="0" fontId="9" fillId="0" borderId="6" xfId="0" applyFont="1" applyBorder="1" applyAlignment="1">
      <alignment horizontal="centerContinuous" wrapText="1"/>
    </xf>
    <xf numFmtId="0" fontId="304" fillId="0" borderId="26" xfId="0" applyFont="1" applyBorder="1" applyAlignment="1">
      <alignment horizontal="centerContinuous" wrapText="1"/>
    </xf>
    <xf numFmtId="0" fontId="0" fillId="0" borderId="0" xfId="0"/>
    <xf numFmtId="0" fontId="0" fillId="0" borderId="0" xfId="0" applyFont="1" applyFill="1" applyBorder="1" applyAlignment="1">
      <alignment horizontal="left" vertical="center" wrapText="1"/>
    </xf>
    <xf numFmtId="173" fontId="9" fillId="56" borderId="66" xfId="1217" applyNumberFormat="1" applyFont="1" applyFill="1" applyBorder="1" applyAlignment="1">
      <alignment horizontal="center" vertical="center"/>
    </xf>
    <xf numFmtId="0" fontId="12" fillId="54" borderId="66" xfId="0" applyFont="1" applyFill="1" applyBorder="1" applyAlignment="1">
      <alignment horizontal="center" vertical="center" wrapText="1"/>
    </xf>
    <xf numFmtId="0" fontId="9" fillId="54" borderId="66" xfId="0" applyFont="1" applyFill="1" applyBorder="1"/>
    <xf numFmtId="0" fontId="9" fillId="54" borderId="66" xfId="0" applyFont="1" applyFill="1" applyBorder="1" applyAlignment="1">
      <alignment horizontal="center"/>
    </xf>
    <xf numFmtId="195" fontId="9" fillId="56" borderId="66" xfId="1217" applyNumberFormat="1" applyFont="1" applyFill="1" applyBorder="1" applyAlignment="1">
      <alignment horizontal="center" vertical="top"/>
    </xf>
    <xf numFmtId="195" fontId="15" fillId="56" borderId="66" xfId="1217" applyNumberFormat="1" applyFont="1" applyFill="1" applyBorder="1" applyAlignment="1">
      <alignment horizontal="center" vertical="top"/>
    </xf>
    <xf numFmtId="0" fontId="9" fillId="54" borderId="66" xfId="0" applyFont="1" applyFill="1" applyBorder="1" applyAlignment="1"/>
    <xf numFmtId="195" fontId="9" fillId="56" borderId="66" xfId="1217" applyNumberFormat="1" applyFont="1" applyFill="1" applyBorder="1" applyAlignment="1">
      <alignment horizontal="center"/>
    </xf>
    <xf numFmtId="0" fontId="9" fillId="56" borderId="66" xfId="0" applyFont="1" applyFill="1" applyBorder="1" applyAlignment="1">
      <alignment horizontal="center" vertical="center" wrapText="1"/>
    </xf>
    <xf numFmtId="199" fontId="9" fillId="56" borderId="66" xfId="1217" applyNumberFormat="1" applyFont="1" applyFill="1" applyBorder="1" applyAlignment="1">
      <alignment horizontal="center" vertical="top"/>
    </xf>
    <xf numFmtId="168" fontId="9" fillId="54" borderId="66" xfId="0" applyNumberFormat="1" applyFont="1" applyFill="1" applyBorder="1" applyAlignment="1">
      <alignment horizontal="center"/>
    </xf>
    <xf numFmtId="170" fontId="178" fillId="54" borderId="17" xfId="0" applyNumberFormat="1" applyFont="1" applyFill="1" applyBorder="1" applyAlignment="1">
      <alignment vertical="center" wrapText="1"/>
    </xf>
    <xf numFmtId="0" fontId="178" fillId="0" borderId="22" xfId="0" applyFont="1" applyBorder="1" applyAlignment="1">
      <alignment horizontal="center" vertical="center" wrapText="1"/>
    </xf>
    <xf numFmtId="0" fontId="178" fillId="0" borderId="22" xfId="0" applyNumberFormat="1" applyFont="1" applyBorder="1" applyAlignment="1">
      <alignment horizontal="center" vertical="center" wrapText="1"/>
    </xf>
    <xf numFmtId="0" fontId="0" fillId="0" borderId="0" xfId="0"/>
    <xf numFmtId="0" fontId="9" fillId="0" borderId="66" xfId="0" applyFont="1" applyBorder="1" applyAlignment="1">
      <alignment horizontal="center" vertical="center"/>
    </xf>
    <xf numFmtId="0" fontId="12" fillId="0" borderId="66" xfId="0" applyFont="1" applyBorder="1" applyAlignment="1">
      <alignment horizontal="left" vertical="center" wrapText="1" indent="1"/>
    </xf>
    <xf numFmtId="0" fontId="12" fillId="0" borderId="66" xfId="0" applyFont="1" applyBorder="1" applyAlignment="1">
      <alignment horizontal="center" vertical="center" wrapText="1"/>
    </xf>
    <xf numFmtId="0" fontId="9" fillId="0" borderId="66" xfId="0" applyFont="1" applyBorder="1" applyAlignment="1">
      <alignment horizontal="left" vertical="center" indent="1"/>
    </xf>
    <xf numFmtId="0" fontId="9" fillId="0" borderId="66" xfId="0" applyFont="1" applyBorder="1" applyAlignment="1">
      <alignment horizontal="center" vertical="center" wrapText="1"/>
    </xf>
    <xf numFmtId="200" fontId="9" fillId="0" borderId="66" xfId="0" applyNumberFormat="1" applyFont="1" applyBorder="1" applyAlignment="1">
      <alignment horizontal="left" vertical="center" wrapText="1" indent="1"/>
    </xf>
    <xf numFmtId="0" fontId="9" fillId="0" borderId="17" xfId="0" applyFont="1" applyBorder="1" applyAlignment="1">
      <alignment horizontal="center" vertical="center" wrapText="1"/>
    </xf>
    <xf numFmtId="0" fontId="336" fillId="60" borderId="0" xfId="1176" applyFont="1" applyFill="1"/>
    <xf numFmtId="4" fontId="308" fillId="0" borderId="17" xfId="0" applyNumberFormat="1" applyFont="1" applyFill="1" applyBorder="1" applyAlignment="1">
      <alignment horizontal="center"/>
    </xf>
    <xf numFmtId="0" fontId="0" fillId="54" borderId="6" xfId="0" applyFont="1" applyFill="1" applyBorder="1" applyAlignment="1">
      <alignment horizontal="center" vertical="top"/>
    </xf>
    <xf numFmtId="0" fontId="0" fillId="54" borderId="23" xfId="0" applyFill="1" applyBorder="1" applyAlignment="1">
      <alignment horizontal="right"/>
    </xf>
    <xf numFmtId="0" fontId="303" fillId="0" borderId="0" xfId="0" applyFont="1" applyAlignment="1">
      <alignment horizontal="left" vertical="center" wrapText="1"/>
    </xf>
    <xf numFmtId="0" fontId="9" fillId="54" borderId="68" xfId="0" applyFont="1" applyFill="1" applyBorder="1" applyAlignment="1">
      <alignment horizontal="left" vertical="center" indent="7"/>
    </xf>
    <xf numFmtId="171" fontId="178" fillId="58" borderId="17" xfId="0" applyNumberFormat="1" applyFont="1" applyFill="1" applyBorder="1" applyAlignment="1">
      <alignment horizontal="center"/>
    </xf>
    <xf numFmtId="171" fontId="179" fillId="58" borderId="17" xfId="1211" applyNumberFormat="1" applyFont="1" applyFill="1" applyBorder="1" applyAlignment="1">
      <alignment horizontal="center"/>
    </xf>
    <xf numFmtId="0" fontId="9" fillId="54" borderId="0" xfId="1434" applyFont="1" applyFill="1" applyAlignment="1">
      <alignment horizontal="right"/>
    </xf>
    <xf numFmtId="169" fontId="77" fillId="54" borderId="0" xfId="1434" applyNumberFormat="1" applyFont="1" applyFill="1"/>
    <xf numFmtId="0" fontId="58" fillId="54" borderId="0" xfId="1434" applyFont="1" applyFill="1"/>
    <xf numFmtId="167" fontId="77" fillId="54" borderId="0" xfId="1434" applyNumberFormat="1" applyFont="1" applyFill="1"/>
    <xf numFmtId="167" fontId="5" fillId="54" borderId="0" xfId="1434" applyNumberFormat="1" applyFont="1" applyFill="1"/>
    <xf numFmtId="0" fontId="12" fillId="54" borderId="0" xfId="1434" applyFont="1" applyFill="1" applyAlignment="1">
      <alignment horizontal="right"/>
    </xf>
    <xf numFmtId="171" fontId="77" fillId="54" borderId="0" xfId="1434" applyNumberFormat="1" applyFont="1" applyFill="1"/>
    <xf numFmtId="0" fontId="58" fillId="54" borderId="0" xfId="1434" applyFont="1" applyFill="1" applyAlignment="1">
      <alignment horizontal="centerContinuous"/>
    </xf>
    <xf numFmtId="166" fontId="15" fillId="54" borderId="0" xfId="1434" applyNumberFormat="1" applyFont="1" applyFill="1"/>
    <xf numFmtId="0" fontId="9" fillId="54" borderId="17" xfId="1434" applyFont="1" applyFill="1" applyBorder="1" applyAlignment="1">
      <alignment horizontal="center"/>
    </xf>
    <xf numFmtId="1" fontId="15" fillId="54" borderId="0" xfId="1434" applyNumberFormat="1" applyFont="1" applyFill="1"/>
    <xf numFmtId="202" fontId="77" fillId="54" borderId="0" xfId="1434" applyNumberFormat="1" applyFont="1" applyFill="1"/>
    <xf numFmtId="166" fontId="77" fillId="54" borderId="0" xfId="1434" applyNumberFormat="1" applyFont="1" applyFill="1"/>
    <xf numFmtId="171" fontId="5" fillId="54" borderId="0" xfId="1434" applyNumberFormat="1" applyFont="1" applyFill="1"/>
    <xf numFmtId="169" fontId="147" fillId="54" borderId="0" xfId="1434" applyNumberFormat="1" applyFont="1" applyFill="1"/>
    <xf numFmtId="202" fontId="5" fillId="54" borderId="0" xfId="1434" applyNumberFormat="1" applyFont="1" applyFill="1"/>
    <xf numFmtId="10" fontId="102" fillId="54" borderId="0" xfId="1434" applyNumberFormat="1" applyFont="1" applyFill="1"/>
    <xf numFmtId="0" fontId="147" fillId="54" borderId="0" xfId="1434" applyFont="1" applyFill="1"/>
    <xf numFmtId="10" fontId="5" fillId="54" borderId="0" xfId="1434" applyNumberFormat="1" applyFont="1" applyFill="1"/>
    <xf numFmtId="169" fontId="15" fillId="54" borderId="0" xfId="1434" applyNumberFormat="1" applyFont="1" applyFill="1"/>
    <xf numFmtId="202" fontId="15" fillId="54" borderId="0" xfId="1434" applyNumberFormat="1" applyFont="1" applyFill="1"/>
    <xf numFmtId="49" fontId="9" fillId="54" borderId="17" xfId="1434" applyNumberFormat="1" applyFont="1" applyFill="1" applyBorder="1" applyAlignment="1">
      <alignment horizontal="center" vertical="top"/>
    </xf>
    <xf numFmtId="170" fontId="9" fillId="54" borderId="17" xfId="1434" applyNumberFormat="1" applyFont="1" applyFill="1" applyBorder="1" applyAlignment="1">
      <alignment horizontal="center"/>
    </xf>
    <xf numFmtId="0" fontId="9" fillId="54" borderId="22" xfId="1434" applyFont="1" applyFill="1" applyBorder="1" applyAlignment="1">
      <alignment horizontal="center"/>
    </xf>
    <xf numFmtId="169" fontId="9" fillId="54" borderId="122" xfId="1434" applyNumberFormat="1" applyFont="1" applyFill="1" applyBorder="1"/>
    <xf numFmtId="0" fontId="9" fillId="54" borderId="127" xfId="1434" applyFont="1" applyFill="1" applyBorder="1" applyAlignment="1">
      <alignment horizontal="center"/>
    </xf>
    <xf numFmtId="0" fontId="5" fillId="54" borderId="0" xfId="1434" applyFont="1" applyFill="1" applyAlignment="1">
      <alignment horizontal="right"/>
    </xf>
    <xf numFmtId="171" fontId="9" fillId="54" borderId="66" xfId="1434" applyNumberFormat="1" applyFont="1" applyFill="1" applyBorder="1" applyAlignment="1">
      <alignment horizontal="center"/>
    </xf>
    <xf numFmtId="3" fontId="5" fillId="54" borderId="0" xfId="1434" applyNumberFormat="1" applyFont="1" applyFill="1"/>
    <xf numFmtId="168" fontId="77" fillId="54" borderId="0" xfId="1434" applyNumberFormat="1" applyFont="1" applyFill="1"/>
    <xf numFmtId="0" fontId="77" fillId="54" borderId="0" xfId="1434" applyFont="1" applyFill="1" applyAlignment="1">
      <alignment horizontal="center"/>
    </xf>
    <xf numFmtId="165" fontId="9" fillId="54" borderId="66" xfId="1434" applyNumberFormat="1" applyFont="1" applyFill="1" applyBorder="1" applyAlignment="1">
      <alignment horizontal="center"/>
    </xf>
    <xf numFmtId="195" fontId="9" fillId="54" borderId="66" xfId="1217" applyNumberFormat="1" applyFont="1" applyFill="1" applyBorder="1" applyAlignment="1">
      <alignment horizontal="right" vertical="center" wrapText="1"/>
    </xf>
    <xf numFmtId="0" fontId="9" fillId="54" borderId="0" xfId="1434" applyFont="1" applyFill="1" applyBorder="1" applyAlignment="1">
      <alignment horizontal="center"/>
    </xf>
    <xf numFmtId="0" fontId="17" fillId="54" borderId="0" xfId="1434" applyFont="1" applyFill="1"/>
    <xf numFmtId="0" fontId="11" fillId="54" borderId="0" xfId="1434" applyFont="1" applyFill="1" applyAlignment="1">
      <alignment horizontal="right"/>
    </xf>
    <xf numFmtId="3" fontId="60" fillId="54" borderId="0" xfId="1434" applyNumberFormat="1" applyFont="1" applyFill="1" applyBorder="1" applyAlignment="1">
      <alignment horizontal="left"/>
    </xf>
    <xf numFmtId="3" fontId="14" fillId="54" borderId="0" xfId="1434" applyNumberFormat="1" applyFont="1" applyFill="1" applyBorder="1" applyAlignment="1">
      <alignment horizontal="left"/>
    </xf>
    <xf numFmtId="0" fontId="11" fillId="54" borderId="0" xfId="1434" applyFont="1" applyFill="1" applyBorder="1" applyAlignment="1">
      <alignment horizontal="left"/>
    </xf>
    <xf numFmtId="0" fontId="11" fillId="54" borderId="20" xfId="1176" applyFont="1" applyFill="1" applyBorder="1" applyAlignment="1">
      <alignment horizontal="center"/>
    </xf>
    <xf numFmtId="4" fontId="0" fillId="54" borderId="17" xfId="0" applyNumberFormat="1" applyFont="1" applyFill="1" applyBorder="1"/>
    <xf numFmtId="0" fontId="77" fillId="54" borderId="17" xfId="0" applyFont="1" applyFill="1" applyBorder="1" applyAlignment="1">
      <alignment horizontal="right"/>
    </xf>
    <xf numFmtId="0" fontId="77" fillId="54" borderId="33" xfId="0" applyFont="1" applyFill="1" applyBorder="1"/>
    <xf numFmtId="0" fontId="77" fillId="54" borderId="6" xfId="0" applyFont="1" applyFill="1" applyBorder="1"/>
    <xf numFmtId="4" fontId="77" fillId="59" borderId="17" xfId="0" applyNumberFormat="1" applyFont="1" applyFill="1" applyBorder="1"/>
    <xf numFmtId="0" fontId="337" fillId="59" borderId="33" xfId="0" applyFont="1" applyFill="1" applyBorder="1" applyAlignment="1">
      <alignment horizontal="centerContinuous"/>
    </xf>
    <xf numFmtId="0" fontId="0" fillId="59" borderId="6" xfId="0" applyFont="1" applyFill="1" applyBorder="1" applyAlignment="1">
      <alignment horizontal="centerContinuous" vertical="top"/>
    </xf>
    <xf numFmtId="0" fontId="77" fillId="54" borderId="33" xfId="0" applyFont="1" applyFill="1" applyBorder="1" applyAlignment="1">
      <alignment horizontal="left"/>
    </xf>
    <xf numFmtId="0" fontId="0" fillId="54" borderId="33" xfId="0" applyFont="1" applyFill="1" applyBorder="1"/>
    <xf numFmtId="0" fontId="307" fillId="54" borderId="0" xfId="0" applyFont="1" applyFill="1"/>
    <xf numFmtId="0" fontId="77" fillId="54" borderId="23" xfId="0" applyFont="1" applyFill="1" applyBorder="1" applyAlignment="1">
      <alignment horizontal="right"/>
    </xf>
    <xf numFmtId="4" fontId="0" fillId="59" borderId="23" xfId="0" applyNumberFormat="1" applyFont="1" applyFill="1" applyBorder="1"/>
    <xf numFmtId="4" fontId="77" fillId="59" borderId="22" xfId="0" applyNumberFormat="1" applyFont="1" applyFill="1" applyBorder="1"/>
    <xf numFmtId="4" fontId="77" fillId="63" borderId="17" xfId="0" applyNumberFormat="1" applyFont="1" applyFill="1" applyBorder="1"/>
    <xf numFmtId="0" fontId="77" fillId="54" borderId="22" xfId="0" applyFont="1" applyFill="1" applyBorder="1" applyAlignment="1">
      <alignment horizontal="right"/>
    </xf>
    <xf numFmtId="0" fontId="77" fillId="54" borderId="28" xfId="0" applyFont="1" applyFill="1" applyBorder="1"/>
    <xf numFmtId="0" fontId="145" fillId="0" borderId="0" xfId="1436" applyFont="1"/>
    <xf numFmtId="0" fontId="5" fillId="0" borderId="0" xfId="1436"/>
    <xf numFmtId="0" fontId="144" fillId="0" borderId="0" xfId="1436" applyFont="1" applyAlignment="1">
      <alignment vertical="center" wrapText="1"/>
    </xf>
    <xf numFmtId="0" fontId="27" fillId="0" borderId="0" xfId="1436" applyFont="1" applyBorder="1" applyAlignment="1">
      <alignment vertical="center" wrapText="1"/>
    </xf>
    <xf numFmtId="0" fontId="149" fillId="0" borderId="23" xfId="1436" applyFont="1" applyBorder="1" applyAlignment="1">
      <alignment horizontal="center" vertical="center"/>
    </xf>
    <xf numFmtId="0" fontId="149" fillId="0" borderId="55" xfId="1436" applyFont="1" applyBorder="1" applyAlignment="1">
      <alignment horizontal="center" vertical="center"/>
    </xf>
    <xf numFmtId="0" fontId="77" fillId="0" borderId="0" xfId="1436" applyFont="1" applyBorder="1" applyAlignment="1">
      <alignment vertical="center"/>
    </xf>
    <xf numFmtId="0" fontId="5" fillId="0" borderId="0" xfId="1436" applyBorder="1"/>
    <xf numFmtId="0" fontId="149" fillId="54" borderId="31" xfId="1436" applyFont="1" applyFill="1" applyBorder="1" applyAlignment="1">
      <alignment vertical="center" wrapText="1"/>
    </xf>
    <xf numFmtId="169" fontId="144" fillId="54" borderId="22" xfId="1436" applyNumberFormat="1" applyFont="1" applyFill="1" applyBorder="1" applyAlignment="1">
      <alignment horizontal="right" wrapText="1"/>
    </xf>
    <xf numFmtId="169" fontId="144" fillId="54" borderId="46" xfId="1436" applyNumberFormat="1" applyFont="1" applyFill="1" applyBorder="1" applyAlignment="1">
      <alignment horizontal="right"/>
    </xf>
    <xf numFmtId="169" fontId="77" fillId="54" borderId="25" xfId="1436" applyNumberFormat="1" applyFont="1" applyFill="1" applyBorder="1" applyAlignment="1">
      <alignment horizontal="center" vertical="center"/>
    </xf>
    <xf numFmtId="169" fontId="144" fillId="54" borderId="61" xfId="1436" applyNumberFormat="1" applyFont="1" applyFill="1" applyBorder="1" applyAlignment="1">
      <alignment horizontal="right"/>
    </xf>
    <xf numFmtId="0" fontId="77" fillId="54" borderId="0" xfId="1436" applyFont="1" applyFill="1" applyBorder="1" applyAlignment="1">
      <alignment vertical="center"/>
    </xf>
    <xf numFmtId="0" fontId="5" fillId="54" borderId="0" xfId="1436" applyFill="1" applyBorder="1"/>
    <xf numFmtId="0" fontId="5" fillId="54" borderId="0" xfId="1436" applyFill="1"/>
    <xf numFmtId="0" fontId="149" fillId="54" borderId="52" xfId="1436" applyFont="1" applyFill="1" applyBorder="1" applyAlignment="1">
      <alignment vertical="center" wrapText="1"/>
    </xf>
    <xf numFmtId="202" fontId="144" fillId="54" borderId="17" xfId="1436" applyNumberFormat="1" applyFont="1" applyFill="1" applyBorder="1" applyAlignment="1">
      <alignment horizontal="right" wrapText="1"/>
    </xf>
    <xf numFmtId="202" fontId="144" fillId="54" borderId="37" xfId="1436" applyNumberFormat="1" applyFont="1" applyFill="1" applyBorder="1" applyAlignment="1">
      <alignment horizontal="right" wrapText="1"/>
    </xf>
    <xf numFmtId="202" fontId="77" fillId="54" borderId="27" xfId="1436" applyNumberFormat="1" applyFont="1" applyFill="1" applyBorder="1" applyAlignment="1">
      <alignment horizontal="center" vertical="center"/>
    </xf>
    <xf numFmtId="202" fontId="144" fillId="54" borderId="34" xfId="1436" applyNumberFormat="1" applyFont="1" applyFill="1" applyBorder="1" applyAlignment="1">
      <alignment horizontal="right" wrapText="1"/>
    </xf>
    <xf numFmtId="1" fontId="77" fillId="54" borderId="0" xfId="1436" applyNumberFormat="1" applyFont="1" applyFill="1" applyBorder="1" applyAlignment="1">
      <alignment horizontal="right"/>
    </xf>
    <xf numFmtId="169" fontId="144" fillId="54" borderId="17" xfId="1436" applyNumberFormat="1" applyFont="1" applyFill="1" applyBorder="1" applyAlignment="1">
      <alignment horizontal="right" wrapText="1"/>
    </xf>
    <xf numFmtId="169" fontId="144" fillId="54" borderId="17" xfId="1436" applyNumberFormat="1" applyFont="1" applyFill="1" applyBorder="1" applyAlignment="1">
      <alignment horizontal="right"/>
    </xf>
    <xf numFmtId="169" fontId="144" fillId="54" borderId="34" xfId="1436" applyNumberFormat="1" applyFont="1" applyFill="1" applyBorder="1" applyAlignment="1">
      <alignment horizontal="right"/>
    </xf>
    <xf numFmtId="0" fontId="149" fillId="54" borderId="32" xfId="1436" applyFont="1" applyFill="1" applyBorder="1" applyAlignment="1">
      <alignment vertical="center" wrapText="1"/>
    </xf>
    <xf numFmtId="171" fontId="144" fillId="54" borderId="17" xfId="1436" applyNumberFormat="1" applyFont="1" applyFill="1" applyBorder="1" applyAlignment="1">
      <alignment horizontal="right" wrapText="1"/>
    </xf>
    <xf numFmtId="0" fontId="149" fillId="54" borderId="22" xfId="1436" applyFont="1" applyFill="1" applyBorder="1" applyAlignment="1">
      <alignment vertical="center" wrapText="1"/>
    </xf>
    <xf numFmtId="0" fontId="77" fillId="54" borderId="22" xfId="1436" applyFont="1" applyFill="1" applyBorder="1" applyAlignment="1">
      <alignment vertical="center"/>
    </xf>
    <xf numFmtId="0" fontId="77" fillId="54" borderId="22" xfId="1436" applyFont="1" applyFill="1" applyBorder="1" applyAlignment="1"/>
    <xf numFmtId="0" fontId="77" fillId="54" borderId="61" xfId="1436" applyFont="1" applyFill="1" applyBorder="1" applyAlignment="1"/>
    <xf numFmtId="218" fontId="77" fillId="54" borderId="0" xfId="1436" applyNumberFormat="1" applyFont="1" applyFill="1" applyBorder="1" applyAlignment="1">
      <alignment vertical="center"/>
    </xf>
    <xf numFmtId="166" fontId="77" fillId="54" borderId="0" xfId="1436" applyNumberFormat="1" applyFont="1" applyFill="1" applyBorder="1" applyAlignment="1">
      <alignment vertical="center"/>
    </xf>
    <xf numFmtId="0" fontId="149" fillId="54" borderId="35" xfId="1436" applyFont="1" applyFill="1" applyBorder="1" applyAlignment="1">
      <alignment vertical="center" wrapText="1"/>
    </xf>
    <xf numFmtId="0" fontId="149" fillId="54" borderId="37" xfId="1436" applyFont="1" applyFill="1" applyBorder="1" applyAlignment="1">
      <alignment vertical="center" wrapText="1"/>
    </xf>
    <xf numFmtId="0" fontId="77" fillId="54" borderId="37" xfId="1436" applyFont="1" applyFill="1" applyBorder="1" applyAlignment="1">
      <alignment vertical="center"/>
    </xf>
    <xf numFmtId="0" fontId="77" fillId="54" borderId="37" xfId="1436" applyFont="1" applyFill="1" applyBorder="1" applyAlignment="1">
      <alignment horizontal="center"/>
    </xf>
    <xf numFmtId="0" fontId="77" fillId="54" borderId="38" xfId="1436" applyFont="1" applyFill="1" applyBorder="1" applyAlignment="1">
      <alignment horizontal="center"/>
    </xf>
    <xf numFmtId="169" fontId="77" fillId="54" borderId="17" xfId="1436" applyNumberFormat="1" applyFont="1" applyFill="1" applyBorder="1" applyAlignment="1">
      <alignment horizontal="center" vertical="center"/>
    </xf>
    <xf numFmtId="169" fontId="144" fillId="54" borderId="133" xfId="1436" applyNumberFormat="1" applyFont="1" applyFill="1" applyBorder="1" applyAlignment="1">
      <alignment horizontal="right"/>
    </xf>
    <xf numFmtId="202" fontId="149" fillId="54" borderId="17" xfId="1436" applyNumberFormat="1" applyFont="1" applyFill="1" applyBorder="1" applyAlignment="1">
      <alignment horizontal="center" vertical="center" wrapText="1"/>
    </xf>
    <xf numFmtId="202" fontId="144" fillId="54" borderId="133" xfId="1436" applyNumberFormat="1" applyFont="1" applyFill="1" applyBorder="1" applyAlignment="1">
      <alignment horizontal="right" wrapText="1"/>
    </xf>
    <xf numFmtId="0" fontId="149" fillId="54" borderId="134" xfId="1436" applyFont="1" applyFill="1" applyBorder="1" applyAlignment="1">
      <alignment vertical="center" wrapText="1"/>
    </xf>
    <xf numFmtId="0" fontId="149" fillId="54" borderId="0" xfId="1436" applyFont="1" applyFill="1" applyBorder="1" applyAlignment="1">
      <alignment vertical="center" wrapText="1"/>
    </xf>
    <xf numFmtId="0" fontId="149" fillId="54" borderId="135" xfId="1436" applyFont="1" applyFill="1" applyBorder="1" applyAlignment="1">
      <alignment vertical="center" wrapText="1"/>
    </xf>
    <xf numFmtId="0" fontId="338" fillId="54" borderId="134" xfId="1436" applyFont="1" applyFill="1" applyBorder="1" applyAlignment="1">
      <alignment horizontal="left" vertical="center" wrapText="1"/>
    </xf>
    <xf numFmtId="0" fontId="149" fillId="54" borderId="135" xfId="1436" applyFont="1" applyFill="1" applyBorder="1" applyAlignment="1">
      <alignment horizontal="left" vertical="center" wrapText="1"/>
    </xf>
    <xf numFmtId="0" fontId="149" fillId="54" borderId="19" xfId="1436" applyFont="1" applyFill="1" applyBorder="1" applyAlignment="1">
      <alignment horizontal="left" vertical="center" wrapText="1"/>
    </xf>
    <xf numFmtId="195" fontId="58" fillId="56" borderId="127" xfId="1217" applyNumberFormat="1" applyFont="1" applyFill="1" applyBorder="1" applyAlignment="1">
      <alignment horizontal="right"/>
    </xf>
    <xf numFmtId="169" fontId="149" fillId="54" borderId="17" xfId="1436" applyNumberFormat="1" applyFont="1" applyFill="1" applyBorder="1" applyAlignment="1">
      <alignment horizontal="left" vertical="center" wrapText="1"/>
    </xf>
    <xf numFmtId="195" fontId="58" fillId="56" borderId="136" xfId="1217" applyNumberFormat="1" applyFont="1" applyFill="1" applyBorder="1" applyAlignment="1">
      <alignment horizontal="right"/>
    </xf>
    <xf numFmtId="195" fontId="58" fillId="56" borderId="137" xfId="1217" applyNumberFormat="1" applyFont="1" applyFill="1" applyBorder="1" applyAlignment="1">
      <alignment horizontal="right"/>
    </xf>
    <xf numFmtId="0" fontId="149" fillId="54" borderId="37" xfId="1436" applyFont="1" applyFill="1" applyBorder="1" applyAlignment="1">
      <alignment horizontal="left" vertical="center" wrapText="1"/>
    </xf>
    <xf numFmtId="195" fontId="58" fillId="56" borderId="138" xfId="1217" applyNumberFormat="1" applyFont="1" applyFill="1" applyBorder="1" applyAlignment="1">
      <alignment horizontal="right"/>
    </xf>
    <xf numFmtId="0" fontId="149" fillId="54" borderId="21" xfId="1436" applyFont="1" applyFill="1" applyBorder="1" applyAlignment="1">
      <alignment vertical="center" wrapText="1"/>
    </xf>
    <xf numFmtId="169" fontId="144" fillId="54" borderId="46" xfId="1436" applyNumberFormat="1" applyFont="1" applyFill="1" applyBorder="1" applyAlignment="1">
      <alignment horizontal="right" wrapText="1"/>
    </xf>
    <xf numFmtId="169" fontId="77" fillId="54" borderId="46" xfId="1436" applyNumberFormat="1" applyFont="1" applyFill="1" applyBorder="1" applyAlignment="1">
      <alignment horizontal="center" vertical="center"/>
    </xf>
    <xf numFmtId="169" fontId="144" fillId="54" borderId="47" xfId="1436" applyNumberFormat="1" applyFont="1" applyFill="1" applyBorder="1" applyAlignment="1">
      <alignment horizontal="right"/>
    </xf>
    <xf numFmtId="202" fontId="77" fillId="54" borderId="37" xfId="1436" applyNumberFormat="1" applyFont="1" applyFill="1" applyBorder="1" applyAlignment="1">
      <alignment horizontal="center" vertical="center"/>
    </xf>
    <xf numFmtId="0" fontId="149" fillId="46" borderId="0" xfId="1436" applyFont="1" applyFill="1" applyBorder="1" applyAlignment="1">
      <alignment vertical="center" wrapText="1"/>
    </xf>
    <xf numFmtId="0" fontId="149" fillId="0" borderId="0" xfId="1436" applyFont="1" applyBorder="1" applyAlignment="1">
      <alignment vertical="center" wrapText="1"/>
    </xf>
    <xf numFmtId="0" fontId="77" fillId="0" borderId="0" xfId="1436" applyFont="1" applyBorder="1" applyAlignment="1">
      <alignment horizontal="center"/>
    </xf>
    <xf numFmtId="0" fontId="126" fillId="0" borderId="0" xfId="1436" applyFont="1"/>
    <xf numFmtId="171" fontId="144" fillId="54" borderId="34" xfId="1436" applyNumberFormat="1" applyFont="1" applyFill="1" applyBorder="1" applyAlignment="1">
      <alignment horizontal="right" wrapText="1"/>
    </xf>
    <xf numFmtId="195" fontId="58" fillId="56" borderId="139" xfId="1217" applyNumberFormat="1" applyFont="1" applyFill="1" applyBorder="1" applyAlignment="1">
      <alignment horizontal="right"/>
    </xf>
    <xf numFmtId="195" fontId="58" fillId="56" borderId="140" xfId="1217" applyNumberFormat="1" applyFont="1" applyFill="1" applyBorder="1" applyAlignment="1">
      <alignment horizontal="right"/>
    </xf>
    <xf numFmtId="0" fontId="149" fillId="54" borderId="17" xfId="1436" applyFont="1" applyFill="1" applyBorder="1" applyAlignment="1">
      <alignment horizontal="left" vertical="center" wrapText="1"/>
    </xf>
    <xf numFmtId="195" fontId="58" fillId="56" borderId="141" xfId="1217" applyNumberFormat="1" applyFont="1" applyFill="1" applyBorder="1" applyAlignment="1">
      <alignment horizontal="right"/>
    </xf>
    <xf numFmtId="171" fontId="144" fillId="54" borderId="38" xfId="1436" applyNumberFormat="1" applyFont="1" applyFill="1" applyBorder="1" applyAlignment="1">
      <alignment horizontal="right" wrapText="1"/>
    </xf>
    <xf numFmtId="172" fontId="178" fillId="46" borderId="11" xfId="1319" applyNumberFormat="1" applyFont="1" applyFill="1" applyBorder="1" applyAlignment="1" applyProtection="1">
      <alignment horizontal="right" vertical="center"/>
      <protection locked="0"/>
    </xf>
    <xf numFmtId="0" fontId="178" fillId="58" borderId="0" xfId="1195" applyFont="1" applyFill="1" applyBorder="1" applyAlignment="1" applyProtection="1">
      <alignment horizontal="center" vertical="center"/>
    </xf>
    <xf numFmtId="4" fontId="161" fillId="54" borderId="17" xfId="0" applyNumberFormat="1" applyFont="1" applyFill="1" applyBorder="1" applyAlignment="1">
      <alignment vertical="center" wrapText="1"/>
    </xf>
    <xf numFmtId="4" fontId="161" fillId="46" borderId="17" xfId="0" applyNumberFormat="1" applyFont="1" applyFill="1" applyBorder="1" applyAlignment="1">
      <alignment vertical="center" wrapText="1"/>
    </xf>
    <xf numFmtId="170" fontId="178" fillId="54" borderId="17" xfId="0" applyNumberFormat="1" applyFont="1" applyFill="1" applyBorder="1"/>
    <xf numFmtId="170" fontId="161" fillId="54" borderId="17" xfId="0" applyNumberFormat="1" applyFont="1" applyFill="1" applyBorder="1"/>
    <xf numFmtId="0" fontId="161" fillId="54" borderId="17" xfId="0" applyFont="1" applyFill="1" applyBorder="1" applyAlignment="1">
      <alignment horizontal="center" vertical="center" wrapText="1"/>
    </xf>
    <xf numFmtId="0" fontId="161" fillId="54" borderId="17" xfId="0" applyFont="1" applyFill="1" applyBorder="1" applyAlignment="1">
      <alignment vertical="center" wrapText="1"/>
    </xf>
    <xf numFmtId="0" fontId="161" fillId="54" borderId="17" xfId="1430" applyFont="1" applyFill="1" applyBorder="1" applyAlignment="1" applyProtection="1">
      <alignment horizontal="center" vertical="center" wrapText="1"/>
    </xf>
    <xf numFmtId="0" fontId="178" fillId="54" borderId="17" xfId="0" applyFont="1" applyFill="1" applyBorder="1" applyAlignment="1">
      <alignment horizontal="center" vertical="center" wrapText="1"/>
    </xf>
    <xf numFmtId="0" fontId="178" fillId="54" borderId="17" xfId="1025" applyFont="1" applyFill="1" applyBorder="1" applyAlignment="1" applyProtection="1">
      <alignment horizontal="left" vertical="center" wrapText="1"/>
    </xf>
    <xf numFmtId="170" fontId="161" fillId="54" borderId="142" xfId="0" applyNumberFormat="1" applyFont="1" applyFill="1" applyBorder="1"/>
    <xf numFmtId="168" fontId="122" fillId="54" borderId="11" xfId="0" applyNumberFormat="1" applyFont="1" applyFill="1" applyBorder="1" applyAlignment="1">
      <alignment vertical="center" wrapText="1"/>
    </xf>
    <xf numFmtId="0" fontId="161" fillId="54" borderId="17" xfId="1025" applyFont="1" applyFill="1" applyBorder="1" applyAlignment="1" applyProtection="1">
      <alignment horizontal="left" vertical="center" wrapText="1"/>
    </xf>
    <xf numFmtId="0" fontId="178" fillId="59" borderId="0" xfId="0" applyFont="1" applyFill="1"/>
    <xf numFmtId="0" fontId="277" fillId="0" borderId="0" xfId="0" applyFont="1" applyFill="1" applyAlignment="1">
      <alignment horizontal="right"/>
    </xf>
    <xf numFmtId="0" fontId="60" fillId="63" borderId="17" xfId="0" applyFont="1" applyFill="1" applyBorder="1"/>
    <xf numFmtId="0" fontId="9" fillId="54" borderId="17" xfId="0" applyFont="1" applyFill="1" applyBorder="1" applyAlignment="1">
      <alignment vertical="top" wrapText="1"/>
    </xf>
    <xf numFmtId="170" fontId="9" fillId="54" borderId="17" xfId="0" applyNumberFormat="1" applyFont="1" applyFill="1" applyBorder="1" applyAlignment="1">
      <alignment wrapText="1"/>
    </xf>
    <xf numFmtId="173" fontId="9" fillId="46" borderId="22" xfId="1216" applyNumberFormat="1" applyFont="1" applyFill="1" applyBorder="1" applyAlignment="1">
      <alignment horizontal="right" vertical="top"/>
    </xf>
    <xf numFmtId="0" fontId="351" fillId="54" borderId="0" xfId="1176" applyFont="1" applyFill="1" applyAlignment="1">
      <alignment horizontal="centerContinuous" vertical="center" wrapText="1"/>
    </xf>
    <xf numFmtId="0" fontId="350" fillId="54" borderId="0" xfId="1176" applyFont="1" applyFill="1" applyAlignment="1">
      <alignment horizontal="centerContinuous" vertical="center" wrapText="1"/>
    </xf>
    <xf numFmtId="0" fontId="352" fillId="54" borderId="26" xfId="1176" applyFont="1" applyFill="1" applyBorder="1" applyAlignment="1">
      <alignment horizontal="centerContinuous" vertical="center" wrapText="1"/>
    </xf>
    <xf numFmtId="4" fontId="353" fillId="64" borderId="17" xfId="1176" applyNumberFormat="1" applyFont="1" applyFill="1" applyBorder="1" applyAlignment="1">
      <alignment horizontal="centerContinuous" vertical="center" wrapText="1"/>
    </xf>
    <xf numFmtId="3" fontId="353" fillId="54" borderId="17" xfId="1176" applyNumberFormat="1" applyFont="1" applyFill="1" applyBorder="1" applyAlignment="1">
      <alignment horizontal="right" wrapText="1"/>
    </xf>
    <xf numFmtId="0" fontId="331" fillId="54" borderId="0" xfId="1176" applyFont="1" applyFill="1" applyAlignment="1">
      <alignment vertical="center" wrapText="1"/>
    </xf>
    <xf numFmtId="0" fontId="353" fillId="46" borderId="17" xfId="1176" applyFont="1" applyFill="1" applyBorder="1" applyAlignment="1">
      <alignment horizontal="right" wrapText="1"/>
    </xf>
    <xf numFmtId="3" fontId="331" fillId="54" borderId="0" xfId="1176" applyNumberFormat="1" applyFont="1" applyFill="1" applyAlignment="1">
      <alignment vertical="center" wrapText="1"/>
    </xf>
    <xf numFmtId="0" fontId="178" fillId="63" borderId="0" xfId="0" applyFont="1" applyFill="1"/>
    <xf numFmtId="0" fontId="0" fillId="58" borderId="0" xfId="0" applyFont="1" applyFill="1"/>
    <xf numFmtId="4" fontId="0" fillId="58" borderId="0" xfId="0" applyNumberFormat="1" applyFont="1" applyFill="1"/>
    <xf numFmtId="0" fontId="0" fillId="58" borderId="0" xfId="0" applyFill="1"/>
    <xf numFmtId="0" fontId="77" fillId="58" borderId="0" xfId="0" applyFont="1" applyFill="1"/>
    <xf numFmtId="164" fontId="0" fillId="58" borderId="0" xfId="0" applyNumberFormat="1" applyFont="1" applyFill="1"/>
    <xf numFmtId="0" fontId="178" fillId="58" borderId="0" xfId="1434" applyFont="1" applyFill="1"/>
    <xf numFmtId="0" fontId="178" fillId="58" borderId="0" xfId="0" applyFont="1" applyFill="1"/>
    <xf numFmtId="0" fontId="126" fillId="58" borderId="0" xfId="0" applyFont="1" applyFill="1"/>
    <xf numFmtId="0" fontId="0" fillId="0" borderId="0" xfId="0"/>
    <xf numFmtId="173" fontId="178" fillId="46" borderId="0" xfId="0" applyNumberFormat="1" applyFont="1" applyFill="1"/>
    <xf numFmtId="4" fontId="178" fillId="28" borderId="11" xfId="1319" applyNumberFormat="1" applyFont="1" applyFill="1" applyBorder="1" applyAlignment="1" applyProtection="1">
      <alignment horizontal="right" vertical="center"/>
      <protection locked="0"/>
    </xf>
    <xf numFmtId="2" fontId="15" fillId="54" borderId="0" xfId="1434" applyNumberFormat="1" applyFont="1" applyFill="1"/>
    <xf numFmtId="2" fontId="77" fillId="54" borderId="0" xfId="1434" applyNumberFormat="1" applyFont="1" applyFill="1"/>
    <xf numFmtId="175" fontId="9" fillId="54" borderId="66" xfId="1434" applyNumberFormat="1" applyFont="1" applyFill="1" applyBorder="1" applyAlignment="1">
      <alignment horizontal="center"/>
    </xf>
    <xf numFmtId="1" fontId="147" fillId="54" borderId="0" xfId="1434" applyNumberFormat="1" applyFont="1" applyFill="1"/>
    <xf numFmtId="0" fontId="353" fillId="46" borderId="17" xfId="1176" applyFont="1" applyFill="1" applyBorder="1" applyAlignment="1">
      <alignment horizontal="center" wrapText="1"/>
    </xf>
    <xf numFmtId="0" fontId="353" fillId="63" borderId="17" xfId="1176" applyFont="1" applyFill="1" applyBorder="1" applyAlignment="1">
      <alignment horizontal="center" wrapText="1"/>
    </xf>
    <xf numFmtId="0" fontId="0" fillId="54" borderId="22" xfId="0" applyFont="1" applyFill="1" applyBorder="1" applyAlignment="1">
      <alignment horizontal="center" vertical="top"/>
    </xf>
    <xf numFmtId="173" fontId="9" fillId="54" borderId="17" xfId="1216" applyNumberFormat="1" applyFont="1" applyFill="1" applyBorder="1" applyAlignment="1">
      <alignment horizontal="right" wrapText="1"/>
    </xf>
    <xf numFmtId="0" fontId="60" fillId="54" borderId="17" xfId="0" applyFont="1" applyFill="1" applyBorder="1" applyAlignment="1">
      <alignment horizontal="center" vertical="top" wrapText="1"/>
    </xf>
    <xf numFmtId="4" fontId="178" fillId="54" borderId="17" xfId="0" applyNumberFormat="1" applyFont="1" applyFill="1" applyBorder="1"/>
    <xf numFmtId="4" fontId="178" fillId="54" borderId="17" xfId="0" applyNumberFormat="1" applyFont="1" applyFill="1" applyBorder="1" applyAlignment="1">
      <alignment vertical="center" wrapText="1"/>
    </xf>
    <xf numFmtId="4" fontId="161" fillId="54" borderId="17" xfId="0" applyNumberFormat="1" applyFont="1" applyFill="1" applyBorder="1"/>
    <xf numFmtId="169" fontId="161" fillId="54" borderId="17" xfId="0" applyNumberFormat="1" applyFont="1" applyFill="1" applyBorder="1"/>
    <xf numFmtId="169" fontId="178" fillId="54" borderId="17" xfId="0" applyNumberFormat="1" applyFont="1" applyFill="1" applyBorder="1"/>
    <xf numFmtId="1" fontId="5" fillId="0" borderId="0" xfId="1436" applyNumberFormat="1"/>
    <xf numFmtId="0" fontId="9" fillId="0" borderId="22" xfId="0" applyFont="1" applyBorder="1" applyAlignment="1">
      <alignment horizontal="center" vertical="top" wrapText="1"/>
    </xf>
    <xf numFmtId="0" fontId="9" fillId="0" borderId="25" xfId="0" applyFont="1" applyBorder="1" applyAlignment="1">
      <alignment vertical="top" wrapText="1"/>
    </xf>
    <xf numFmtId="4" fontId="328" fillId="58" borderId="17" xfId="0" applyNumberFormat="1" applyFont="1" applyFill="1" applyBorder="1"/>
    <xf numFmtId="173" fontId="9" fillId="58" borderId="17" xfId="1216" applyNumberFormat="1" applyFont="1" applyFill="1" applyBorder="1" applyAlignment="1">
      <alignment horizontal="right" wrapText="1"/>
    </xf>
    <xf numFmtId="170" fontId="58" fillId="0" borderId="17" xfId="0" applyNumberFormat="1" applyFont="1" applyBorder="1" applyAlignment="1"/>
    <xf numFmtId="170" fontId="11" fillId="0" borderId="17" xfId="0" applyNumberFormat="1" applyFont="1" applyBorder="1" applyAlignment="1"/>
    <xf numFmtId="173" fontId="178" fillId="54" borderId="17" xfId="1216" applyNumberFormat="1" applyFont="1" applyFill="1" applyBorder="1" applyAlignment="1">
      <alignment horizontal="right"/>
    </xf>
    <xf numFmtId="173" fontId="178" fillId="54" borderId="17" xfId="0" applyNumberFormat="1" applyFont="1" applyFill="1" applyBorder="1"/>
    <xf numFmtId="170" fontId="178" fillId="54" borderId="17" xfId="0" applyNumberFormat="1" applyFont="1" applyFill="1" applyBorder="1" applyAlignment="1"/>
    <xf numFmtId="198" fontId="9" fillId="0" borderId="0" xfId="0" applyNumberFormat="1" applyFont="1"/>
    <xf numFmtId="170" fontId="277" fillId="0" borderId="0" xfId="0" applyNumberFormat="1" applyFont="1" applyFill="1"/>
    <xf numFmtId="0" fontId="315" fillId="0" borderId="0" xfId="0" applyFont="1" applyBorder="1"/>
    <xf numFmtId="0" fontId="42" fillId="54" borderId="23" xfId="1209" applyFont="1" applyFill="1" applyBorder="1" applyAlignment="1">
      <alignment horizontal="center" wrapText="1"/>
    </xf>
    <xf numFmtId="173" fontId="178" fillId="54" borderId="0" xfId="0" applyNumberFormat="1" applyFont="1" applyFill="1"/>
    <xf numFmtId="0" fontId="42" fillId="54" borderId="0" xfId="0" applyFont="1" applyFill="1" applyAlignment="1">
      <alignment horizontal="center"/>
    </xf>
    <xf numFmtId="0" fontId="311" fillId="54" borderId="0" xfId="0" applyFont="1" applyFill="1"/>
    <xf numFmtId="0" fontId="0" fillId="54" borderId="22" xfId="0" applyFont="1" applyFill="1" applyBorder="1" applyAlignment="1">
      <alignment horizontal="center" wrapText="1"/>
    </xf>
    <xf numFmtId="0" fontId="42" fillId="54" borderId="0" xfId="0" applyFont="1" applyFill="1" applyAlignment="1">
      <alignment horizontal="right"/>
    </xf>
    <xf numFmtId="10" fontId="277" fillId="54" borderId="0" xfId="0" applyNumberFormat="1" applyFont="1" applyFill="1" applyAlignment="1">
      <alignment horizontal="left"/>
    </xf>
    <xf numFmtId="164" fontId="161" fillId="46" borderId="0" xfId="0" applyNumberFormat="1" applyFont="1" applyFill="1"/>
    <xf numFmtId="164" fontId="311" fillId="54" borderId="0" xfId="0" applyNumberFormat="1" applyFont="1" applyFill="1" applyAlignment="1">
      <alignment horizontal="left"/>
    </xf>
    <xf numFmtId="0" fontId="0" fillId="54" borderId="20" xfId="0" applyFill="1" applyBorder="1" applyAlignment="1">
      <alignment horizontal="centerContinuous" vertical="top" wrapText="1"/>
    </xf>
    <xf numFmtId="0" fontId="0" fillId="54" borderId="17" xfId="0" applyFill="1" applyBorder="1" applyAlignment="1">
      <alignment horizontal="center" vertical="top" wrapText="1"/>
    </xf>
    <xf numFmtId="169" fontId="178" fillId="54" borderId="17" xfId="0" applyNumberFormat="1" applyFont="1" applyFill="1" applyBorder="1" applyAlignment="1">
      <alignment wrapText="1"/>
    </xf>
    <xf numFmtId="202" fontId="178" fillId="54" borderId="17" xfId="0" applyNumberFormat="1" applyFont="1" applyFill="1" applyBorder="1" applyAlignment="1">
      <alignment wrapText="1"/>
    </xf>
    <xf numFmtId="4" fontId="178" fillId="54" borderId="17" xfId="0" applyNumberFormat="1" applyFont="1" applyFill="1" applyBorder="1" applyAlignment="1">
      <alignment wrapText="1"/>
    </xf>
    <xf numFmtId="4" fontId="328" fillId="63" borderId="17" xfId="0" applyNumberFormat="1" applyFont="1" applyFill="1" applyBorder="1"/>
    <xf numFmtId="3" fontId="70" fillId="63" borderId="17" xfId="1176" applyNumberFormat="1" applyFont="1" applyFill="1" applyBorder="1" applyAlignment="1">
      <alignment horizontal="right" wrapText="1"/>
    </xf>
    <xf numFmtId="169" fontId="60" fillId="58" borderId="20" xfId="0" applyNumberFormat="1" applyFont="1" applyFill="1" applyBorder="1"/>
    <xf numFmtId="10" fontId="30" fillId="0" borderId="0" xfId="1208" applyNumberFormat="1"/>
    <xf numFmtId="10" fontId="77" fillId="54" borderId="0" xfId="1434" applyNumberFormat="1" applyFont="1" applyFill="1"/>
    <xf numFmtId="166" fontId="9" fillId="54" borderId="17" xfId="1434" applyNumberFormat="1" applyFont="1" applyFill="1" applyBorder="1" applyAlignment="1">
      <alignment horizontal="center"/>
    </xf>
    <xf numFmtId="167" fontId="9" fillId="54" borderId="17" xfId="1434" applyNumberFormat="1" applyFont="1" applyFill="1" applyBorder="1" applyAlignment="1">
      <alignment horizontal="center"/>
    </xf>
    <xf numFmtId="0" fontId="147" fillId="0" borderId="0" xfId="0" applyFont="1" applyAlignment="1">
      <alignment horizontal="center" vertical="top"/>
    </xf>
    <xf numFmtId="0" fontId="0" fillId="0" borderId="0" xfId="0" applyFont="1" applyFill="1" applyBorder="1" applyAlignment="1">
      <alignment horizontal="left" vertical="center" wrapText="1"/>
    </xf>
    <xf numFmtId="0" fontId="0" fillId="0" borderId="0" xfId="0"/>
    <xf numFmtId="4" fontId="161" fillId="46" borderId="0" xfId="0" applyNumberFormat="1" applyFont="1" applyFill="1" applyBorder="1" applyAlignment="1">
      <alignment horizontal="center" wrapText="1"/>
    </xf>
    <xf numFmtId="0" fontId="355" fillId="54" borderId="0" xfId="0" applyFont="1" applyFill="1"/>
    <xf numFmtId="0" fontId="356" fillId="54" borderId="0" xfId="0" applyFont="1" applyFill="1" applyAlignment="1">
      <alignment horizontal="centerContinuous" wrapText="1"/>
    </xf>
    <xf numFmtId="0" fontId="355" fillId="54" borderId="0" xfId="0" applyFont="1" applyFill="1" applyBorder="1" applyAlignment="1">
      <alignment horizontal="centerContinuous" wrapText="1"/>
    </xf>
    <xf numFmtId="0" fontId="355" fillId="0" borderId="0" xfId="0" applyFont="1"/>
    <xf numFmtId="0" fontId="355" fillId="54" borderId="143" xfId="0" applyFont="1" applyFill="1" applyBorder="1" applyAlignment="1">
      <alignment horizontal="center" vertical="center"/>
    </xf>
    <xf numFmtId="0" fontId="355" fillId="54" borderId="143" xfId="0" applyFont="1" applyFill="1" applyBorder="1" applyAlignment="1">
      <alignment horizontal="center" vertical="top" wrapText="1"/>
    </xf>
    <xf numFmtId="0" fontId="355" fillId="0" borderId="0" xfId="0" applyFont="1" applyAlignment="1">
      <alignment horizontal="center" vertical="center"/>
    </xf>
    <xf numFmtId="0" fontId="355" fillId="54" borderId="143" xfId="0" applyFont="1" applyFill="1" applyBorder="1"/>
    <xf numFmtId="171" fontId="355" fillId="54" borderId="143" xfId="0" applyNumberFormat="1" applyFont="1" applyFill="1" applyBorder="1"/>
    <xf numFmtId="169" fontId="355" fillId="54" borderId="143" xfId="0" applyNumberFormat="1" applyFont="1" applyFill="1" applyBorder="1"/>
    <xf numFmtId="170" fontId="355" fillId="54" borderId="143" xfId="0" applyNumberFormat="1" applyFont="1" applyFill="1" applyBorder="1"/>
    <xf numFmtId="0" fontId="357" fillId="0" borderId="0" xfId="0" applyFont="1"/>
    <xf numFmtId="10" fontId="355" fillId="54" borderId="143" xfId="0" applyNumberFormat="1" applyFont="1" applyFill="1" applyBorder="1"/>
    <xf numFmtId="0" fontId="358" fillId="54" borderId="143" xfId="0" applyFont="1" applyFill="1" applyBorder="1"/>
    <xf numFmtId="0" fontId="358" fillId="54" borderId="144" xfId="0" applyFont="1" applyFill="1" applyBorder="1" applyAlignment="1">
      <alignment horizontal="right" vertical="top" wrapText="1"/>
    </xf>
    <xf numFmtId="0" fontId="358" fillId="54" borderId="144" xfId="0" applyFont="1" applyFill="1" applyBorder="1" applyAlignment="1">
      <alignment wrapText="1"/>
    </xf>
    <xf numFmtId="170" fontId="358" fillId="54" borderId="144" xfId="0" applyNumberFormat="1" applyFont="1" applyFill="1" applyBorder="1"/>
    <xf numFmtId="0" fontId="358" fillId="0" borderId="0" xfId="0" applyFont="1"/>
    <xf numFmtId="0" fontId="355" fillId="54" borderId="20" xfId="0" applyFont="1" applyFill="1" applyBorder="1" applyAlignment="1">
      <alignment wrapText="1"/>
    </xf>
    <xf numFmtId="170" fontId="358" fillId="54" borderId="20" xfId="0" applyNumberFormat="1" applyFont="1" applyFill="1" applyBorder="1"/>
    <xf numFmtId="170" fontId="358" fillId="54" borderId="22" xfId="0" applyNumberFormat="1" applyFont="1" applyFill="1" applyBorder="1"/>
    <xf numFmtId="0" fontId="355" fillId="54" borderId="143" xfId="0" applyFont="1" applyFill="1" applyBorder="1" applyAlignment="1">
      <alignment wrapText="1"/>
    </xf>
    <xf numFmtId="0" fontId="357" fillId="54" borderId="0" xfId="0" applyFont="1" applyFill="1"/>
    <xf numFmtId="0" fontId="358" fillId="54" borderId="0" xfId="0" applyFont="1" applyFill="1"/>
    <xf numFmtId="0" fontId="359" fillId="54" borderId="0" xfId="0" applyFont="1" applyFill="1"/>
    <xf numFmtId="0" fontId="360" fillId="54" borderId="0" xfId="0" applyFont="1" applyFill="1"/>
    <xf numFmtId="0" fontId="359" fillId="0" borderId="0" xfId="0" applyFont="1"/>
    <xf numFmtId="10" fontId="355" fillId="54" borderId="0" xfId="0" applyNumberFormat="1" applyFont="1" applyFill="1"/>
    <xf numFmtId="0" fontId="151" fillId="54" borderId="0" xfId="1215" applyFont="1" applyFill="1" applyAlignment="1">
      <alignment horizontal="centerContinuous" wrapText="1"/>
    </xf>
    <xf numFmtId="0" fontId="11" fillId="58" borderId="0" xfId="0" applyFont="1" applyFill="1"/>
    <xf numFmtId="0" fontId="60" fillId="58" borderId="17" xfId="0" applyFont="1" applyFill="1" applyBorder="1" applyAlignment="1">
      <alignment horizontal="center" vertical="top" wrapText="1"/>
    </xf>
    <xf numFmtId="4" fontId="60" fillId="54" borderId="17" xfId="0" applyNumberFormat="1" applyFont="1" applyFill="1" applyBorder="1"/>
    <xf numFmtId="173" fontId="60" fillId="54" borderId="17" xfId="1216" applyNumberFormat="1" applyFont="1" applyFill="1" applyBorder="1" applyAlignment="1">
      <alignment horizontal="right" wrapText="1"/>
    </xf>
    <xf numFmtId="4" fontId="14" fillId="54" borderId="17" xfId="0" applyNumberFormat="1" applyFont="1" applyFill="1" applyBorder="1" applyAlignment="1">
      <alignment horizontal="right"/>
    </xf>
    <xf numFmtId="173" fontId="14" fillId="54" borderId="17" xfId="1216" applyNumberFormat="1" applyFont="1" applyFill="1" applyBorder="1" applyAlignment="1">
      <alignment horizontal="right" wrapText="1"/>
    </xf>
    <xf numFmtId="4" fontId="14" fillId="54" borderId="17" xfId="0" applyNumberFormat="1" applyFont="1" applyFill="1" applyBorder="1"/>
    <xf numFmtId="173" fontId="9" fillId="54" borderId="0" xfId="0" applyNumberFormat="1" applyFont="1" applyFill="1"/>
    <xf numFmtId="3" fontId="60" fillId="54" borderId="17" xfId="0" applyNumberFormat="1" applyFont="1" applyFill="1" applyBorder="1"/>
    <xf numFmtId="194" fontId="14" fillId="54" borderId="17" xfId="1216" applyNumberFormat="1" applyFont="1" applyFill="1" applyBorder="1" applyAlignment="1">
      <alignment horizontal="right" wrapText="1"/>
    </xf>
    <xf numFmtId="0" fontId="11" fillId="0" borderId="17" xfId="0" applyFont="1" applyBorder="1" applyAlignment="1">
      <alignment horizontal="right" wrapText="1"/>
    </xf>
    <xf numFmtId="0" fontId="367" fillId="0" borderId="0" xfId="0" applyFont="1"/>
    <xf numFmtId="0" fontId="315" fillId="0" borderId="0" xfId="0" applyFont="1"/>
    <xf numFmtId="4" fontId="303" fillId="46" borderId="0" xfId="0" applyNumberFormat="1" applyFont="1" applyFill="1"/>
    <xf numFmtId="4" fontId="303" fillId="0" borderId="0" xfId="0" applyNumberFormat="1" applyFont="1"/>
    <xf numFmtId="0" fontId="356" fillId="0" borderId="0" xfId="1215" applyFont="1" applyFill="1" applyAlignment="1">
      <alignment horizontal="centerContinuous" wrapText="1"/>
    </xf>
    <xf numFmtId="0" fontId="358" fillId="54" borderId="0" xfId="1215" applyFont="1" applyFill="1" applyAlignment="1">
      <alignment horizontal="centerContinuous" wrapText="1"/>
    </xf>
    <xf numFmtId="2" fontId="58" fillId="54" borderId="0" xfId="0" applyNumberFormat="1" applyFont="1" applyFill="1" applyBorder="1"/>
    <xf numFmtId="0" fontId="8" fillId="54" borderId="0" xfId="0" applyFont="1" applyFill="1" applyAlignment="1">
      <alignment horizontal="center" wrapText="1"/>
    </xf>
    <xf numFmtId="0" fontId="105" fillId="54" borderId="0" xfId="0" applyFont="1" applyFill="1"/>
    <xf numFmtId="2" fontId="9" fillId="54" borderId="0" xfId="0" applyNumberFormat="1" applyFont="1" applyFill="1"/>
    <xf numFmtId="169" fontId="9" fillId="0" borderId="17" xfId="0" applyNumberFormat="1" applyFont="1" applyBorder="1"/>
    <xf numFmtId="164" fontId="9" fillId="0" borderId="17" xfId="0" applyNumberFormat="1" applyFont="1" applyBorder="1"/>
    <xf numFmtId="0" fontId="355" fillId="0" borderId="0" xfId="0" applyFont="1" applyAlignment="1">
      <alignment horizontal="centerContinuous"/>
    </xf>
    <xf numFmtId="0" fontId="355" fillId="54" borderId="0" xfId="0" applyFont="1" applyFill="1" applyAlignment="1">
      <alignment horizontal="centerContinuous"/>
    </xf>
    <xf numFmtId="4" fontId="11" fillId="54" borderId="0" xfId="0" applyNumberFormat="1" applyFont="1" applyFill="1"/>
    <xf numFmtId="2" fontId="9" fillId="54" borderId="25" xfId="0" applyNumberFormat="1" applyFont="1" applyFill="1" applyBorder="1" applyAlignment="1">
      <alignment wrapText="1"/>
    </xf>
    <xf numFmtId="164" fontId="9" fillId="54" borderId="25" xfId="0" applyNumberFormat="1" applyFont="1" applyFill="1" applyBorder="1" applyAlignment="1">
      <alignment wrapText="1"/>
    </xf>
    <xf numFmtId="4" fontId="9" fillId="54" borderId="17" xfId="0" applyNumberFormat="1" applyFont="1" applyFill="1" applyBorder="1" applyAlignment="1"/>
    <xf numFmtId="4" fontId="9" fillId="54" borderId="25" xfId="0" applyNumberFormat="1" applyFont="1" applyFill="1" applyBorder="1" applyAlignment="1">
      <alignment wrapText="1"/>
    </xf>
    <xf numFmtId="4" fontId="15" fillId="54" borderId="25" xfId="0" applyNumberFormat="1" applyFont="1" applyFill="1" applyBorder="1" applyAlignment="1">
      <alignment wrapText="1"/>
    </xf>
    <xf numFmtId="173" fontId="15" fillId="54" borderId="17" xfId="1216" applyNumberFormat="1" applyFont="1" applyFill="1" applyBorder="1" applyAlignment="1">
      <alignment horizontal="right" wrapText="1"/>
    </xf>
    <xf numFmtId="4" fontId="15" fillId="54" borderId="17" xfId="0" applyNumberFormat="1" applyFont="1" applyFill="1" applyBorder="1" applyAlignment="1"/>
    <xf numFmtId="0" fontId="369" fillId="0" borderId="0" xfId="1215" applyFont="1" applyFill="1" applyAlignment="1">
      <alignment horizontal="centerContinuous" wrapText="1"/>
    </xf>
    <xf numFmtId="0" fontId="369" fillId="46" borderId="0" xfId="1215" applyFont="1" applyFill="1" applyAlignment="1">
      <alignment horizontal="centerContinuous" wrapText="1"/>
    </xf>
    <xf numFmtId="0" fontId="357" fillId="0" borderId="0" xfId="0" applyFont="1" applyAlignment="1">
      <alignment horizontal="centerContinuous" wrapText="1"/>
    </xf>
    <xf numFmtId="0" fontId="370" fillId="0" borderId="0" xfId="0" applyFont="1"/>
    <xf numFmtId="0" fontId="369" fillId="0" borderId="0" xfId="0" applyFont="1"/>
    <xf numFmtId="0" fontId="357" fillId="46" borderId="0" xfId="0" applyFont="1" applyFill="1"/>
    <xf numFmtId="0" fontId="369" fillId="0" borderId="0" xfId="0" applyFont="1" applyAlignment="1">
      <alignment horizontal="center"/>
    </xf>
    <xf numFmtId="0" fontId="358" fillId="0" borderId="0" xfId="0" applyFont="1" applyAlignment="1">
      <alignment horizontal="right"/>
    </xf>
    <xf numFmtId="0" fontId="369" fillId="54" borderId="0" xfId="0" applyFont="1" applyFill="1" applyAlignment="1">
      <alignment horizontal="center"/>
    </xf>
    <xf numFmtId="0" fontId="358" fillId="54" borderId="0" xfId="0" applyFont="1" applyFill="1" applyAlignment="1">
      <alignment horizontal="right"/>
    </xf>
    <xf numFmtId="0" fontId="178" fillId="58" borderId="17" xfId="0" applyFont="1" applyFill="1" applyBorder="1" applyAlignment="1">
      <alignment horizontal="right"/>
    </xf>
    <xf numFmtId="0" fontId="42" fillId="58" borderId="17" xfId="1209" applyFont="1" applyFill="1" applyBorder="1" applyAlignment="1">
      <alignment wrapText="1"/>
    </xf>
    <xf numFmtId="0" fontId="42" fillId="58" borderId="17" xfId="1209" applyFont="1" applyFill="1" applyBorder="1" applyAlignment="1">
      <alignment horizontal="center" wrapText="1"/>
    </xf>
    <xf numFmtId="0" fontId="42" fillId="58" borderId="17" xfId="0" applyFont="1" applyFill="1" applyBorder="1" applyAlignment="1">
      <alignment horizontal="center" wrapText="1"/>
    </xf>
    <xf numFmtId="173" fontId="178" fillId="58" borderId="17" xfId="1216" applyNumberFormat="1" applyFont="1" applyFill="1" applyBorder="1" applyAlignment="1">
      <alignment horizontal="center" wrapText="1"/>
    </xf>
    <xf numFmtId="0" fontId="42" fillId="58" borderId="23" xfId="1209" applyFont="1" applyFill="1" applyBorder="1" applyAlignment="1">
      <alignment horizontal="center" vertical="center" wrapText="1"/>
    </xf>
    <xf numFmtId="0" fontId="302" fillId="54" borderId="0" xfId="0" applyFont="1" applyFill="1" applyAlignment="1">
      <alignment horizontal="center"/>
    </xf>
    <xf numFmtId="164" fontId="302" fillId="54" borderId="0" xfId="0" applyNumberFormat="1" applyFont="1" applyFill="1"/>
    <xf numFmtId="3" fontId="302" fillId="54" borderId="0" xfId="0" applyNumberFormat="1" applyFont="1" applyFill="1"/>
    <xf numFmtId="0" fontId="353" fillId="46" borderId="17" xfId="1176" applyFont="1" applyFill="1" applyBorder="1" applyAlignment="1">
      <alignment horizontal="left" wrapText="1"/>
    </xf>
    <xf numFmtId="0" fontId="56" fillId="0" borderId="0" xfId="1176" applyAlignment="1">
      <alignment vertical="center"/>
    </xf>
    <xf numFmtId="170" fontId="11" fillId="54" borderId="17" xfId="1210" applyNumberFormat="1" applyFont="1" applyFill="1" applyBorder="1" applyAlignment="1">
      <alignment horizontal="right" wrapText="1"/>
    </xf>
    <xf numFmtId="4" fontId="178" fillId="46" borderId="0" xfId="0" applyNumberFormat="1" applyFont="1" applyFill="1"/>
    <xf numFmtId="4" fontId="9" fillId="0" borderId="25" xfId="0" applyNumberFormat="1" applyFont="1" applyBorder="1" applyAlignment="1">
      <alignment wrapText="1"/>
    </xf>
    <xf numFmtId="170" fontId="11" fillId="58" borderId="17" xfId="0" applyNumberFormat="1" applyFont="1" applyFill="1" applyBorder="1" applyAlignment="1"/>
    <xf numFmtId="0" fontId="9" fillId="58" borderId="0" xfId="0" applyFont="1" applyFill="1"/>
    <xf numFmtId="0" fontId="356" fillId="54" borderId="0" xfId="1215" applyFont="1" applyFill="1" applyAlignment="1">
      <alignment horizontal="centerContinuous" wrapText="1"/>
    </xf>
    <xf numFmtId="0" fontId="371" fillId="54" borderId="0" xfId="1215" applyFont="1" applyFill="1" applyAlignment="1">
      <alignment horizontal="left"/>
    </xf>
    <xf numFmtId="0" fontId="355" fillId="54" borderId="0" xfId="1215" applyFont="1" applyFill="1" applyAlignment="1">
      <alignment horizontal="left"/>
    </xf>
    <xf numFmtId="0" fontId="355" fillId="54" borderId="0" xfId="0" applyFont="1" applyFill="1" applyAlignment="1">
      <alignment horizontal="left"/>
    </xf>
    <xf numFmtId="0" fontId="372" fillId="54" borderId="0" xfId="1215" applyFont="1" applyFill="1" applyAlignment="1">
      <alignment horizontal="left"/>
    </xf>
    <xf numFmtId="0" fontId="70" fillId="54" borderId="17" xfId="1176" applyFont="1" applyFill="1" applyBorder="1" applyAlignment="1">
      <alignment horizontal="center" wrapText="1"/>
    </xf>
    <xf numFmtId="2" fontId="9" fillId="54" borderId="25" xfId="0" applyNumberFormat="1" applyFont="1" applyFill="1" applyBorder="1" applyAlignment="1">
      <alignment vertical="top" wrapText="1"/>
    </xf>
    <xf numFmtId="3" fontId="164" fillId="54" borderId="17" xfId="1176" applyNumberFormat="1" applyFont="1" applyFill="1" applyBorder="1" applyAlignment="1">
      <alignment horizontal="right"/>
    </xf>
    <xf numFmtId="3" fontId="101" fillId="54" borderId="17" xfId="1176" applyNumberFormat="1" applyFont="1" applyFill="1" applyBorder="1" applyAlignment="1">
      <alignment horizontal="right"/>
    </xf>
    <xf numFmtId="4" fontId="101" fillId="54" borderId="17" xfId="1176" applyNumberFormat="1" applyFont="1" applyFill="1" applyBorder="1" applyAlignment="1">
      <alignment horizontal="right" wrapText="1"/>
    </xf>
    <xf numFmtId="49" fontId="305" fillId="63" borderId="66" xfId="1434" applyNumberFormat="1" applyFont="1" applyFill="1" applyBorder="1" applyAlignment="1">
      <alignment horizontal="center"/>
    </xf>
    <xf numFmtId="0" fontId="305" fillId="63" borderId="68" xfId="1434" applyFont="1" applyFill="1" applyBorder="1" applyAlignment="1">
      <alignment horizontal="left" wrapText="1"/>
    </xf>
    <xf numFmtId="169" fontId="305" fillId="63" borderId="66" xfId="1434" applyNumberFormat="1" applyFont="1" applyFill="1" applyBorder="1" applyAlignment="1">
      <alignment horizontal="center"/>
    </xf>
    <xf numFmtId="166" fontId="305" fillId="63" borderId="66" xfId="1434" applyNumberFormat="1" applyFont="1" applyFill="1" applyBorder="1" applyAlignment="1">
      <alignment horizontal="center"/>
    </xf>
    <xf numFmtId="49" fontId="305" fillId="63" borderId="67" xfId="1434" applyNumberFormat="1" applyFont="1" applyFill="1" applyBorder="1" applyAlignment="1">
      <alignment horizontal="center"/>
    </xf>
    <xf numFmtId="0" fontId="5" fillId="59" borderId="0" xfId="1434" applyFont="1" applyFill="1"/>
    <xf numFmtId="0" fontId="302" fillId="54" borderId="0" xfId="1434" quotePrefix="1" applyFont="1" applyFill="1"/>
    <xf numFmtId="169" fontId="373" fillId="70" borderId="0" xfId="1434" applyNumberFormat="1" applyFont="1" applyFill="1"/>
    <xf numFmtId="0" fontId="307" fillId="71" borderId="0" xfId="1434" applyFont="1" applyFill="1"/>
    <xf numFmtId="169" fontId="374" fillId="60" borderId="0" xfId="1434" applyNumberFormat="1" applyFont="1" applyFill="1"/>
    <xf numFmtId="175" fontId="307" fillId="71" borderId="0" xfId="1434" applyNumberFormat="1" applyFont="1" applyFill="1"/>
    <xf numFmtId="0" fontId="9" fillId="59" borderId="68" xfId="1434" applyFont="1" applyFill="1" applyBorder="1" applyAlignment="1">
      <alignment horizontal="left" wrapText="1"/>
    </xf>
    <xf numFmtId="169" fontId="9" fillId="59" borderId="66" xfId="1434" applyNumberFormat="1" applyFont="1" applyFill="1" applyBorder="1" applyAlignment="1">
      <alignment horizontal="center"/>
    </xf>
    <xf numFmtId="169" fontId="305" fillId="59" borderId="66" xfId="1434" applyNumberFormat="1" applyFont="1" applyFill="1" applyBorder="1" applyAlignment="1">
      <alignment horizontal="center"/>
    </xf>
    <xf numFmtId="168" fontId="9" fillId="54" borderId="17" xfId="1434" applyNumberFormat="1" applyFont="1" applyFill="1" applyBorder="1" applyAlignment="1">
      <alignment horizontal="center"/>
    </xf>
    <xf numFmtId="169" fontId="375" fillId="61" borderId="0" xfId="1434" applyNumberFormat="1" applyFont="1" applyFill="1"/>
    <xf numFmtId="3" fontId="302" fillId="61" borderId="0" xfId="1434" applyNumberFormat="1" applyFont="1" applyFill="1"/>
    <xf numFmtId="10" fontId="102" fillId="59" borderId="0" xfId="1434" applyNumberFormat="1" applyFont="1" applyFill="1"/>
    <xf numFmtId="0" fontId="373" fillId="60" borderId="0" xfId="1434" applyFont="1" applyFill="1"/>
    <xf numFmtId="49" fontId="9" fillId="65" borderId="66" xfId="1434" applyNumberFormat="1" applyFont="1" applyFill="1" applyBorder="1" applyAlignment="1">
      <alignment horizontal="center"/>
    </xf>
    <xf numFmtId="0" fontId="305" fillId="65" borderId="68" xfId="1434" applyFont="1" applyFill="1" applyBorder="1" applyAlignment="1">
      <alignment horizontal="left" wrapText="1"/>
    </xf>
    <xf numFmtId="169" fontId="305" fillId="65" borderId="66" xfId="1434" applyNumberFormat="1" applyFont="1" applyFill="1" applyBorder="1" applyAlignment="1">
      <alignment horizontal="center"/>
    </xf>
    <xf numFmtId="175" fontId="305" fillId="65" borderId="66" xfId="1434" applyNumberFormat="1" applyFont="1" applyFill="1" applyBorder="1" applyAlignment="1">
      <alignment horizontal="center"/>
    </xf>
    <xf numFmtId="202" fontId="305" fillId="65" borderId="66" xfId="1434" applyNumberFormat="1" applyFont="1" applyFill="1" applyBorder="1" applyAlignment="1">
      <alignment horizontal="center"/>
    </xf>
    <xf numFmtId="166" fontId="9" fillId="59" borderId="66" xfId="1434" applyNumberFormat="1" applyFont="1" applyFill="1" applyBorder="1" applyAlignment="1">
      <alignment horizontal="center"/>
    </xf>
    <xf numFmtId="169" fontId="9" fillId="68" borderId="66" xfId="1434" applyNumberFormat="1" applyFont="1" applyFill="1" applyBorder="1" applyAlignment="1">
      <alignment horizontal="center"/>
    </xf>
    <xf numFmtId="166" fontId="9" fillId="68" borderId="66" xfId="1434" applyNumberFormat="1" applyFont="1" applyFill="1" applyBorder="1" applyAlignment="1">
      <alignment horizontal="center"/>
    </xf>
    <xf numFmtId="168" fontId="306" fillId="70" borderId="0" xfId="1434" applyNumberFormat="1" applyFont="1" applyFill="1"/>
    <xf numFmtId="166" fontId="306" fillId="70" borderId="0" xfId="1434" applyNumberFormat="1" applyFont="1" applyFill="1"/>
    <xf numFmtId="10" fontId="376" fillId="70" borderId="0" xfId="1434" applyNumberFormat="1" applyFont="1" applyFill="1"/>
    <xf numFmtId="0" fontId="302" fillId="61" borderId="0" xfId="1434" applyFont="1" applyFill="1"/>
    <xf numFmtId="1" fontId="307" fillId="58" borderId="0" xfId="1434" applyNumberFormat="1" applyFont="1" applyFill="1"/>
    <xf numFmtId="0" fontId="307" fillId="63" borderId="0" xfId="1434" applyFont="1" applyFill="1"/>
    <xf numFmtId="168" fontId="5" fillId="68" borderId="0" xfId="1434" applyNumberFormat="1" applyFont="1" applyFill="1"/>
    <xf numFmtId="168" fontId="63" fillId="68" borderId="0" xfId="1434" applyNumberFormat="1" applyFont="1" applyFill="1"/>
    <xf numFmtId="0" fontId="9" fillId="58" borderId="68" xfId="1434" applyFont="1" applyFill="1" applyBorder="1" applyAlignment="1">
      <alignment horizontal="left" wrapText="1"/>
    </xf>
    <xf numFmtId="0" fontId="302" fillId="58" borderId="0" xfId="1434" applyFont="1" applyFill="1"/>
    <xf numFmtId="0" fontId="307" fillId="58" borderId="0" xfId="1434" applyFont="1" applyFill="1"/>
    <xf numFmtId="202" fontId="305" fillId="63" borderId="66" xfId="1434" applyNumberFormat="1" applyFont="1" applyFill="1" applyBorder="1" applyAlignment="1">
      <alignment horizontal="center"/>
    </xf>
    <xf numFmtId="0" fontId="307" fillId="54" borderId="0" xfId="1434" applyFont="1" applyFill="1"/>
    <xf numFmtId="169" fontId="302" fillId="58" borderId="0" xfId="1434" applyNumberFormat="1" applyFont="1" applyFill="1"/>
    <xf numFmtId="4" fontId="373" fillId="70" borderId="0" xfId="1434" applyNumberFormat="1" applyFont="1" applyFill="1"/>
    <xf numFmtId="0" fontId="304" fillId="60" borderId="68" xfId="1434" applyFont="1" applyFill="1" applyBorder="1" applyAlignment="1">
      <alignment horizontal="left" wrapText="1"/>
    </xf>
    <xf numFmtId="167" fontId="305" fillId="59" borderId="66" xfId="1434" applyNumberFormat="1" applyFont="1" applyFill="1" applyBorder="1" applyAlignment="1">
      <alignment horizontal="center"/>
    </xf>
    <xf numFmtId="3" fontId="307" fillId="58" borderId="0" xfId="1434" applyNumberFormat="1" applyFont="1" applyFill="1"/>
    <xf numFmtId="169" fontId="304" fillId="60" borderId="66" xfId="1434" applyNumberFormat="1" applyFont="1" applyFill="1" applyBorder="1" applyAlignment="1">
      <alignment horizontal="center"/>
    </xf>
    <xf numFmtId="168" fontId="304" fillId="60" borderId="66" xfId="1434" applyNumberFormat="1" applyFont="1" applyFill="1" applyBorder="1" applyAlignment="1">
      <alignment horizontal="center"/>
    </xf>
    <xf numFmtId="0" fontId="304" fillId="60" borderId="17" xfId="1434" applyFont="1" applyFill="1" applyBorder="1" applyAlignment="1">
      <alignment horizontal="center"/>
    </xf>
    <xf numFmtId="0" fontId="9" fillId="59" borderId="17" xfId="1434" applyFont="1" applyFill="1" applyBorder="1" applyAlignment="1">
      <alignment horizontal="center"/>
    </xf>
    <xf numFmtId="169" fontId="305" fillId="63" borderId="66" xfId="1434" applyNumberFormat="1" applyFont="1" applyFill="1" applyBorder="1" applyAlignment="1">
      <alignment horizontal="left"/>
    </xf>
    <xf numFmtId="49" fontId="305" fillId="54" borderId="66" xfId="1434" applyNumberFormat="1" applyFont="1" applyFill="1" applyBorder="1" applyAlignment="1">
      <alignment horizontal="center"/>
    </xf>
    <xf numFmtId="0" fontId="305" fillId="54" borderId="68" xfId="1434" applyFont="1" applyFill="1" applyBorder="1" applyAlignment="1">
      <alignment horizontal="left" wrapText="1"/>
    </xf>
    <xf numFmtId="169" fontId="305" fillId="54" borderId="66" xfId="1434" applyNumberFormat="1" applyFont="1" applyFill="1" applyBorder="1" applyAlignment="1">
      <alignment horizontal="center"/>
    </xf>
    <xf numFmtId="166" fontId="305" fillId="54" borderId="66" xfId="1434" applyNumberFormat="1" applyFont="1" applyFill="1" applyBorder="1" applyAlignment="1">
      <alignment horizontal="center"/>
    </xf>
    <xf numFmtId="0" fontId="305" fillId="54" borderId="17" xfId="1434" applyFont="1" applyFill="1" applyBorder="1" applyAlignment="1">
      <alignment horizontal="center"/>
    </xf>
    <xf numFmtId="0" fontId="307" fillId="72" borderId="0" xfId="1434" applyFont="1" applyFill="1"/>
    <xf numFmtId="1" fontId="307" fillId="72" borderId="0" xfId="1434" applyNumberFormat="1" applyFont="1" applyFill="1"/>
    <xf numFmtId="0" fontId="9" fillId="65" borderId="68" xfId="1434" applyFont="1" applyFill="1" applyBorder="1" applyAlignment="1">
      <alignment horizontal="left" wrapText="1"/>
    </xf>
    <xf numFmtId="169" fontId="9" fillId="65" borderId="66" xfId="1434" applyNumberFormat="1" applyFont="1" applyFill="1" applyBorder="1" applyAlignment="1">
      <alignment horizontal="center"/>
    </xf>
    <xf numFmtId="166" fontId="9" fillId="65" borderId="66" xfId="1434" applyNumberFormat="1" applyFont="1" applyFill="1" applyBorder="1" applyAlignment="1">
      <alignment horizontal="center"/>
    </xf>
    <xf numFmtId="49" fontId="305" fillId="59" borderId="66" xfId="1434" applyNumberFormat="1" applyFont="1" applyFill="1" applyBorder="1" applyAlignment="1">
      <alignment horizontal="center"/>
    </xf>
    <xf numFmtId="0" fontId="305" fillId="59" borderId="68" xfId="1434" applyFont="1" applyFill="1" applyBorder="1" applyAlignment="1">
      <alignment horizontal="left" wrapText="1"/>
    </xf>
    <xf numFmtId="165" fontId="305" fillId="59" borderId="66" xfId="1434" applyNumberFormat="1" applyFont="1" applyFill="1" applyBorder="1" applyAlignment="1">
      <alignment horizontal="center"/>
    </xf>
    <xf numFmtId="166" fontId="304" fillId="60" borderId="66" xfId="1434" applyNumberFormat="1" applyFont="1" applyFill="1" applyBorder="1" applyAlignment="1">
      <alignment horizontal="center"/>
    </xf>
    <xf numFmtId="168" fontId="302" fillId="61" borderId="0" xfId="1434" applyNumberFormat="1" applyFont="1" applyFill="1"/>
    <xf numFmtId="3" fontId="302" fillId="54" borderId="0" xfId="1434" applyNumberFormat="1" applyFont="1" applyFill="1"/>
    <xf numFmtId="202" fontId="305" fillId="63" borderId="66" xfId="1434" applyNumberFormat="1" applyFont="1" applyFill="1" applyBorder="1" applyAlignment="1">
      <alignment horizontal="left"/>
    </xf>
    <xf numFmtId="0" fontId="5" fillId="68" borderId="0" xfId="1434" applyFont="1" applyFill="1"/>
    <xf numFmtId="49" fontId="9" fillId="58" borderId="66" xfId="1434" applyNumberFormat="1" applyFont="1" applyFill="1" applyBorder="1" applyAlignment="1">
      <alignment horizontal="center"/>
    </xf>
    <xf numFmtId="166" fontId="305" fillId="58" borderId="66" xfId="1434" applyNumberFormat="1" applyFont="1" applyFill="1" applyBorder="1" applyAlignment="1">
      <alignment horizontal="center"/>
    </xf>
    <xf numFmtId="168" fontId="305" fillId="58" borderId="66" xfId="1434" applyNumberFormat="1" applyFont="1" applyFill="1" applyBorder="1" applyAlignment="1">
      <alignment horizontal="center"/>
    </xf>
    <xf numFmtId="166" fontId="302" fillId="59" borderId="0" xfId="1434" applyNumberFormat="1" applyFont="1" applyFill="1"/>
    <xf numFmtId="0" fontId="9" fillId="0" borderId="0" xfId="1434" applyFont="1" applyFill="1" applyAlignment="1"/>
    <xf numFmtId="168" fontId="9" fillId="0" borderId="0" xfId="1434" applyNumberFormat="1" applyFont="1" applyFill="1"/>
    <xf numFmtId="168" fontId="5" fillId="0" borderId="0" xfId="1434" applyNumberFormat="1" applyFont="1" applyFill="1"/>
    <xf numFmtId="0" fontId="9" fillId="0" borderId="0" xfId="1434" applyFont="1" applyFill="1"/>
    <xf numFmtId="0" fontId="5" fillId="0" borderId="0" xfId="1434" applyFont="1" applyFill="1"/>
    <xf numFmtId="0" fontId="77" fillId="0" borderId="0" xfId="1434" applyFont="1" applyFill="1"/>
    <xf numFmtId="0" fontId="11" fillId="54" borderId="0" xfId="1434" applyFont="1" applyFill="1" applyAlignment="1">
      <alignment horizontal="left"/>
    </xf>
    <xf numFmtId="170" fontId="161" fillId="54" borderId="150" xfId="0" applyNumberFormat="1" applyFont="1" applyFill="1" applyBorder="1"/>
    <xf numFmtId="168" fontId="77" fillId="0" borderId="17" xfId="0" applyNumberFormat="1" applyFont="1" applyBorder="1" applyAlignment="1">
      <alignment vertical="center" wrapText="1"/>
    </xf>
    <xf numFmtId="4" fontId="355" fillId="0" borderId="0" xfId="0" applyNumberFormat="1" applyFont="1"/>
    <xf numFmtId="202" fontId="9" fillId="54" borderId="0" xfId="1434" applyNumberFormat="1" applyFont="1" applyFill="1"/>
    <xf numFmtId="49" fontId="304" fillId="60" borderId="66" xfId="1434" applyNumberFormat="1" applyFont="1" applyFill="1" applyBorder="1" applyAlignment="1">
      <alignment horizontal="center"/>
    </xf>
    <xf numFmtId="202" fontId="304" fillId="60" borderId="66" xfId="1434" applyNumberFormat="1" applyFont="1" applyFill="1" applyBorder="1" applyAlignment="1">
      <alignment horizontal="center"/>
    </xf>
    <xf numFmtId="166" fontId="302" fillId="61" borderId="0" xfId="1434" applyNumberFormat="1" applyFont="1" applyFill="1"/>
    <xf numFmtId="49" fontId="9" fillId="68" borderId="67" xfId="1434" applyNumberFormat="1" applyFont="1" applyFill="1" applyBorder="1" applyAlignment="1">
      <alignment horizontal="center"/>
    </xf>
    <xf numFmtId="0" fontId="9" fillId="68" borderId="68" xfId="1434" applyFont="1" applyFill="1" applyBorder="1" applyAlignment="1">
      <alignment horizontal="left" wrapText="1"/>
    </xf>
    <xf numFmtId="0" fontId="307" fillId="61" borderId="0" xfId="1434" applyFont="1" applyFill="1"/>
    <xf numFmtId="166" fontId="305" fillId="59" borderId="66" xfId="1434" applyNumberFormat="1" applyFont="1" applyFill="1" applyBorder="1" applyAlignment="1">
      <alignment horizontal="center"/>
    </xf>
    <xf numFmtId="49" fontId="9" fillId="68" borderId="66" xfId="1434" applyNumberFormat="1" applyFont="1" applyFill="1" applyBorder="1" applyAlignment="1">
      <alignment horizontal="center"/>
    </xf>
    <xf numFmtId="168" fontId="9" fillId="68" borderId="66" xfId="1434" applyNumberFormat="1" applyFont="1" applyFill="1" applyBorder="1" applyAlignment="1">
      <alignment horizontal="center"/>
    </xf>
    <xf numFmtId="0" fontId="373" fillId="68" borderId="0" xfId="1434" applyFont="1" applyFill="1"/>
    <xf numFmtId="1" fontId="376" fillId="68" borderId="0" xfId="1434" applyNumberFormat="1" applyFont="1" applyFill="1"/>
    <xf numFmtId="169" fontId="9" fillId="54" borderId="66" xfId="1434" applyNumberFormat="1" applyFont="1" applyFill="1" applyBorder="1" applyAlignment="1">
      <alignment horizontal="left"/>
    </xf>
    <xf numFmtId="202" fontId="9" fillId="54" borderId="66" xfId="1434" applyNumberFormat="1" applyFont="1" applyFill="1" applyBorder="1" applyAlignment="1">
      <alignment horizontal="left"/>
    </xf>
    <xf numFmtId="169" fontId="305" fillId="58" borderId="67" xfId="1434" applyNumberFormat="1" applyFont="1" applyFill="1" applyBorder="1" applyAlignment="1">
      <alignment horizontal="center"/>
    </xf>
    <xf numFmtId="169" fontId="5" fillId="0" borderId="0" xfId="1436" applyNumberFormat="1"/>
    <xf numFmtId="171" fontId="5" fillId="0" borderId="0" xfId="1436" applyNumberFormat="1"/>
    <xf numFmtId="0" fontId="149" fillId="57" borderId="31" xfId="1436" applyFont="1" applyFill="1" applyBorder="1" applyAlignment="1">
      <alignment vertical="center" wrapText="1"/>
    </xf>
    <xf numFmtId="0" fontId="149" fillId="57" borderId="52" xfId="1436" applyFont="1" applyFill="1" applyBorder="1" applyAlignment="1">
      <alignment vertical="center" wrapText="1"/>
    </xf>
    <xf numFmtId="167" fontId="5" fillId="54" borderId="0" xfId="1436" applyNumberFormat="1" applyFill="1" applyBorder="1"/>
    <xf numFmtId="1" fontId="5" fillId="54" borderId="0" xfId="1436" applyNumberFormat="1" applyFill="1"/>
    <xf numFmtId="167" fontId="5" fillId="54" borderId="0" xfId="1436" applyNumberFormat="1" applyFill="1"/>
    <xf numFmtId="0" fontId="382" fillId="58" borderId="0" xfId="1436" applyFont="1" applyFill="1"/>
    <xf numFmtId="1" fontId="5" fillId="54" borderId="0" xfId="1436" applyNumberFormat="1" applyFill="1" applyBorder="1" applyAlignment="1">
      <alignment horizontal="right"/>
    </xf>
    <xf numFmtId="1" fontId="5" fillId="54" borderId="0" xfId="1436" applyNumberFormat="1" applyFill="1" applyAlignment="1">
      <alignment horizontal="right"/>
    </xf>
    <xf numFmtId="1" fontId="307" fillId="54" borderId="0" xfId="1436" applyNumberFormat="1" applyFont="1" applyFill="1"/>
    <xf numFmtId="0" fontId="5" fillId="54" borderId="0" xfId="1436" applyFill="1" applyAlignment="1">
      <alignment horizontal="right"/>
    </xf>
    <xf numFmtId="169" fontId="5" fillId="54" borderId="0" xfId="1436" applyNumberFormat="1" applyFill="1"/>
    <xf numFmtId="0" fontId="149" fillId="57" borderId="32" xfId="1436" applyFont="1" applyFill="1" applyBorder="1" applyAlignment="1">
      <alignment vertical="center" wrapText="1"/>
    </xf>
    <xf numFmtId="171" fontId="144" fillId="57" borderId="17" xfId="1436" applyNumberFormat="1" applyFont="1" applyFill="1" applyBorder="1" applyAlignment="1">
      <alignment horizontal="right" wrapText="1"/>
    </xf>
    <xf numFmtId="169" fontId="144" fillId="73" borderId="17" xfId="1436" applyNumberFormat="1" applyFont="1" applyFill="1" applyBorder="1" applyAlignment="1">
      <alignment horizontal="right"/>
    </xf>
    <xf numFmtId="202" fontId="5" fillId="54" borderId="0" xfId="1436" applyNumberFormat="1" applyFill="1"/>
    <xf numFmtId="0" fontId="5" fillId="61" borderId="0" xfId="1436" applyFill="1"/>
    <xf numFmtId="168" fontId="5" fillId="54" borderId="0" xfId="1436" applyNumberFormat="1" applyFill="1" applyBorder="1" applyAlignment="1">
      <alignment horizontal="right"/>
    </xf>
    <xf numFmtId="168" fontId="5" fillId="54" borderId="0" xfId="1436" applyNumberFormat="1" applyFill="1" applyAlignment="1">
      <alignment horizontal="right"/>
    </xf>
    <xf numFmtId="202" fontId="144" fillId="73" borderId="17" xfId="1436" applyNumberFormat="1" applyFont="1" applyFill="1" applyBorder="1" applyAlignment="1">
      <alignment horizontal="right" wrapText="1"/>
    </xf>
    <xf numFmtId="168" fontId="302" fillId="63" borderId="0" xfId="1436" applyNumberFormat="1" applyFont="1" applyFill="1" applyBorder="1" applyAlignment="1">
      <alignment horizontal="right"/>
    </xf>
    <xf numFmtId="168" fontId="302" fillId="63" borderId="0" xfId="1436" applyNumberFormat="1" applyFont="1" applyFill="1" applyAlignment="1">
      <alignment horizontal="right"/>
    </xf>
    <xf numFmtId="0" fontId="5" fillId="58" borderId="0" xfId="1436" applyFill="1"/>
    <xf numFmtId="218" fontId="302" fillId="63" borderId="0" xfId="1436" applyNumberFormat="1" applyFont="1" applyFill="1" applyBorder="1" applyAlignment="1">
      <alignment vertical="center"/>
    </xf>
    <xf numFmtId="218" fontId="302" fillId="54" borderId="0" xfId="1436" applyNumberFormat="1" applyFont="1" applyFill="1" applyBorder="1" applyAlignment="1">
      <alignment vertical="center"/>
    </xf>
    <xf numFmtId="1" fontId="307" fillId="63" borderId="0" xfId="1436" applyNumberFormat="1" applyFont="1" applyFill="1"/>
    <xf numFmtId="0" fontId="149" fillId="57" borderId="35" xfId="1436" applyFont="1" applyFill="1" applyBorder="1" applyAlignment="1">
      <alignment vertical="center" wrapText="1"/>
    </xf>
    <xf numFmtId="171" fontId="5" fillId="54" borderId="0" xfId="1436" applyNumberFormat="1" applyFill="1"/>
    <xf numFmtId="0" fontId="149" fillId="57" borderId="21" xfId="1436" applyFont="1" applyFill="1" applyBorder="1" applyAlignment="1">
      <alignment vertical="center" wrapText="1"/>
    </xf>
    <xf numFmtId="4" fontId="144" fillId="57" borderId="46" xfId="1436" applyNumberFormat="1" applyFont="1" applyFill="1" applyBorder="1" applyAlignment="1">
      <alignment horizontal="right"/>
    </xf>
    <xf numFmtId="171" fontId="77" fillId="57" borderId="46" xfId="1436" applyNumberFormat="1" applyFont="1" applyFill="1" applyBorder="1" applyAlignment="1">
      <alignment horizontal="center" vertical="center"/>
    </xf>
    <xf numFmtId="169" fontId="327" fillId="57" borderId="47" xfId="1436" applyNumberFormat="1" applyFont="1" applyFill="1" applyBorder="1" applyAlignment="1">
      <alignment horizontal="right"/>
    </xf>
    <xf numFmtId="4" fontId="5" fillId="54" borderId="0" xfId="1436" applyNumberFormat="1" applyFill="1"/>
    <xf numFmtId="202" fontId="77" fillId="57" borderId="37" xfId="1436" applyNumberFormat="1" applyFont="1" applyFill="1" applyBorder="1" applyAlignment="1">
      <alignment horizontal="center" vertical="center"/>
    </xf>
    <xf numFmtId="202" fontId="327" fillId="57" borderId="38" xfId="1436" applyNumberFormat="1" applyFont="1" applyFill="1" applyBorder="1" applyAlignment="1">
      <alignment horizontal="right" wrapText="1"/>
    </xf>
    <xf numFmtId="202" fontId="5" fillId="0" borderId="0" xfId="1436" applyNumberFormat="1"/>
    <xf numFmtId="0" fontId="55" fillId="58" borderId="0" xfId="0" applyFont="1" applyFill="1" applyAlignment="1">
      <alignment horizontal="centerContinuous"/>
    </xf>
    <xf numFmtId="0" fontId="55" fillId="58" borderId="0" xfId="0" quotePrefix="1" applyFont="1" applyFill="1" applyAlignment="1">
      <alignment horizontal="centerContinuous"/>
    </xf>
    <xf numFmtId="164" fontId="15" fillId="58" borderId="0" xfId="0" applyNumberFormat="1" applyFont="1" applyFill="1" applyAlignment="1">
      <alignment horizontal="left"/>
    </xf>
    <xf numFmtId="0" fontId="15" fillId="58" borderId="0" xfId="0" applyFont="1" applyFill="1"/>
    <xf numFmtId="0" fontId="58" fillId="58" borderId="0" xfId="0" applyFont="1" applyFill="1" applyAlignment="1">
      <alignment horizontal="center"/>
    </xf>
    <xf numFmtId="0" fontId="58" fillId="58" borderId="0" xfId="0" quotePrefix="1" applyFont="1" applyFill="1" applyAlignment="1">
      <alignment horizontal="centerContinuous"/>
    </xf>
    <xf numFmtId="0" fontId="9" fillId="58" borderId="0" xfId="0" applyFont="1" applyFill="1" applyBorder="1" applyAlignment="1">
      <alignment horizontal="center"/>
    </xf>
    <xf numFmtId="0" fontId="9" fillId="58" borderId="0" xfId="0" applyFont="1" applyFill="1" applyAlignment="1">
      <alignment horizontal="center"/>
    </xf>
    <xf numFmtId="0" fontId="9" fillId="58" borderId="0" xfId="0" applyFont="1" applyFill="1" applyBorder="1"/>
    <xf numFmtId="0" fontId="11" fillId="58" borderId="17" xfId="0" applyFont="1" applyFill="1" applyBorder="1" applyAlignment="1">
      <alignment horizontal="center" vertical="top" wrapText="1"/>
    </xf>
    <xf numFmtId="0" fontId="58" fillId="58" borderId="0" xfId="0" applyFont="1" applyFill="1"/>
    <xf numFmtId="0" fontId="11" fillId="58" borderId="0" xfId="0" applyFont="1" applyFill="1" applyAlignment="1">
      <alignment horizontal="center"/>
    </xf>
    <xf numFmtId="164" fontId="14" fillId="58" borderId="0" xfId="0" applyNumberFormat="1" applyFont="1" applyFill="1" applyAlignment="1">
      <alignment horizontal="left"/>
    </xf>
    <xf numFmtId="0" fontId="60" fillId="58" borderId="0" xfId="0" applyFont="1" applyFill="1" applyAlignment="1">
      <alignment horizontal="center"/>
    </xf>
    <xf numFmtId="0" fontId="58" fillId="58" borderId="17" xfId="0" applyFont="1" applyFill="1" applyBorder="1" applyAlignment="1">
      <alignment wrapText="1"/>
    </xf>
    <xf numFmtId="170" fontId="9" fillId="58" borderId="17" xfId="0" applyNumberFormat="1" applyFont="1" applyFill="1" applyBorder="1" applyAlignment="1"/>
    <xf numFmtId="170" fontId="9" fillId="58" borderId="17" xfId="0" applyNumberFormat="1" applyFont="1" applyFill="1" applyBorder="1" applyAlignment="1">
      <alignment wrapText="1"/>
    </xf>
    <xf numFmtId="2" fontId="31" fillId="58" borderId="0" xfId="0" applyNumberFormat="1" applyFont="1" applyFill="1"/>
    <xf numFmtId="164" fontId="31" fillId="58" borderId="0" xfId="0" applyNumberFormat="1" applyFont="1" applyFill="1" applyAlignment="1">
      <alignment horizontal="left"/>
    </xf>
    <xf numFmtId="170" fontId="15" fillId="58" borderId="17" xfId="0" applyNumberFormat="1" applyFont="1" applyFill="1" applyBorder="1" applyAlignment="1">
      <alignment wrapText="1"/>
    </xf>
    <xf numFmtId="170" fontId="9" fillId="58" borderId="17" xfId="1213" applyNumberFormat="1" applyFont="1" applyFill="1" applyBorder="1" applyAlignment="1">
      <alignment wrapText="1"/>
    </xf>
    <xf numFmtId="2" fontId="15" fillId="58" borderId="0" xfId="0" applyNumberFormat="1" applyFont="1" applyFill="1"/>
    <xf numFmtId="0" fontId="15" fillId="58" borderId="17" xfId="0" applyFont="1" applyFill="1" applyBorder="1"/>
    <xf numFmtId="0" fontId="9" fillId="58" borderId="17" xfId="0" applyFont="1" applyFill="1" applyBorder="1"/>
    <xf numFmtId="0" fontId="9" fillId="58" borderId="17" xfId="0" applyFont="1" applyFill="1" applyBorder="1" applyAlignment="1">
      <alignment wrapText="1"/>
    </xf>
    <xf numFmtId="0" fontId="11" fillId="58" borderId="17" xfId="0" applyFont="1" applyFill="1" applyBorder="1" applyAlignment="1">
      <alignment horizontal="center"/>
    </xf>
    <xf numFmtId="0" fontId="11" fillId="58" borderId="17" xfId="0" applyFont="1" applyFill="1" applyBorder="1" applyAlignment="1"/>
    <xf numFmtId="0" fontId="9" fillId="58" borderId="17" xfId="0" applyFont="1" applyFill="1" applyBorder="1" applyAlignment="1"/>
    <xf numFmtId="170" fontId="15" fillId="58" borderId="0" xfId="0" applyNumberFormat="1" applyFont="1" applyFill="1" applyAlignment="1">
      <alignment horizontal="left"/>
    </xf>
    <xf numFmtId="0" fontId="11" fillId="58" borderId="17" xfId="0" applyFont="1" applyFill="1" applyBorder="1"/>
    <xf numFmtId="0" fontId="91" fillId="58" borderId="17" xfId="0" applyFont="1" applyFill="1" applyBorder="1" applyAlignment="1">
      <alignment horizontal="left" vertical="top"/>
    </xf>
    <xf numFmtId="170" fontId="11" fillId="58" borderId="17" xfId="0" applyNumberFormat="1" applyFont="1" applyFill="1" applyBorder="1" applyAlignment="1">
      <alignment wrapText="1"/>
    </xf>
    <xf numFmtId="164" fontId="9" fillId="58" borderId="0" xfId="0" applyNumberFormat="1" applyFont="1" applyFill="1"/>
    <xf numFmtId="0" fontId="99" fillId="58" borderId="17" xfId="0" applyFont="1" applyFill="1" applyBorder="1" applyAlignment="1">
      <alignment wrapText="1"/>
    </xf>
    <xf numFmtId="170" fontId="11" fillId="58" borderId="17" xfId="1216" applyNumberFormat="1" applyFont="1" applyFill="1" applyBorder="1" applyAlignment="1">
      <alignment horizontal="right" wrapText="1"/>
    </xf>
    <xf numFmtId="0" fontId="99" fillId="58" borderId="17" xfId="1210" applyFont="1" applyFill="1" applyBorder="1" applyAlignment="1">
      <alignment horizontal="left" wrapText="1"/>
    </xf>
    <xf numFmtId="0" fontId="11" fillId="58" borderId="17" xfId="0" applyFont="1" applyFill="1" applyBorder="1" applyAlignment="1">
      <alignment horizontal="center" vertical="center"/>
    </xf>
    <xf numFmtId="0" fontId="11" fillId="58" borderId="17" xfId="0" applyFont="1" applyFill="1" applyBorder="1" applyAlignment="1">
      <alignment horizontal="left" vertical="center" wrapText="1"/>
    </xf>
    <xf numFmtId="170" fontId="11" fillId="58" borderId="17" xfId="0" applyNumberFormat="1" applyFont="1" applyFill="1" applyBorder="1"/>
    <xf numFmtId="2" fontId="31" fillId="58" borderId="0" xfId="0" applyNumberFormat="1" applyFont="1" applyFill="1" applyAlignment="1">
      <alignment horizontal="left"/>
    </xf>
    <xf numFmtId="194" fontId="58" fillId="58" borderId="17" xfId="1216" applyNumberFormat="1" applyFont="1" applyFill="1" applyBorder="1" applyAlignment="1">
      <alignment horizontal="right" wrapText="1"/>
    </xf>
    <xf numFmtId="173" fontId="58" fillId="58" borderId="17" xfId="1216" applyNumberFormat="1" applyFont="1" applyFill="1" applyBorder="1" applyAlignment="1">
      <alignment horizontal="right" wrapText="1"/>
    </xf>
    <xf numFmtId="0" fontId="11" fillId="58" borderId="17" xfId="0" applyFont="1" applyFill="1" applyBorder="1" applyAlignment="1">
      <alignment horizontal="center" wrapText="1"/>
    </xf>
    <xf numFmtId="0" fontId="11" fillId="58" borderId="17" xfId="0" applyFont="1" applyFill="1" applyBorder="1" applyAlignment="1">
      <alignment wrapText="1"/>
    </xf>
    <xf numFmtId="0" fontId="58" fillId="58" borderId="17" xfId="0" applyFont="1" applyFill="1" applyBorder="1" applyAlignment="1">
      <alignment horizontal="center" vertical="center"/>
    </xf>
    <xf numFmtId="0" fontId="58" fillId="58" borderId="17" xfId="0" applyFont="1" applyFill="1" applyBorder="1" applyAlignment="1">
      <alignment horizontal="left" vertical="center" wrapText="1"/>
    </xf>
    <xf numFmtId="4" fontId="58" fillId="58" borderId="17" xfId="0" applyNumberFormat="1" applyFont="1" applyFill="1" applyBorder="1"/>
    <xf numFmtId="170" fontId="15" fillId="58" borderId="17" xfId="1213" applyNumberFormat="1" applyFont="1" applyFill="1" applyBorder="1" applyAlignment="1">
      <alignment wrapText="1"/>
    </xf>
    <xf numFmtId="2" fontId="15" fillId="58" borderId="0" xfId="0" applyNumberFormat="1" applyFont="1" applyFill="1" applyAlignment="1">
      <alignment horizontal="left"/>
    </xf>
    <xf numFmtId="4" fontId="11" fillId="58" borderId="17" xfId="0" applyNumberFormat="1" applyFont="1" applyFill="1" applyBorder="1"/>
    <xf numFmtId="170" fontId="11" fillId="58" borderId="17" xfId="1213" applyNumberFormat="1" applyFont="1" applyFill="1" applyBorder="1" applyAlignment="1">
      <alignment wrapText="1"/>
    </xf>
    <xf numFmtId="0" fontId="58" fillId="58" borderId="17" xfId="0" applyFont="1" applyFill="1" applyBorder="1" applyAlignment="1">
      <alignment horizontal="center" vertical="center" wrapText="1"/>
    </xf>
    <xf numFmtId="0" fontId="58" fillId="58" borderId="17" xfId="0" applyFont="1" applyFill="1" applyBorder="1" applyAlignment="1">
      <alignment vertical="center" wrapText="1"/>
    </xf>
    <xf numFmtId="170" fontId="58" fillId="58" borderId="17" xfId="0" applyNumberFormat="1" applyFont="1" applyFill="1" applyBorder="1" applyAlignment="1">
      <alignment vertical="center" wrapText="1"/>
    </xf>
    <xf numFmtId="170" fontId="15" fillId="58" borderId="17" xfId="0" applyNumberFormat="1" applyFont="1" applyFill="1" applyBorder="1" applyAlignment="1">
      <alignment vertical="center" wrapText="1"/>
    </xf>
    <xf numFmtId="170" fontId="31" fillId="58" borderId="0" xfId="0" applyNumberFormat="1" applyFont="1" applyFill="1" applyAlignment="1">
      <alignment horizontal="left"/>
    </xf>
    <xf numFmtId="170" fontId="9" fillId="58" borderId="0" xfId="0" applyNumberFormat="1" applyFont="1" applyFill="1"/>
    <xf numFmtId="0" fontId="9" fillId="58" borderId="0" xfId="0" applyFont="1" applyFill="1" applyBorder="1" applyAlignment="1">
      <alignment horizontal="center" vertical="top" wrapText="1"/>
    </xf>
    <xf numFmtId="0" fontId="9" fillId="58" borderId="0" xfId="0" applyFont="1" applyFill="1" applyBorder="1" applyAlignment="1">
      <alignment vertical="top" wrapText="1"/>
    </xf>
    <xf numFmtId="0" fontId="11" fillId="58" borderId="0" xfId="0" applyFont="1" applyFill="1" applyAlignment="1">
      <alignment horizontal="left"/>
    </xf>
    <xf numFmtId="0" fontId="11" fillId="58" borderId="0" xfId="0" applyFont="1" applyFill="1" applyBorder="1" applyAlignment="1">
      <alignment horizontal="center"/>
    </xf>
    <xf numFmtId="0" fontId="10" fillId="58" borderId="0" xfId="0" applyFont="1" applyFill="1" applyAlignment="1">
      <alignment horizontal="left"/>
    </xf>
    <xf numFmtId="10" fontId="15" fillId="58" borderId="0" xfId="0" applyNumberFormat="1" applyFont="1" applyFill="1" applyAlignment="1">
      <alignment horizontal="left"/>
    </xf>
    <xf numFmtId="0" fontId="9" fillId="58" borderId="0" xfId="0" quotePrefix="1" applyFont="1" applyFill="1" applyAlignment="1">
      <alignment horizontal="center"/>
    </xf>
    <xf numFmtId="4" fontId="178" fillId="54" borderId="26" xfId="0" applyNumberFormat="1" applyFont="1" applyFill="1" applyBorder="1"/>
    <xf numFmtId="170" fontId="161" fillId="54" borderId="26" xfId="0" applyNumberFormat="1" applyFont="1" applyFill="1" applyBorder="1"/>
    <xf numFmtId="173" fontId="9" fillId="46" borderId="144" xfId="1216" applyNumberFormat="1" applyFont="1" applyFill="1" applyBorder="1" applyAlignment="1">
      <alignment horizontal="right" vertical="top"/>
    </xf>
    <xf numFmtId="173" fontId="9" fillId="46" borderId="144" xfId="1216" applyNumberFormat="1" applyFont="1" applyFill="1" applyBorder="1" applyAlignment="1"/>
    <xf numFmtId="173" fontId="9" fillId="46" borderId="22" xfId="1216" applyNumberFormat="1" applyFont="1" applyFill="1" applyBorder="1" applyAlignment="1"/>
    <xf numFmtId="0" fontId="277" fillId="46" borderId="0" xfId="1181" applyFont="1" applyFill="1" applyAlignment="1"/>
    <xf numFmtId="168" fontId="277" fillId="46" borderId="0" xfId="1181" applyNumberFormat="1" applyFont="1" applyFill="1"/>
    <xf numFmtId="0" fontId="277" fillId="46" borderId="0" xfId="1181" applyFont="1" applyFill="1"/>
    <xf numFmtId="0" fontId="277" fillId="0" borderId="0" xfId="1181" applyFont="1"/>
    <xf numFmtId="168" fontId="277" fillId="46" borderId="0" xfId="1181" applyNumberFormat="1" applyFont="1" applyFill="1" applyAlignment="1">
      <alignment horizontal="right"/>
    </xf>
    <xf numFmtId="0" fontId="46" fillId="46" borderId="0" xfId="1181" applyFont="1" applyFill="1"/>
    <xf numFmtId="168" fontId="46" fillId="46" borderId="0" xfId="1181" applyNumberFormat="1" applyFont="1" applyFill="1" applyAlignment="1">
      <alignment horizontal="right"/>
    </xf>
    <xf numFmtId="2" fontId="161" fillId="54" borderId="17" xfId="0" applyNumberFormat="1" applyFont="1" applyFill="1" applyBorder="1"/>
    <xf numFmtId="0" fontId="70" fillId="54" borderId="17" xfId="1176" applyFont="1" applyFill="1" applyBorder="1" applyAlignment="1">
      <alignment horizontal="left" wrapText="1"/>
    </xf>
    <xf numFmtId="0" fontId="70" fillId="54" borderId="17" xfId="1176" applyFont="1" applyFill="1" applyBorder="1" applyAlignment="1">
      <alignment horizontal="right" wrapText="1"/>
    </xf>
    <xf numFmtId="164" fontId="74" fillId="54" borderId="0" xfId="1176" applyNumberFormat="1" applyFont="1" applyFill="1" applyAlignment="1">
      <alignment horizontal="center" vertical="center" wrapText="1"/>
    </xf>
    <xf numFmtId="3" fontId="70" fillId="54" borderId="0" xfId="1176" applyNumberFormat="1" applyFont="1" applyFill="1" applyAlignment="1">
      <alignment horizontal="center" vertical="center" wrapText="1"/>
    </xf>
    <xf numFmtId="4" fontId="70" fillId="54" borderId="0" xfId="1176" applyNumberFormat="1" applyFont="1" applyFill="1" applyAlignment="1">
      <alignment horizontal="center" vertical="center" wrapText="1"/>
    </xf>
    <xf numFmtId="0" fontId="70" fillId="54" borderId="0" xfId="1176" applyFont="1" applyFill="1" applyAlignment="1">
      <alignment horizontal="center" vertical="center" wrapText="1"/>
    </xf>
    <xf numFmtId="0" fontId="70" fillId="54" borderId="0" xfId="1176" applyFont="1" applyFill="1" applyAlignment="1">
      <alignment vertical="center" wrapText="1"/>
    </xf>
    <xf numFmtId="0" fontId="78" fillId="54" borderId="0" xfId="1176" applyFont="1" applyFill="1" applyAlignment="1">
      <alignment horizontal="centerContinuous" wrapText="1"/>
    </xf>
    <xf numFmtId="0" fontId="74" fillId="54" borderId="17" xfId="1176" applyFont="1" applyFill="1" applyBorder="1" applyAlignment="1">
      <alignment horizontal="center" wrapText="1"/>
    </xf>
    <xf numFmtId="0" fontId="374" fillId="60" borderId="0" xfId="1208" applyFont="1" applyFill="1"/>
    <xf numFmtId="0" fontId="0" fillId="58" borderId="0" xfId="0" applyFill="1" applyAlignment="1">
      <alignment horizontal="centerContinuous" wrapText="1"/>
    </xf>
    <xf numFmtId="0" fontId="0" fillId="58" borderId="0" xfId="0" applyFont="1" applyFill="1" applyAlignment="1">
      <alignment horizontal="centerContinuous" wrapText="1"/>
    </xf>
    <xf numFmtId="0" fontId="302" fillId="58" borderId="0" xfId="0" applyFont="1" applyFill="1"/>
    <xf numFmtId="0" fontId="0" fillId="58" borderId="0" xfId="0" applyFill="1" applyAlignment="1">
      <alignment horizontal="centerContinuous"/>
    </xf>
    <xf numFmtId="0" fontId="0" fillId="58" borderId="0" xfId="0" applyFont="1" applyFill="1" applyAlignment="1">
      <alignment horizontal="centerContinuous"/>
    </xf>
    <xf numFmtId="0" fontId="0" fillId="58" borderId="17" xfId="0" applyFill="1" applyBorder="1" applyAlignment="1">
      <alignment horizontal="centerContinuous" wrapText="1"/>
    </xf>
    <xf numFmtId="0" fontId="0" fillId="58" borderId="0" xfId="0" applyFont="1" applyFill="1" applyAlignment="1">
      <alignment horizontal="center"/>
    </xf>
    <xf numFmtId="0" fontId="302" fillId="58" borderId="0" xfId="0" applyFont="1" applyFill="1" applyAlignment="1">
      <alignment horizontal="center"/>
    </xf>
    <xf numFmtId="0" fontId="0" fillId="58" borderId="20" xfId="0" applyFill="1" applyBorder="1" applyAlignment="1">
      <alignment horizontal="centerContinuous" vertical="top" wrapText="1"/>
    </xf>
    <xf numFmtId="0" fontId="0" fillId="58" borderId="33" xfId="0" applyFill="1" applyBorder="1" applyAlignment="1">
      <alignment horizontal="center" vertical="top" wrapText="1"/>
    </xf>
    <xf numFmtId="0" fontId="0" fillId="58" borderId="17" xfId="0" applyFill="1" applyBorder="1" applyAlignment="1">
      <alignment horizontal="center" vertical="top" wrapText="1"/>
    </xf>
    <xf numFmtId="0" fontId="0" fillId="58" borderId="22" xfId="0" applyFont="1" applyFill="1" applyBorder="1" applyAlignment="1">
      <alignment horizontal="center" vertical="top"/>
    </xf>
    <xf numFmtId="4" fontId="0" fillId="58" borderId="17" xfId="0" applyNumberFormat="1" applyFill="1" applyBorder="1" applyAlignment="1">
      <alignment wrapText="1"/>
    </xf>
    <xf numFmtId="4" fontId="178" fillId="58" borderId="17" xfId="0" applyNumberFormat="1" applyFont="1" applyFill="1" applyBorder="1" applyAlignment="1">
      <alignment wrapText="1"/>
    </xf>
    <xf numFmtId="170" fontId="178" fillId="58" borderId="17" xfId="0" applyNumberFormat="1" applyFont="1" applyFill="1" applyBorder="1" applyAlignment="1">
      <alignment wrapText="1"/>
    </xf>
    <xf numFmtId="164" fontId="302" fillId="58" borderId="0" xfId="0" applyNumberFormat="1" applyFont="1" applyFill="1"/>
    <xf numFmtId="1" fontId="0" fillId="58" borderId="17" xfId="0" applyNumberFormat="1" applyFont="1" applyFill="1" applyBorder="1" applyAlignment="1">
      <alignment horizontal="center"/>
    </xf>
    <xf numFmtId="0" fontId="77" fillId="58" borderId="17" xfId="0" applyFont="1" applyFill="1" applyBorder="1"/>
    <xf numFmtId="3" fontId="302" fillId="58" borderId="0" xfId="0" applyNumberFormat="1" applyFont="1" applyFill="1"/>
    <xf numFmtId="0" fontId="42" fillId="54" borderId="17" xfId="0" applyFont="1" applyFill="1" applyBorder="1" applyAlignment="1">
      <alignment horizontal="center" vertical="center" wrapText="1"/>
    </xf>
    <xf numFmtId="0" fontId="311" fillId="0" borderId="24" xfId="0" applyFont="1" applyBorder="1" applyAlignment="1">
      <alignment horizontal="center" vertical="top" wrapText="1"/>
    </xf>
    <xf numFmtId="0" fontId="183" fillId="0" borderId="0" xfId="0" applyFont="1"/>
    <xf numFmtId="0" fontId="161" fillId="0" borderId="0" xfId="0" applyFont="1"/>
    <xf numFmtId="0" fontId="161" fillId="0" borderId="0" xfId="0" applyFont="1" applyAlignment="1">
      <alignment horizontal="centerContinuous"/>
    </xf>
    <xf numFmtId="170" fontId="0" fillId="74" borderId="0" xfId="0" applyNumberFormat="1" applyFill="1"/>
    <xf numFmtId="168" fontId="15" fillId="0" borderId="0" xfId="1434" applyNumberFormat="1" applyFont="1" applyFill="1" applyAlignment="1">
      <alignment horizontal="right"/>
    </xf>
    <xf numFmtId="0" fontId="144" fillId="0" borderId="0" xfId="1436" applyFont="1" applyAlignment="1">
      <alignment horizontal="center" wrapText="1"/>
    </xf>
    <xf numFmtId="0" fontId="126" fillId="0" borderId="0" xfId="1436" applyFont="1" applyAlignment="1">
      <alignment horizontal="left"/>
    </xf>
    <xf numFmtId="0" fontId="149" fillId="54" borderId="0" xfId="1436" applyFont="1" applyFill="1" applyBorder="1" applyAlignment="1">
      <alignment horizontal="left" vertical="center" wrapText="1"/>
    </xf>
    <xf numFmtId="194" fontId="178" fillId="46" borderId="0" xfId="0" applyNumberFormat="1" applyFont="1" applyFill="1"/>
    <xf numFmtId="4" fontId="178" fillId="68" borderId="0" xfId="0" applyNumberFormat="1" applyFont="1" applyFill="1"/>
    <xf numFmtId="2" fontId="178" fillId="68" borderId="0" xfId="0" applyNumberFormat="1" applyFont="1" applyFill="1"/>
    <xf numFmtId="0" fontId="149" fillId="75" borderId="23" xfId="1436" applyFont="1" applyFill="1" applyBorder="1" applyAlignment="1">
      <alignment horizontal="center" vertical="center"/>
    </xf>
    <xf numFmtId="0" fontId="149" fillId="75" borderId="55" xfId="1436" applyFont="1" applyFill="1" applyBorder="1" applyAlignment="1">
      <alignment horizontal="center" vertical="center"/>
    </xf>
    <xf numFmtId="0" fontId="5" fillId="75" borderId="0" xfId="1436" applyFill="1"/>
    <xf numFmtId="0" fontId="144" fillId="75" borderId="0" xfId="1436" applyFont="1" applyFill="1" applyAlignment="1">
      <alignment vertical="center" wrapText="1"/>
    </xf>
    <xf numFmtId="2" fontId="5" fillId="75" borderId="0" xfId="1436" applyNumberFormat="1" applyFill="1"/>
    <xf numFmtId="4" fontId="307" fillId="75" borderId="0" xfId="1436" applyNumberFormat="1" applyFont="1" applyFill="1"/>
    <xf numFmtId="169" fontId="307" fillId="75" borderId="0" xfId="1436" applyNumberFormat="1" applyFont="1" applyFill="1"/>
    <xf numFmtId="4" fontId="5" fillId="0" borderId="0" xfId="1436" applyNumberFormat="1"/>
    <xf numFmtId="4" fontId="144" fillId="57" borderId="22" xfId="1436" applyNumberFormat="1" applyFont="1" applyFill="1" applyBorder="1" applyAlignment="1">
      <alignment horizontal="right" wrapText="1"/>
    </xf>
    <xf numFmtId="4" fontId="77" fillId="57" borderId="25" xfId="1436" applyNumberFormat="1" applyFont="1" applyFill="1" applyBorder="1" applyAlignment="1">
      <alignment horizontal="center" vertical="center"/>
    </xf>
    <xf numFmtId="4" fontId="144" fillId="57" borderId="61" xfId="1436" applyNumberFormat="1" applyFont="1" applyFill="1" applyBorder="1" applyAlignment="1">
      <alignment horizontal="right"/>
    </xf>
    <xf numFmtId="171" fontId="144" fillId="57" borderId="37" xfId="1436" applyNumberFormat="1" applyFont="1" applyFill="1" applyBorder="1" applyAlignment="1">
      <alignment horizontal="right" wrapText="1"/>
    </xf>
    <xf numFmtId="171" fontId="77" fillId="57" borderId="27" xfId="1436" applyNumberFormat="1" applyFont="1" applyFill="1" applyBorder="1" applyAlignment="1">
      <alignment horizontal="center" vertical="center"/>
    </xf>
    <xf numFmtId="171" fontId="144" fillId="57" borderId="34" xfId="1436" applyNumberFormat="1" applyFont="1" applyFill="1" applyBorder="1" applyAlignment="1">
      <alignment horizontal="right" wrapText="1"/>
    </xf>
    <xf numFmtId="4" fontId="144" fillId="57" borderId="17" xfId="1436" applyNumberFormat="1" applyFont="1" applyFill="1" applyBorder="1" applyAlignment="1">
      <alignment horizontal="right" wrapText="1"/>
    </xf>
    <xf numFmtId="4" fontId="144" fillId="57" borderId="17" xfId="1436" applyNumberFormat="1" applyFont="1" applyFill="1" applyBorder="1" applyAlignment="1">
      <alignment horizontal="right"/>
    </xf>
    <xf numFmtId="221" fontId="149" fillId="57" borderId="17" xfId="0" applyNumberFormat="1" applyFont="1" applyFill="1" applyBorder="1" applyAlignment="1">
      <alignment horizontal="center"/>
    </xf>
    <xf numFmtId="221" fontId="149" fillId="57" borderId="151" xfId="0" applyNumberFormat="1" applyFont="1" applyFill="1" applyBorder="1" applyAlignment="1">
      <alignment horizontal="center"/>
    </xf>
    <xf numFmtId="221" fontId="149" fillId="57" borderId="22" xfId="0" applyNumberFormat="1" applyFont="1" applyFill="1" applyBorder="1" applyAlignment="1">
      <alignment horizontal="center"/>
    </xf>
    <xf numFmtId="4" fontId="144" fillId="57" borderId="46" xfId="1436" applyNumberFormat="1" applyFont="1" applyFill="1" applyBorder="1" applyAlignment="1">
      <alignment horizontal="right" wrapText="1"/>
    </xf>
    <xf numFmtId="169" fontId="9" fillId="72" borderId="66" xfId="1434" applyNumberFormat="1" applyFont="1" applyFill="1" applyBorder="1" applyAlignment="1">
      <alignment horizontal="center"/>
    </xf>
    <xf numFmtId="165" fontId="9" fillId="59" borderId="66" xfId="1434" applyNumberFormat="1" applyFont="1" applyFill="1" applyBorder="1" applyAlignment="1">
      <alignment horizontal="center"/>
    </xf>
    <xf numFmtId="49" fontId="368" fillId="63" borderId="67" xfId="1434" applyNumberFormat="1" applyFont="1" applyFill="1" applyBorder="1" applyAlignment="1">
      <alignment horizontal="center"/>
    </xf>
    <xf numFmtId="0" fontId="368" fillId="63" borderId="68" xfId="1434" applyFont="1" applyFill="1" applyBorder="1" applyAlignment="1">
      <alignment horizontal="left" wrapText="1"/>
    </xf>
    <xf numFmtId="169" fontId="368" fillId="63" borderId="66" xfId="1434" applyNumberFormat="1" applyFont="1" applyFill="1" applyBorder="1" applyAlignment="1">
      <alignment horizontal="center"/>
    </xf>
    <xf numFmtId="202" fontId="368" fillId="63" borderId="66" xfId="1434" applyNumberFormat="1" applyFont="1" applyFill="1" applyBorder="1" applyAlignment="1">
      <alignment horizontal="center"/>
    </xf>
    <xf numFmtId="49" fontId="368" fillId="57" borderId="66" xfId="1434" applyNumberFormat="1" applyFont="1" applyFill="1" applyBorder="1" applyAlignment="1">
      <alignment horizontal="center"/>
    </xf>
    <xf numFmtId="0" fontId="368" fillId="57" borderId="68" xfId="1434" applyFont="1" applyFill="1" applyBorder="1" applyAlignment="1">
      <alignment horizontal="left" wrapText="1"/>
    </xf>
    <xf numFmtId="169" fontId="368" fillId="57" borderId="66" xfId="1434" applyNumberFormat="1" applyFont="1" applyFill="1" applyBorder="1" applyAlignment="1">
      <alignment horizontal="center"/>
    </xf>
    <xf numFmtId="166" fontId="368" fillId="57" borderId="66" xfId="1434" applyNumberFormat="1" applyFont="1" applyFill="1" applyBorder="1" applyAlignment="1">
      <alignment horizontal="center"/>
    </xf>
    <xf numFmtId="0" fontId="70" fillId="54" borderId="23" xfId="1176" applyFont="1" applyFill="1" applyBorder="1" applyAlignment="1">
      <alignment horizontal="center" vertical="center" wrapText="1"/>
    </xf>
    <xf numFmtId="0" fontId="355" fillId="54" borderId="153" xfId="0" applyFont="1" applyFill="1" applyBorder="1" applyAlignment="1">
      <alignment wrapText="1"/>
    </xf>
    <xf numFmtId="0" fontId="355" fillId="71" borderId="143" xfId="0" applyFont="1" applyFill="1" applyBorder="1"/>
    <xf numFmtId="0" fontId="355" fillId="71" borderId="153" xfId="0" applyFont="1" applyFill="1" applyBorder="1" applyAlignment="1">
      <alignment wrapText="1"/>
    </xf>
    <xf numFmtId="170" fontId="355" fillId="54" borderId="153" xfId="0" applyNumberFormat="1" applyFont="1" applyFill="1" applyBorder="1"/>
    <xf numFmtId="0" fontId="355" fillId="71" borderId="143" xfId="0" applyFont="1" applyFill="1" applyBorder="1" applyAlignment="1">
      <alignment horizontal="right" wrapText="1"/>
    </xf>
    <xf numFmtId="170" fontId="355" fillId="71" borderId="143" xfId="0" applyNumberFormat="1" applyFont="1" applyFill="1" applyBorder="1"/>
    <xf numFmtId="0" fontId="355" fillId="54" borderId="154" xfId="0" applyFont="1" applyFill="1" applyBorder="1" applyAlignment="1">
      <alignment horizontal="left" wrapText="1"/>
    </xf>
    <xf numFmtId="164" fontId="358" fillId="0" borderId="0" xfId="0" applyNumberFormat="1" applyFont="1"/>
    <xf numFmtId="0" fontId="161" fillId="54" borderId="17" xfId="1179" applyFont="1" applyFill="1" applyBorder="1" applyAlignment="1" applyProtection="1">
      <alignment horizontal="center" vertical="center" wrapText="1"/>
    </xf>
    <xf numFmtId="170" fontId="178" fillId="54" borderId="26" xfId="0" applyNumberFormat="1" applyFont="1" applyFill="1" applyBorder="1"/>
    <xf numFmtId="170" fontId="161" fillId="54" borderId="26" xfId="0" applyNumberFormat="1" applyFont="1" applyFill="1" applyBorder="1" applyAlignment="1">
      <alignment vertical="center" wrapText="1"/>
    </xf>
    <xf numFmtId="4" fontId="161" fillId="54" borderId="153" xfId="0" applyNumberFormat="1" applyFont="1" applyFill="1" applyBorder="1"/>
    <xf numFmtId="170" fontId="178" fillId="54" borderId="153" xfId="0" applyNumberFormat="1" applyFont="1" applyFill="1" applyBorder="1"/>
    <xf numFmtId="0" fontId="161" fillId="46" borderId="19" xfId="0" applyFont="1" applyFill="1" applyBorder="1" applyAlignment="1">
      <alignment horizontal="center" wrapText="1"/>
    </xf>
    <xf numFmtId="0" fontId="161" fillId="2" borderId="155" xfId="1195" applyFont="1" applyFill="1" applyBorder="1" applyAlignment="1" applyProtection="1">
      <alignment horizontal="left" vertical="center"/>
    </xf>
    <xf numFmtId="170" fontId="161" fillId="54" borderId="153" xfId="0" applyNumberFormat="1" applyFont="1" applyFill="1" applyBorder="1" applyAlignment="1">
      <alignment vertical="center" wrapText="1"/>
    </xf>
    <xf numFmtId="172" fontId="178" fillId="46" borderId="157" xfId="1319" applyNumberFormat="1" applyFont="1" applyFill="1" applyBorder="1" applyAlignment="1" applyProtection="1">
      <alignment horizontal="right" vertical="center"/>
      <protection locked="0"/>
    </xf>
    <xf numFmtId="2" fontId="178" fillId="29" borderId="157" xfId="1319" applyNumberFormat="1" applyFont="1" applyFill="1" applyBorder="1" applyAlignment="1" applyProtection="1">
      <alignment horizontal="right" vertical="center"/>
      <protection locked="0"/>
    </xf>
    <xf numFmtId="167" fontId="122" fillId="46" borderId="157" xfId="0" applyNumberFormat="1" applyFont="1" applyFill="1" applyBorder="1"/>
    <xf numFmtId="4" fontId="122" fillId="29" borderId="157" xfId="0" applyNumberFormat="1" applyFont="1" applyFill="1" applyBorder="1"/>
    <xf numFmtId="168" fontId="122" fillId="29" borderId="157" xfId="0" applyNumberFormat="1" applyFont="1" applyFill="1" applyBorder="1"/>
    <xf numFmtId="2" fontId="122" fillId="29" borderId="157" xfId="0" applyNumberFormat="1" applyFont="1" applyFill="1" applyBorder="1"/>
    <xf numFmtId="167" fontId="122" fillId="29" borderId="157" xfId="0" applyNumberFormat="1" applyFont="1" applyFill="1" applyBorder="1"/>
    <xf numFmtId="0" fontId="178" fillId="0" borderId="156" xfId="0" applyFont="1" applyFill="1" applyBorder="1" applyAlignment="1" applyProtection="1">
      <alignment horizontal="center" vertical="top" wrapText="1"/>
    </xf>
    <xf numFmtId="4" fontId="122" fillId="29" borderId="158" xfId="0" applyNumberFormat="1" applyFont="1" applyFill="1" applyBorder="1"/>
    <xf numFmtId="168" fontId="122" fillId="29" borderId="158" xfId="0" applyNumberFormat="1" applyFont="1" applyFill="1" applyBorder="1"/>
    <xf numFmtId="2" fontId="122" fillId="29" borderId="158" xfId="0" applyNumberFormat="1" applyFont="1" applyFill="1" applyBorder="1"/>
    <xf numFmtId="167" fontId="122" fillId="29" borderId="158" xfId="0" applyNumberFormat="1" applyFont="1" applyFill="1" applyBorder="1"/>
    <xf numFmtId="0" fontId="178" fillId="46" borderId="159" xfId="0" applyFont="1" applyFill="1" applyBorder="1"/>
    <xf numFmtId="0" fontId="161" fillId="2" borderId="157" xfId="1195" applyFont="1" applyFill="1" applyBorder="1" applyAlignment="1" applyProtection="1">
      <alignment vertical="center"/>
    </xf>
    <xf numFmtId="0" fontId="178" fillId="0" borderId="160" xfId="0" applyFont="1" applyFill="1" applyBorder="1" applyAlignment="1" applyProtection="1">
      <alignment horizontal="center" vertical="top" wrapText="1"/>
    </xf>
    <xf numFmtId="170" fontId="178" fillId="54" borderId="161" xfId="0" applyNumberFormat="1" applyFont="1" applyFill="1" applyBorder="1" applyAlignment="1">
      <alignment vertical="center" wrapText="1"/>
    </xf>
    <xf numFmtId="170" fontId="161" fillId="46" borderId="161" xfId="0" applyNumberFormat="1" applyFont="1" applyFill="1" applyBorder="1" applyAlignment="1">
      <alignment vertical="center" wrapText="1"/>
    </xf>
    <xf numFmtId="0" fontId="161" fillId="2" borderId="162" xfId="1195" applyFont="1" applyFill="1" applyBorder="1" applyAlignment="1" applyProtection="1">
      <alignment vertical="center"/>
    </xf>
    <xf numFmtId="173" fontId="178" fillId="54" borderId="161" xfId="1216" applyNumberFormat="1" applyFont="1" applyFill="1" applyBorder="1" applyAlignment="1">
      <alignment horizontal="right"/>
    </xf>
    <xf numFmtId="0" fontId="161" fillId="2" borderId="163" xfId="1195" applyFont="1" applyFill="1" applyBorder="1" applyAlignment="1" applyProtection="1">
      <alignment vertical="center"/>
    </xf>
    <xf numFmtId="10" fontId="122" fillId="29" borderId="157" xfId="0" applyNumberFormat="1" applyFont="1" applyFill="1" applyBorder="1"/>
    <xf numFmtId="4" fontId="178" fillId="28" borderId="157" xfId="1319" applyNumberFormat="1" applyFont="1" applyFill="1" applyBorder="1" applyAlignment="1" applyProtection="1">
      <alignment horizontal="right" vertical="center"/>
      <protection locked="0"/>
    </xf>
    <xf numFmtId="170" fontId="161" fillId="54" borderId="161" xfId="0" applyNumberFormat="1" applyFont="1" applyFill="1" applyBorder="1" applyAlignment="1">
      <alignment vertical="center" wrapText="1"/>
    </xf>
    <xf numFmtId="170" fontId="161" fillId="46" borderId="142" xfId="0" applyNumberFormat="1" applyFont="1" applyFill="1" applyBorder="1" applyAlignment="1">
      <alignment vertical="center" wrapText="1"/>
    </xf>
    <xf numFmtId="170" fontId="178" fillId="54" borderId="142" xfId="0" applyNumberFormat="1" applyFont="1" applyFill="1" applyBorder="1" applyAlignment="1">
      <alignment vertical="center" wrapText="1"/>
    </xf>
    <xf numFmtId="0" fontId="46" fillId="0" borderId="0" xfId="0" applyFont="1" applyFill="1" applyAlignment="1">
      <alignment horizontal="right"/>
    </xf>
    <xf numFmtId="170" fontId="161" fillId="54" borderId="142" xfId="0" applyNumberFormat="1" applyFont="1" applyFill="1" applyBorder="1" applyAlignment="1">
      <alignment vertical="center" wrapText="1"/>
    </xf>
    <xf numFmtId="1" fontId="77" fillId="54" borderId="17" xfId="0" applyNumberFormat="1" applyFont="1" applyFill="1" applyBorder="1" applyAlignment="1">
      <alignment vertical="center" wrapText="1"/>
    </xf>
    <xf numFmtId="0" fontId="9" fillId="54" borderId="0" xfId="1428" applyFont="1" applyFill="1" applyAlignment="1">
      <alignment horizontal="right"/>
    </xf>
    <xf numFmtId="217" fontId="9" fillId="54" borderId="0" xfId="1427" applyNumberFormat="1" applyFont="1" applyFill="1"/>
    <xf numFmtId="216" fontId="9" fillId="54" borderId="0" xfId="1427" applyNumberFormat="1" applyFont="1" applyFill="1"/>
    <xf numFmtId="2" fontId="9" fillId="54" borderId="0" xfId="0" applyNumberFormat="1" applyFont="1" applyFill="1" applyAlignment="1">
      <alignment horizontal="centerContinuous"/>
    </xf>
    <xf numFmtId="1" fontId="9" fillId="54" borderId="0" xfId="0" applyNumberFormat="1" applyFont="1" applyFill="1"/>
    <xf numFmtId="0" fontId="15" fillId="54" borderId="0" xfId="0" applyFont="1" applyFill="1" applyAlignment="1">
      <alignment horizontal="right"/>
    </xf>
    <xf numFmtId="217" fontId="15" fillId="54" borderId="0" xfId="1427" applyNumberFormat="1" applyFont="1" applyFill="1"/>
    <xf numFmtId="0" fontId="9" fillId="54" borderId="17" xfId="0" applyFont="1" applyFill="1" applyBorder="1" applyAlignment="1">
      <alignment horizontal="center" vertical="center" wrapText="1"/>
    </xf>
    <xf numFmtId="0" fontId="12" fillId="54" borderId="66" xfId="0" applyFont="1" applyFill="1" applyBorder="1" applyAlignment="1">
      <alignment horizontal="left" vertical="center" wrapText="1" indent="1"/>
    </xf>
    <xf numFmtId="166" fontId="9" fillId="54" borderId="0" xfId="0" applyNumberFormat="1" applyFont="1" applyFill="1"/>
    <xf numFmtId="164" fontId="9" fillId="54" borderId="0" xfId="0" applyNumberFormat="1" applyFont="1" applyFill="1"/>
    <xf numFmtId="0" fontId="9" fillId="54" borderId="66" xfId="0" applyFont="1" applyFill="1" applyBorder="1" applyAlignment="1">
      <alignment horizontal="left" vertical="center" indent="1"/>
    </xf>
    <xf numFmtId="0" fontId="9" fillId="54" borderId="0" xfId="0" applyFont="1" applyFill="1" applyBorder="1" applyAlignment="1">
      <alignment horizontal="right" vertical="center"/>
    </xf>
    <xf numFmtId="0" fontId="9" fillId="54" borderId="0" xfId="0" applyFont="1" applyFill="1" applyBorder="1" applyAlignment="1">
      <alignment horizontal="left" vertical="center"/>
    </xf>
    <xf numFmtId="0" fontId="9" fillId="54" borderId="66" xfId="0" applyFont="1" applyFill="1" applyBorder="1" applyAlignment="1">
      <alignment horizontal="center" wrapText="1"/>
    </xf>
    <xf numFmtId="0" fontId="15" fillId="54" borderId="0" xfId="0" applyFont="1" applyFill="1" applyAlignment="1">
      <alignment horizontal="center"/>
    </xf>
    <xf numFmtId="0" fontId="9" fillId="54" borderId="67" xfId="0" applyFont="1" applyFill="1" applyBorder="1" applyAlignment="1">
      <alignment horizontal="left" vertical="center" indent="1"/>
    </xf>
    <xf numFmtId="0" fontId="12" fillId="54" borderId="67" xfId="0" applyFont="1" applyFill="1" applyBorder="1" applyAlignment="1">
      <alignment horizontal="center" vertical="center" wrapText="1"/>
    </xf>
    <xf numFmtId="2" fontId="9" fillId="54" borderId="0" xfId="0" applyNumberFormat="1" applyFont="1" applyFill="1" applyBorder="1" applyAlignment="1">
      <alignment horizontal="center"/>
    </xf>
    <xf numFmtId="200" fontId="9" fillId="54" borderId="66" xfId="0" applyNumberFormat="1" applyFont="1" applyFill="1" applyBorder="1" applyAlignment="1">
      <alignment horizontal="left" vertical="center" wrapText="1" indent="1"/>
    </xf>
    <xf numFmtId="195" fontId="68" fillId="54" borderId="0" xfId="0" applyNumberFormat="1" applyFont="1" applyFill="1"/>
    <xf numFmtId="0" fontId="68" fillId="54" borderId="0" xfId="0" applyFont="1" applyFill="1"/>
    <xf numFmtId="0" fontId="9" fillId="54" borderId="0" xfId="0" applyFont="1" applyFill="1" applyBorder="1" applyAlignment="1">
      <alignment horizontal="center" vertical="center" wrapText="1"/>
    </xf>
    <xf numFmtId="17" fontId="9" fillId="54" borderId="0" xfId="0" applyNumberFormat="1" applyFont="1" applyFill="1" applyBorder="1" applyAlignment="1">
      <alignment horizontal="center" vertical="center" wrapText="1"/>
    </xf>
    <xf numFmtId="0" fontId="9" fillId="54" borderId="0" xfId="0" applyFont="1" applyFill="1" applyBorder="1" applyAlignment="1">
      <alignment horizontal="center"/>
    </xf>
    <xf numFmtId="0" fontId="11" fillId="54" borderId="0" xfId="1181" applyFont="1" applyFill="1" applyAlignment="1"/>
    <xf numFmtId="168" fontId="11" fillId="54" borderId="0" xfId="1181" applyNumberFormat="1" applyFont="1" applyFill="1"/>
    <xf numFmtId="0" fontId="144" fillId="54" borderId="0" xfId="1181" applyFont="1" applyFill="1"/>
    <xf numFmtId="0" fontId="11" fillId="54" borderId="0" xfId="1181" applyFont="1" applyFill="1"/>
    <xf numFmtId="168" fontId="58" fillId="54" borderId="0" xfId="1181" applyNumberFormat="1" applyFont="1" applyFill="1" applyAlignment="1">
      <alignment horizontal="right"/>
    </xf>
    <xf numFmtId="0" fontId="17" fillId="54" borderId="0" xfId="0" applyFont="1" applyFill="1" applyAlignment="1">
      <alignment horizontal="center"/>
    </xf>
    <xf numFmtId="0" fontId="18" fillId="54" borderId="0" xfId="0" applyFont="1" applyFill="1"/>
    <xf numFmtId="200" fontId="9" fillId="54" borderId="0" xfId="0" applyNumberFormat="1" applyFont="1" applyFill="1" applyAlignment="1">
      <alignment horizontal="center"/>
    </xf>
    <xf numFmtId="164" fontId="9" fillId="54" borderId="66" xfId="0" applyNumberFormat="1" applyFont="1" applyFill="1" applyBorder="1" applyAlignment="1">
      <alignment horizontal="center" vertical="center"/>
    </xf>
    <xf numFmtId="200" fontId="9" fillId="54" borderId="66" xfId="0" applyNumberFormat="1" applyFont="1" applyFill="1" applyBorder="1" applyAlignment="1">
      <alignment horizontal="center" vertical="center"/>
    </xf>
    <xf numFmtId="199" fontId="9" fillId="56" borderId="66" xfId="1217" applyNumberFormat="1" applyFont="1" applyFill="1" applyBorder="1" applyAlignment="1">
      <alignment horizontal="center" vertical="center"/>
    </xf>
    <xf numFmtId="199" fontId="15" fillId="56" borderId="0" xfId="1217" applyNumberFormat="1" applyFont="1" applyFill="1" applyBorder="1" applyAlignment="1">
      <alignment horizontal="right" vertical="center"/>
    </xf>
    <xf numFmtId="173" fontId="15" fillId="56" borderId="66" xfId="1217" applyNumberFormat="1" applyFont="1" applyFill="1" applyBorder="1" applyAlignment="1">
      <alignment horizontal="center" vertical="top"/>
    </xf>
    <xf numFmtId="195" fontId="9" fillId="54" borderId="0" xfId="0" applyNumberFormat="1" applyFont="1" applyFill="1"/>
    <xf numFmtId="168" fontId="9" fillId="54" borderId="0" xfId="0" applyNumberFormat="1" applyFont="1" applyFill="1"/>
    <xf numFmtId="0" fontId="9" fillId="54" borderId="0" xfId="0" applyFont="1" applyFill="1" applyBorder="1" applyAlignment="1">
      <alignment horizontal="center" vertical="center"/>
    </xf>
    <xf numFmtId="0" fontId="28" fillId="54" borderId="0" xfId="0" applyFont="1" applyFill="1" applyAlignment="1">
      <alignment horizontal="centerContinuous"/>
    </xf>
    <xf numFmtId="0" fontId="11" fillId="54" borderId="0" xfId="0" applyFont="1" applyFill="1" applyAlignment="1">
      <alignment horizontal="centerContinuous" vertical="center"/>
    </xf>
    <xf numFmtId="0" fontId="28" fillId="54" borderId="0" xfId="0" applyFont="1" applyFill="1" applyAlignment="1">
      <alignment horizontal="centerContinuous" vertical="center"/>
    </xf>
    <xf numFmtId="0" fontId="17" fillId="54" borderId="0" xfId="0" quotePrefix="1" applyFont="1" applyFill="1" applyAlignment="1">
      <alignment horizontal="left"/>
    </xf>
    <xf numFmtId="0" fontId="17" fillId="54" borderId="17" xfId="0" applyFont="1" applyFill="1" applyBorder="1"/>
    <xf numFmtId="0" fontId="17" fillId="54" borderId="33" xfId="0" applyFont="1" applyFill="1" applyBorder="1"/>
    <xf numFmtId="0" fontId="17" fillId="54" borderId="22" xfId="0" applyFont="1" applyFill="1" applyBorder="1"/>
    <xf numFmtId="0" fontId="17" fillId="54" borderId="23" xfId="0" applyFont="1" applyFill="1" applyBorder="1"/>
    <xf numFmtId="0" fontId="15" fillId="54" borderId="23" xfId="0" applyFont="1" applyFill="1" applyBorder="1"/>
    <xf numFmtId="0" fontId="17" fillId="54" borderId="23" xfId="0" quotePrefix="1" applyFont="1" applyFill="1" applyBorder="1" applyAlignment="1">
      <alignment horizontal="left"/>
    </xf>
    <xf numFmtId="165" fontId="25" fillId="54" borderId="23" xfId="0" applyNumberFormat="1" applyFont="1" applyFill="1" applyBorder="1"/>
    <xf numFmtId="165" fontId="17" fillId="54" borderId="23" xfId="0" applyNumberFormat="1" applyFont="1" applyFill="1" applyBorder="1"/>
    <xf numFmtId="0" fontId="17" fillId="54" borderId="28" xfId="0" applyFont="1" applyFill="1" applyBorder="1"/>
    <xf numFmtId="0" fontId="15" fillId="54" borderId="28" xfId="0" applyFont="1" applyFill="1" applyBorder="1"/>
    <xf numFmtId="0" fontId="17" fillId="54" borderId="28" xfId="0" quotePrefix="1" applyFont="1" applyFill="1" applyBorder="1" applyAlignment="1">
      <alignment horizontal="left"/>
    </xf>
    <xf numFmtId="198" fontId="25" fillId="54" borderId="17" xfId="1216" applyNumberFormat="1" applyFont="1" applyFill="1" applyBorder="1" applyAlignment="1">
      <alignment horizontal="right" wrapText="1"/>
    </xf>
    <xf numFmtId="165" fontId="25" fillId="54" borderId="17" xfId="1216" applyNumberFormat="1" applyFont="1" applyFill="1" applyBorder="1" applyAlignment="1">
      <alignment horizontal="right" wrapText="1"/>
    </xf>
    <xf numFmtId="0" fontId="17" fillId="54" borderId="29" xfId="0" applyFont="1" applyFill="1" applyBorder="1"/>
    <xf numFmtId="0" fontId="17" fillId="54" borderId="30" xfId="0" applyFont="1" applyFill="1" applyBorder="1"/>
    <xf numFmtId="0" fontId="17" fillId="54" borderId="30" xfId="0" quotePrefix="1" applyFont="1" applyFill="1" applyBorder="1" applyAlignment="1">
      <alignment horizontal="left"/>
    </xf>
    <xf numFmtId="0" fontId="17" fillId="54" borderId="24" xfId="0" applyFont="1" applyFill="1" applyBorder="1"/>
    <xf numFmtId="0" fontId="17" fillId="54" borderId="25" xfId="0" applyFont="1" applyFill="1" applyBorder="1"/>
    <xf numFmtId="0" fontId="17" fillId="54" borderId="20" xfId="0" applyFont="1" applyFill="1" applyBorder="1"/>
    <xf numFmtId="0" fontId="17" fillId="54" borderId="27" xfId="0" applyFont="1" applyFill="1" applyBorder="1"/>
    <xf numFmtId="0" fontId="17" fillId="54" borderId="19" xfId="0" applyFont="1" applyFill="1" applyBorder="1"/>
    <xf numFmtId="0" fontId="17" fillId="54" borderId="20" xfId="0" quotePrefix="1" applyFont="1" applyFill="1" applyBorder="1" applyAlignment="1">
      <alignment horizontal="left"/>
    </xf>
    <xf numFmtId="0" fontId="17" fillId="54" borderId="29" xfId="0" quotePrefix="1" applyFont="1" applyFill="1" applyBorder="1" applyAlignment="1">
      <alignment horizontal="left"/>
    </xf>
    <xf numFmtId="0" fontId="17" fillId="54" borderId="48" xfId="0" applyFont="1" applyFill="1" applyBorder="1"/>
    <xf numFmtId="0" fontId="17" fillId="54" borderId="0" xfId="0" quotePrefix="1" applyFont="1" applyFill="1" applyBorder="1" applyAlignment="1">
      <alignment horizontal="left"/>
    </xf>
    <xf numFmtId="0" fontId="17" fillId="54" borderId="17" xfId="0" quotePrefix="1" applyFont="1" applyFill="1" applyBorder="1" applyAlignment="1">
      <alignment horizontal="left"/>
    </xf>
    <xf numFmtId="0" fontId="17" fillId="54" borderId="24" xfId="0" applyFont="1" applyFill="1" applyBorder="1" applyAlignment="1">
      <alignment horizontal="left"/>
    </xf>
    <xf numFmtId="165" fontId="17" fillId="54" borderId="17" xfId="0" applyNumberFormat="1" applyFont="1" applyFill="1" applyBorder="1"/>
    <xf numFmtId="195" fontId="25" fillId="54" borderId="17" xfId="1216" applyNumberFormat="1" applyFont="1" applyFill="1" applyBorder="1" applyAlignment="1">
      <alignment horizontal="right" wrapText="1"/>
    </xf>
    <xf numFmtId="0" fontId="25" fillId="54" borderId="23" xfId="0" applyFont="1" applyFill="1" applyBorder="1"/>
    <xf numFmtId="165" fontId="25" fillId="54" borderId="17" xfId="0" applyNumberFormat="1" applyFont="1" applyFill="1" applyBorder="1"/>
    <xf numFmtId="165" fontId="17" fillId="54" borderId="20" xfId="0" applyNumberFormat="1" applyFont="1" applyFill="1" applyBorder="1"/>
    <xf numFmtId="0" fontId="17" fillId="54" borderId="26" xfId="0" applyFont="1" applyFill="1" applyBorder="1"/>
    <xf numFmtId="165" fontId="9" fillId="54" borderId="29" xfId="0" applyNumberFormat="1" applyFont="1" applyFill="1" applyBorder="1"/>
    <xf numFmtId="0" fontId="17" fillId="54" borderId="24" xfId="0" quotePrefix="1" applyFont="1" applyFill="1" applyBorder="1" applyAlignment="1">
      <alignment horizontal="left"/>
    </xf>
    <xf numFmtId="0" fontId="9" fillId="54" borderId="22" xfId="0" applyFont="1" applyFill="1" applyBorder="1"/>
    <xf numFmtId="0" fontId="9" fillId="54" borderId="22" xfId="0" quotePrefix="1" applyFont="1" applyFill="1" applyBorder="1" applyAlignment="1">
      <alignment horizontal="left"/>
    </xf>
    <xf numFmtId="165" fontId="9" fillId="54" borderId="22" xfId="0" applyNumberFormat="1" applyFont="1" applyFill="1" applyBorder="1"/>
    <xf numFmtId="195" fontId="9" fillId="54" borderId="17" xfId="1216" applyNumberFormat="1" applyFont="1" applyFill="1" applyBorder="1" applyAlignment="1">
      <alignment horizontal="right" wrapText="1"/>
    </xf>
    <xf numFmtId="218" fontId="9" fillId="54" borderId="22" xfId="0" applyNumberFormat="1" applyFont="1" applyFill="1" applyBorder="1"/>
    <xf numFmtId="165" fontId="17" fillId="54" borderId="0" xfId="0" applyNumberFormat="1" applyFont="1" applyFill="1"/>
    <xf numFmtId="10" fontId="17" fillId="54" borderId="0" xfId="0" applyNumberFormat="1" applyFont="1" applyFill="1"/>
    <xf numFmtId="168" fontId="58" fillId="54" borderId="0" xfId="1181" applyNumberFormat="1" applyFont="1" applyFill="1" applyAlignment="1">
      <alignment horizontal="left"/>
    </xf>
    <xf numFmtId="0" fontId="68" fillId="54" borderId="0" xfId="0" applyFont="1" applyFill="1" applyAlignment="1">
      <alignment horizontal="center"/>
    </xf>
    <xf numFmtId="0" fontId="18" fillId="54" borderId="0" xfId="0" applyFont="1" applyFill="1" applyAlignment="1">
      <alignment horizontal="center"/>
    </xf>
    <xf numFmtId="0" fontId="17" fillId="54" borderId="17" xfId="0" applyFont="1" applyFill="1" applyBorder="1" applyAlignment="1">
      <alignment wrapText="1"/>
    </xf>
    <xf numFmtId="218" fontId="17" fillId="54" borderId="17" xfId="0" applyNumberFormat="1" applyFont="1" applyFill="1" applyBorder="1" applyAlignment="1"/>
    <xf numFmtId="169" fontId="68" fillId="54" borderId="0" xfId="0" applyNumberFormat="1" applyFont="1" applyFill="1" applyAlignment="1">
      <alignment horizontal="center"/>
    </xf>
    <xf numFmtId="202" fontId="68" fillId="54" borderId="0" xfId="0" applyNumberFormat="1" applyFont="1" applyFill="1" applyAlignment="1">
      <alignment horizontal="center"/>
    </xf>
    <xf numFmtId="0" fontId="9" fillId="54" borderId="0" xfId="0" applyFont="1" applyFill="1" applyAlignment="1">
      <alignment horizontal="right"/>
    </xf>
    <xf numFmtId="175" fontId="17" fillId="54" borderId="0" xfId="0" applyNumberFormat="1" applyFont="1" applyFill="1"/>
    <xf numFmtId="165" fontId="68" fillId="54" borderId="0" xfId="0" applyNumberFormat="1" applyFont="1" applyFill="1"/>
    <xf numFmtId="0" fontId="17" fillId="54" borderId="28" xfId="0" applyFont="1" applyFill="1" applyBorder="1" applyAlignment="1">
      <alignment wrapText="1"/>
    </xf>
    <xf numFmtId="199" fontId="17" fillId="54" borderId="23" xfId="1216" applyNumberFormat="1" applyFont="1" applyFill="1" applyBorder="1" applyAlignment="1">
      <alignment horizontal="right" wrapText="1"/>
    </xf>
    <xf numFmtId="173" fontId="17" fillId="54" borderId="22" xfId="1216" applyNumberFormat="1" applyFont="1" applyFill="1" applyBorder="1" applyAlignment="1">
      <alignment horizontal="right" wrapText="1"/>
    </xf>
    <xf numFmtId="0" fontId="17" fillId="54" borderId="0" xfId="0" quotePrefix="1" applyFont="1" applyFill="1" applyBorder="1" applyAlignment="1">
      <alignment horizontal="left" wrapText="1"/>
    </xf>
    <xf numFmtId="0" fontId="17" fillId="54" borderId="20" xfId="0" applyFont="1" applyFill="1" applyBorder="1" applyAlignment="1"/>
    <xf numFmtId="0" fontId="17" fillId="54" borderId="17" xfId="0" quotePrefix="1" applyFont="1" applyFill="1" applyBorder="1" applyAlignment="1">
      <alignment horizontal="left" wrapText="1"/>
    </xf>
    <xf numFmtId="0" fontId="17" fillId="54" borderId="27" xfId="0" applyFont="1" applyFill="1" applyBorder="1" applyAlignment="1"/>
    <xf numFmtId="165" fontId="17" fillId="54" borderId="29" xfId="0" applyNumberFormat="1" applyFont="1" applyFill="1" applyBorder="1" applyAlignment="1"/>
    <xf numFmtId="165" fontId="17" fillId="54" borderId="23" xfId="0" applyNumberFormat="1" applyFont="1" applyFill="1" applyBorder="1" applyAlignment="1"/>
    <xf numFmtId="165" fontId="11" fillId="54" borderId="0" xfId="1181" applyNumberFormat="1" applyFont="1" applyFill="1"/>
    <xf numFmtId="0" fontId="28" fillId="54" borderId="0" xfId="0" applyFont="1" applyFill="1" applyAlignment="1">
      <alignment horizontal="left"/>
    </xf>
    <xf numFmtId="3" fontId="60" fillId="54" borderId="0" xfId="0" applyNumberFormat="1" applyFont="1" applyFill="1" applyBorder="1" applyAlignment="1">
      <alignment horizontal="left"/>
    </xf>
    <xf numFmtId="0" fontId="58" fillId="54" borderId="0" xfId="0" quotePrefix="1" applyFont="1" applyFill="1" applyAlignment="1">
      <alignment horizontal="centerContinuous"/>
    </xf>
    <xf numFmtId="0" fontId="15" fillId="54" borderId="0" xfId="0" quotePrefix="1" applyFont="1" applyFill="1" applyAlignment="1">
      <alignment horizontal="centerContinuous"/>
    </xf>
    <xf numFmtId="0" fontId="17" fillId="54" borderId="0" xfId="0" quotePrefix="1" applyFont="1" applyFill="1" applyAlignment="1">
      <alignment horizontal="centerContinuous"/>
    </xf>
    <xf numFmtId="0" fontId="17" fillId="54" borderId="24" xfId="0" applyFont="1" applyFill="1" applyBorder="1" applyAlignment="1">
      <alignment horizontal="center"/>
    </xf>
    <xf numFmtId="0" fontId="17" fillId="54" borderId="0" xfId="0" applyFont="1" applyFill="1" applyBorder="1" applyAlignment="1">
      <alignment horizontal="right"/>
    </xf>
    <xf numFmtId="0" fontId="17" fillId="54" borderId="22" xfId="0" applyFont="1" applyFill="1" applyBorder="1" applyAlignment="1">
      <alignment horizontal="center"/>
    </xf>
    <xf numFmtId="0" fontId="62" fillId="54" borderId="17" xfId="0" applyFont="1" applyFill="1" applyBorder="1" applyAlignment="1">
      <alignment horizontal="center"/>
    </xf>
    <xf numFmtId="0" fontId="62" fillId="54" borderId="17" xfId="0" applyFont="1" applyFill="1" applyBorder="1" applyAlignment="1">
      <alignment horizontal="center" wrapText="1"/>
    </xf>
    <xf numFmtId="0" fontId="62" fillId="54" borderId="0" xfId="0" applyFont="1" applyFill="1" applyAlignment="1">
      <alignment horizontal="center"/>
    </xf>
    <xf numFmtId="0" fontId="17" fillId="54" borderId="22" xfId="0" quotePrefix="1" applyFont="1" applyFill="1" applyBorder="1" applyAlignment="1">
      <alignment horizontal="left" wrapText="1"/>
    </xf>
    <xf numFmtId="166" fontId="17" fillId="54" borderId="17" xfId="0" applyNumberFormat="1" applyFont="1" applyFill="1" applyBorder="1" applyAlignment="1"/>
    <xf numFmtId="167" fontId="17" fillId="54" borderId="17" xfId="0" applyNumberFormat="1" applyFont="1" applyFill="1" applyBorder="1" applyAlignment="1"/>
    <xf numFmtId="195" fontId="17" fillId="54" borderId="17" xfId="1216" applyNumberFormat="1" applyFont="1" applyFill="1" applyBorder="1" applyAlignment="1">
      <alignment horizontal="right" wrapText="1"/>
    </xf>
    <xf numFmtId="197" fontId="17" fillId="54" borderId="17" xfId="0" applyNumberFormat="1" applyFont="1" applyFill="1" applyBorder="1" applyAlignment="1"/>
    <xf numFmtId="197" fontId="17" fillId="54" borderId="17" xfId="1216" applyNumberFormat="1" applyFont="1" applyFill="1" applyBorder="1" applyAlignment="1">
      <alignment horizontal="right" wrapText="1"/>
    </xf>
    <xf numFmtId="168" fontId="17" fillId="54" borderId="17" xfId="0" applyNumberFormat="1" applyFont="1" applyFill="1" applyBorder="1" applyAlignment="1"/>
    <xf numFmtId="195" fontId="17" fillId="54" borderId="17" xfId="0" applyNumberFormat="1" applyFont="1" applyFill="1" applyBorder="1" applyAlignment="1"/>
    <xf numFmtId="0" fontId="17" fillId="54" borderId="17" xfId="0" applyFont="1" applyFill="1" applyBorder="1" applyAlignment="1">
      <alignment horizontal="left"/>
    </xf>
    <xf numFmtId="166" fontId="17" fillId="54" borderId="17" xfId="1216" applyNumberFormat="1" applyFont="1" applyFill="1" applyBorder="1" applyAlignment="1">
      <alignment horizontal="right" wrapText="1"/>
    </xf>
    <xf numFmtId="168" fontId="17" fillId="54" borderId="0" xfId="0" applyNumberFormat="1" applyFont="1" applyFill="1"/>
    <xf numFmtId="0" fontId="17" fillId="54" borderId="23" xfId="0" applyFont="1" applyFill="1" applyBorder="1" applyAlignment="1">
      <alignment wrapText="1"/>
    </xf>
    <xf numFmtId="167" fontId="0" fillId="54" borderId="0" xfId="0" applyNumberFormat="1" applyFont="1" applyFill="1"/>
    <xf numFmtId="0" fontId="17" fillId="54" borderId="29" xfId="0" applyFont="1" applyFill="1" applyBorder="1" applyAlignment="1">
      <alignment wrapText="1"/>
    </xf>
    <xf numFmtId="1" fontId="17" fillId="54" borderId="29" xfId="0" applyNumberFormat="1" applyFont="1" applyFill="1" applyBorder="1" applyAlignment="1"/>
    <xf numFmtId="1" fontId="17" fillId="54" borderId="23" xfId="0" applyNumberFormat="1" applyFont="1" applyFill="1" applyBorder="1" applyAlignment="1"/>
    <xf numFmtId="0" fontId="17" fillId="54" borderId="0" xfId="0" applyFont="1" applyFill="1" applyBorder="1" applyAlignment="1">
      <alignment wrapText="1"/>
    </xf>
    <xf numFmtId="1" fontId="17" fillId="54" borderId="0" xfId="0" applyNumberFormat="1" applyFont="1" applyFill="1" applyBorder="1" applyAlignment="1"/>
    <xf numFmtId="1" fontId="17" fillId="54" borderId="20" xfId="0" applyNumberFormat="1" applyFont="1" applyFill="1" applyBorder="1" applyAlignment="1"/>
    <xf numFmtId="0" fontId="17" fillId="54" borderId="0" xfId="0" applyFont="1" applyFill="1" applyBorder="1" applyAlignment="1"/>
    <xf numFmtId="167" fontId="68" fillId="54" borderId="0" xfId="0" applyNumberFormat="1" applyFont="1" applyFill="1"/>
    <xf numFmtId="166" fontId="17" fillId="54" borderId="20" xfId="0" applyNumberFormat="1" applyFont="1" applyFill="1" applyBorder="1" applyAlignment="1"/>
    <xf numFmtId="166" fontId="17" fillId="54" borderId="23" xfId="1216" applyNumberFormat="1" applyFont="1" applyFill="1" applyBorder="1" applyAlignment="1">
      <alignment horizontal="right" wrapText="1"/>
    </xf>
    <xf numFmtId="166" fontId="17" fillId="54" borderId="23" xfId="0" applyNumberFormat="1" applyFont="1" applyFill="1" applyBorder="1" applyAlignment="1"/>
    <xf numFmtId="166" fontId="17" fillId="54" borderId="29" xfId="0" applyNumberFormat="1" applyFont="1" applyFill="1" applyBorder="1" applyAlignment="1"/>
    <xf numFmtId="195" fontId="17" fillId="54" borderId="23" xfId="1216" applyNumberFormat="1" applyFont="1" applyFill="1" applyBorder="1" applyAlignment="1">
      <alignment horizontal="right" wrapText="1"/>
    </xf>
    <xf numFmtId="168" fontId="17" fillId="54" borderId="0" xfId="0" applyNumberFormat="1" applyFont="1" applyFill="1" applyBorder="1" applyAlignment="1"/>
    <xf numFmtId="168" fontId="17" fillId="54" borderId="20" xfId="0" applyNumberFormat="1" applyFont="1" applyFill="1" applyBorder="1" applyAlignment="1"/>
    <xf numFmtId="0" fontId="17" fillId="54" borderId="28" xfId="0" applyFont="1" applyFill="1" applyBorder="1" applyAlignment="1">
      <alignment vertical="top"/>
    </xf>
    <xf numFmtId="0" fontId="17" fillId="54" borderId="28" xfId="0" applyFont="1" applyFill="1" applyBorder="1" applyAlignment="1"/>
    <xf numFmtId="0" fontId="17" fillId="54" borderId="48" xfId="0" applyFont="1" applyFill="1" applyBorder="1" applyAlignment="1"/>
    <xf numFmtId="0" fontId="17" fillId="54" borderId="30" xfId="0" applyFont="1" applyFill="1" applyBorder="1" applyAlignment="1"/>
    <xf numFmtId="3" fontId="59" fillId="54" borderId="0" xfId="0" applyNumberFormat="1" applyFont="1" applyFill="1" applyBorder="1" applyAlignment="1">
      <alignment horizontal="left"/>
    </xf>
    <xf numFmtId="0" fontId="9" fillId="54" borderId="24" xfId="0" applyFont="1" applyFill="1" applyBorder="1" applyAlignment="1">
      <alignment horizontal="left"/>
    </xf>
    <xf numFmtId="0" fontId="15" fillId="54" borderId="0" xfId="0" applyFont="1" applyFill="1" applyAlignment="1">
      <alignment horizontal="left"/>
    </xf>
    <xf numFmtId="0" fontId="12" fillId="54" borderId="28" xfId="0" applyFont="1" applyFill="1" applyBorder="1" applyAlignment="1">
      <alignment horizontal="centerContinuous" vertical="top"/>
    </xf>
    <xf numFmtId="0" fontId="12" fillId="54" borderId="29" xfId="0" applyFont="1" applyFill="1" applyBorder="1" applyAlignment="1">
      <alignment horizontal="centerContinuous" vertical="top"/>
    </xf>
    <xf numFmtId="0" fontId="12" fillId="54" borderId="27" xfId="0" applyFont="1" applyFill="1" applyBorder="1" applyAlignment="1">
      <alignment horizontal="centerContinuous" vertical="top"/>
    </xf>
    <xf numFmtId="0" fontId="12" fillId="54" borderId="27" xfId="0" applyFont="1" applyFill="1" applyBorder="1" applyAlignment="1">
      <alignment horizontal="center" vertical="top" wrapText="1"/>
    </xf>
    <xf numFmtId="0" fontId="12" fillId="54" borderId="48" xfId="0" applyFont="1" applyFill="1" applyBorder="1" applyAlignment="1">
      <alignment horizontal="centerContinuous" vertical="top"/>
    </xf>
    <xf numFmtId="0" fontId="12" fillId="54" borderId="0" xfId="0" applyFont="1" applyFill="1" applyBorder="1" applyAlignment="1">
      <alignment horizontal="centerContinuous" vertical="top"/>
    </xf>
    <xf numFmtId="0" fontId="12" fillId="54" borderId="19" xfId="0" applyFont="1" applyFill="1" applyBorder="1" applyAlignment="1">
      <alignment horizontal="centerContinuous" vertical="top"/>
    </xf>
    <xf numFmtId="0" fontId="12" fillId="54" borderId="20" xfId="0" applyFont="1" applyFill="1" applyBorder="1" applyAlignment="1">
      <alignment horizontal="center" vertical="top" wrapText="1"/>
    </xf>
    <xf numFmtId="0" fontId="12" fillId="54" borderId="17" xfId="0" applyFont="1" applyFill="1" applyBorder="1" applyAlignment="1">
      <alignment horizontal="center" vertical="top" wrapText="1"/>
    </xf>
    <xf numFmtId="0" fontId="12" fillId="54" borderId="26" xfId="0" applyFont="1" applyFill="1" applyBorder="1" applyAlignment="1">
      <alignment horizontal="center" vertical="top" wrapText="1"/>
    </xf>
    <xf numFmtId="0" fontId="12" fillId="54" borderId="22" xfId="0" applyFont="1" applyFill="1" applyBorder="1" applyAlignment="1">
      <alignment horizontal="center" vertical="top" wrapText="1"/>
    </xf>
    <xf numFmtId="0" fontId="12" fillId="54" borderId="25" xfId="0" applyFont="1" applyFill="1" applyBorder="1" applyAlignment="1">
      <alignment horizontal="center" vertical="top" wrapText="1"/>
    </xf>
    <xf numFmtId="0" fontId="9" fillId="54" borderId="25" xfId="0" applyFont="1" applyFill="1" applyBorder="1" applyAlignment="1">
      <alignment horizontal="center" vertical="top" wrapText="1"/>
    </xf>
    <xf numFmtId="0" fontId="63" fillId="54" borderId="33" xfId="0" applyFont="1" applyFill="1" applyBorder="1" applyAlignment="1">
      <alignment horizontal="centerContinuous" vertical="top"/>
    </xf>
    <xf numFmtId="0" fontId="10" fillId="54" borderId="6" xfId="0" applyFont="1" applyFill="1" applyBorder="1" applyAlignment="1">
      <alignment horizontal="centerContinuous" vertical="top"/>
    </xf>
    <xf numFmtId="0" fontId="10" fillId="54" borderId="26" xfId="0" applyFont="1" applyFill="1" applyBorder="1" applyAlignment="1">
      <alignment horizontal="centerContinuous" vertical="top"/>
    </xf>
    <xf numFmtId="0" fontId="10" fillId="54" borderId="17" xfId="0" applyFont="1" applyFill="1" applyBorder="1" applyAlignment="1">
      <alignment vertical="top" wrapText="1"/>
    </xf>
    <xf numFmtId="0" fontId="9" fillId="54" borderId="25" xfId="0" applyFont="1" applyFill="1" applyBorder="1" applyAlignment="1">
      <alignment vertical="top" wrapText="1"/>
    </xf>
    <xf numFmtId="0" fontId="9" fillId="54" borderId="25" xfId="0" applyFont="1" applyFill="1" applyBorder="1" applyAlignment="1">
      <alignment wrapText="1"/>
    </xf>
    <xf numFmtId="0" fontId="10" fillId="54" borderId="22" xfId="0" applyFont="1" applyFill="1" applyBorder="1" applyAlignment="1">
      <alignment vertical="top" wrapText="1"/>
    </xf>
    <xf numFmtId="198" fontId="9" fillId="54" borderId="17" xfId="1216" applyNumberFormat="1" applyFont="1" applyFill="1" applyBorder="1" applyAlignment="1">
      <alignment horizontal="right" wrapText="1"/>
    </xf>
    <xf numFmtId="197" fontId="9" fillId="54" borderId="17" xfId="1216" applyNumberFormat="1" applyFont="1" applyFill="1" applyBorder="1" applyAlignment="1">
      <alignment horizontal="right" wrapText="1"/>
    </xf>
    <xf numFmtId="3" fontId="9" fillId="54" borderId="26" xfId="0" applyNumberFormat="1" applyFont="1" applyFill="1" applyBorder="1" applyAlignment="1">
      <alignment wrapText="1"/>
    </xf>
    <xf numFmtId="0" fontId="10" fillId="54" borderId="20" xfId="0" applyFont="1" applyFill="1" applyBorder="1" applyAlignment="1">
      <alignment vertical="top" wrapText="1"/>
    </xf>
    <xf numFmtId="0" fontId="9" fillId="54" borderId="19" xfId="0" applyFont="1" applyFill="1" applyBorder="1" applyAlignment="1">
      <alignment vertical="top" wrapText="1"/>
    </xf>
    <xf numFmtId="165" fontId="9" fillId="54" borderId="22" xfId="0" applyNumberFormat="1" applyFont="1" applyFill="1" applyBorder="1" applyAlignment="1">
      <alignment wrapText="1"/>
    </xf>
    <xf numFmtId="197" fontId="9" fillId="54" borderId="19" xfId="0" applyNumberFormat="1" applyFont="1" applyFill="1" applyBorder="1" applyAlignment="1">
      <alignment wrapText="1"/>
    </xf>
    <xf numFmtId="197" fontId="17" fillId="54" borderId="22" xfId="1216" applyNumberFormat="1" applyFont="1" applyFill="1" applyBorder="1" applyAlignment="1">
      <alignment horizontal="right" wrapText="1"/>
    </xf>
    <xf numFmtId="3" fontId="9" fillId="54" borderId="19" xfId="0" applyNumberFormat="1" applyFont="1" applyFill="1" applyBorder="1" applyAlignment="1">
      <alignment wrapText="1"/>
    </xf>
    <xf numFmtId="164" fontId="9" fillId="54" borderId="19" xfId="0" applyNumberFormat="1" applyFont="1" applyFill="1" applyBorder="1" applyAlignment="1">
      <alignment wrapText="1"/>
    </xf>
    <xf numFmtId="173" fontId="17" fillId="54" borderId="20" xfId="1216" applyNumberFormat="1" applyFont="1" applyFill="1" applyBorder="1" applyAlignment="1">
      <alignment horizontal="right" wrapText="1"/>
    </xf>
    <xf numFmtId="0" fontId="10" fillId="54" borderId="23" xfId="0" applyFont="1" applyFill="1" applyBorder="1" applyAlignment="1">
      <alignment vertical="top" wrapText="1"/>
    </xf>
    <xf numFmtId="0" fontId="9" fillId="54" borderId="23" xfId="0" applyFont="1" applyFill="1" applyBorder="1" applyAlignment="1">
      <alignment vertical="top" wrapText="1"/>
    </xf>
    <xf numFmtId="0" fontId="9" fillId="54" borderId="20" xfId="0" applyFont="1" applyFill="1" applyBorder="1" applyAlignment="1">
      <alignment vertical="top" wrapText="1"/>
    </xf>
    <xf numFmtId="0" fontId="9" fillId="54" borderId="22" xfId="0" applyFont="1" applyFill="1" applyBorder="1" applyAlignment="1">
      <alignment vertical="top" wrapText="1"/>
    </xf>
    <xf numFmtId="165" fontId="9" fillId="54" borderId="17" xfId="0" applyNumberFormat="1" applyFont="1" applyFill="1" applyBorder="1" applyAlignment="1">
      <alignment wrapText="1"/>
    </xf>
    <xf numFmtId="198" fontId="9" fillId="54" borderId="17" xfId="0" applyNumberFormat="1" applyFont="1" applyFill="1" applyBorder="1" applyAlignment="1">
      <alignment wrapText="1"/>
    </xf>
    <xf numFmtId="197" fontId="9" fillId="54" borderId="17" xfId="0" applyNumberFormat="1" applyFont="1" applyFill="1" applyBorder="1" applyAlignment="1">
      <alignment wrapText="1"/>
    </xf>
    <xf numFmtId="164" fontId="9" fillId="54" borderId="26" xfId="0" applyNumberFormat="1" applyFont="1" applyFill="1" applyBorder="1" applyAlignment="1">
      <alignment wrapText="1"/>
    </xf>
    <xf numFmtId="173" fontId="9" fillId="54" borderId="25" xfId="0" applyNumberFormat="1" applyFont="1" applyFill="1" applyBorder="1" applyAlignment="1">
      <alignment wrapText="1"/>
    </xf>
    <xf numFmtId="0" fontId="9" fillId="54" borderId="6" xfId="0" applyFont="1" applyFill="1" applyBorder="1" applyAlignment="1">
      <alignment horizontal="centerContinuous" vertical="top"/>
    </xf>
    <xf numFmtId="197" fontId="9" fillId="54" borderId="6" xfId="0" applyNumberFormat="1" applyFont="1" applyFill="1" applyBorder="1" applyAlignment="1">
      <alignment horizontal="centerContinuous" vertical="top"/>
    </xf>
    <xf numFmtId="0" fontId="9" fillId="54" borderId="26" xfId="0" applyFont="1" applyFill="1" applyBorder="1" applyAlignment="1">
      <alignment horizontal="centerContinuous" vertical="top"/>
    </xf>
    <xf numFmtId="197" fontId="9" fillId="54" borderId="25" xfId="0" applyNumberFormat="1" applyFont="1" applyFill="1" applyBorder="1" applyAlignment="1">
      <alignment wrapText="1"/>
    </xf>
    <xf numFmtId="3" fontId="9" fillId="54" borderId="25" xfId="0" applyNumberFormat="1" applyFont="1" applyFill="1" applyBorder="1" applyAlignment="1">
      <alignment wrapText="1"/>
    </xf>
    <xf numFmtId="198" fontId="17" fillId="54" borderId="48" xfId="1216" applyNumberFormat="1" applyFont="1" applyFill="1" applyBorder="1" applyAlignment="1">
      <alignment horizontal="right" wrapText="1"/>
    </xf>
    <xf numFmtId="198" fontId="9" fillId="54" borderId="19" xfId="0" applyNumberFormat="1" applyFont="1" applyFill="1" applyBorder="1" applyAlignment="1">
      <alignment wrapText="1"/>
    </xf>
    <xf numFmtId="167" fontId="9" fillId="54" borderId="0" xfId="0" applyNumberFormat="1" applyFont="1" applyFill="1"/>
    <xf numFmtId="0" fontId="178" fillId="54" borderId="0" xfId="0" applyFont="1" applyFill="1" applyAlignment="1">
      <alignment horizontal="right"/>
    </xf>
    <xf numFmtId="0" fontId="11" fillId="54" borderId="0" xfId="1176" applyFont="1" applyFill="1"/>
    <xf numFmtId="0" fontId="178" fillId="54" borderId="0" xfId="0" applyFont="1" applyFill="1" applyAlignment="1">
      <alignment horizontal="justify"/>
    </xf>
    <xf numFmtId="0" fontId="178" fillId="54" borderId="0" xfId="0" applyFont="1" applyFill="1" applyAlignment="1">
      <alignment horizontal="center"/>
    </xf>
    <xf numFmtId="0" fontId="178" fillId="54" borderId="17" xfId="0" applyNumberFormat="1" applyFont="1" applyFill="1" applyBorder="1" applyAlignment="1">
      <alignment horizontal="center" vertical="center" wrapText="1"/>
    </xf>
    <xf numFmtId="168" fontId="11" fillId="54" borderId="0" xfId="1176" applyNumberFormat="1" applyFont="1" applyFill="1"/>
    <xf numFmtId="0" fontId="178" fillId="54" borderId="17" xfId="0" applyNumberFormat="1" applyFont="1" applyFill="1" applyBorder="1" applyAlignment="1">
      <alignment horizontal="center" wrapText="1"/>
    </xf>
    <xf numFmtId="0" fontId="178" fillId="54" borderId="17" xfId="0" applyNumberFormat="1" applyFont="1" applyFill="1" applyBorder="1" applyAlignment="1">
      <alignment horizontal="center"/>
    </xf>
    <xf numFmtId="0" fontId="178" fillId="54" borderId="17" xfId="0" applyFont="1" applyFill="1" applyBorder="1" applyAlignment="1">
      <alignment horizontal="center"/>
    </xf>
    <xf numFmtId="0" fontId="178" fillId="54" borderId="22" xfId="0" applyFont="1" applyFill="1" applyBorder="1" applyAlignment="1">
      <alignment horizontal="center" vertical="center" wrapText="1"/>
    </xf>
    <xf numFmtId="0" fontId="178" fillId="54" borderId="22" xfId="0" applyNumberFormat="1" applyFont="1" applyFill="1" applyBorder="1" applyAlignment="1">
      <alignment horizontal="center" vertical="center" wrapText="1"/>
    </xf>
    <xf numFmtId="0" fontId="178" fillId="54" borderId="17" xfId="0" applyFont="1" applyFill="1" applyBorder="1" applyAlignment="1">
      <alignment horizontal="justify"/>
    </xf>
    <xf numFmtId="0" fontId="178" fillId="54" borderId="17" xfId="0" applyFont="1" applyFill="1" applyBorder="1" applyAlignment="1">
      <alignment wrapText="1"/>
    </xf>
    <xf numFmtId="0" fontId="178" fillId="54" borderId="17" xfId="0" applyNumberFormat="1" applyFont="1" applyFill="1" applyBorder="1" applyAlignment="1">
      <alignment wrapText="1"/>
    </xf>
    <xf numFmtId="0" fontId="178" fillId="54" borderId="17" xfId="0" applyNumberFormat="1" applyFont="1" applyFill="1" applyBorder="1" applyAlignment="1"/>
    <xf numFmtId="0" fontId="178" fillId="54" borderId="17" xfId="0" applyFont="1" applyFill="1" applyBorder="1"/>
    <xf numFmtId="0" fontId="95" fillId="54" borderId="0" xfId="1176" applyFont="1" applyFill="1"/>
    <xf numFmtId="0" fontId="178" fillId="54" borderId="17" xfId="0" applyFont="1" applyFill="1" applyBorder="1" applyAlignment="1">
      <alignment horizontal="left" wrapText="1"/>
    </xf>
    <xf numFmtId="171" fontId="178" fillId="54" borderId="17" xfId="0" applyNumberFormat="1" applyFont="1" applyFill="1" applyBorder="1" applyAlignment="1">
      <alignment horizontal="center"/>
    </xf>
    <xf numFmtId="4" fontId="178" fillId="54" borderId="17" xfId="0" applyNumberFormat="1" applyFont="1" applyFill="1" applyBorder="1" applyAlignment="1">
      <alignment horizontal="center"/>
    </xf>
    <xf numFmtId="169" fontId="178" fillId="54" borderId="17" xfId="0" applyNumberFormat="1" applyFont="1" applyFill="1" applyBorder="1" applyAlignment="1">
      <alignment horizontal="center"/>
    </xf>
    <xf numFmtId="4" fontId="178" fillId="54" borderId="17" xfId="1211" applyNumberFormat="1" applyFont="1" applyFill="1" applyBorder="1" applyAlignment="1">
      <alignment horizontal="center"/>
    </xf>
    <xf numFmtId="171" fontId="178" fillId="54" borderId="17" xfId="1211" applyNumberFormat="1" applyFont="1" applyFill="1" applyBorder="1" applyAlignment="1">
      <alignment horizontal="center"/>
    </xf>
    <xf numFmtId="170" fontId="178" fillId="54" borderId="17" xfId="0" applyNumberFormat="1" applyFont="1" applyFill="1" applyBorder="1" applyAlignment="1">
      <alignment horizontal="center"/>
    </xf>
    <xf numFmtId="4" fontId="42" fillId="54" borderId="26" xfId="0" applyNumberFormat="1" applyFont="1" applyFill="1" applyBorder="1" applyAlignment="1">
      <alignment horizontal="center" wrapText="1"/>
    </xf>
    <xf numFmtId="4" fontId="178" fillId="54" borderId="17" xfId="0" applyNumberFormat="1" applyFont="1" applyFill="1" applyBorder="1" applyAlignment="1">
      <alignment horizontal="left"/>
    </xf>
    <xf numFmtId="0" fontId="11" fillId="54" borderId="26" xfId="1176" applyFont="1" applyFill="1" applyBorder="1" applyAlignment="1">
      <alignment horizontal="center"/>
    </xf>
    <xf numFmtId="4" fontId="178" fillId="54" borderId="26" xfId="0" applyNumberFormat="1" applyFont="1" applyFill="1" applyBorder="1" applyAlignment="1">
      <alignment horizontal="center"/>
    </xf>
    <xf numFmtId="0" fontId="95" fillId="54" borderId="0" xfId="1176" applyFont="1" applyFill="1" applyAlignment="1">
      <alignment horizontal="left"/>
    </xf>
    <xf numFmtId="0" fontId="95" fillId="54" borderId="0" xfId="1176" applyFont="1" applyFill="1" applyAlignment="1">
      <alignment horizontal="center"/>
    </xf>
    <xf numFmtId="0" fontId="11" fillId="54" borderId="23" xfId="1176" applyFont="1" applyFill="1" applyBorder="1" applyAlignment="1">
      <alignment horizontal="center"/>
    </xf>
    <xf numFmtId="0" fontId="337" fillId="54" borderId="29" xfId="0" applyFont="1" applyFill="1" applyBorder="1" applyAlignment="1">
      <alignment horizontal="right"/>
    </xf>
    <xf numFmtId="0" fontId="113" fillId="54" borderId="27" xfId="1176" applyFont="1" applyFill="1" applyBorder="1" applyAlignment="1">
      <alignment horizontal="center"/>
    </xf>
    <xf numFmtId="4" fontId="77" fillId="54" borderId="0" xfId="0" applyNumberFormat="1" applyFont="1" applyFill="1"/>
    <xf numFmtId="0" fontId="11" fillId="54" borderId="22" xfId="1176" applyFont="1" applyFill="1" applyBorder="1" applyAlignment="1">
      <alignment horizontal="center"/>
    </xf>
    <xf numFmtId="0" fontId="11" fillId="54" borderId="24" xfId="1176" applyFont="1" applyFill="1" applyBorder="1" applyAlignment="1">
      <alignment horizontal="center"/>
    </xf>
    <xf numFmtId="0" fontId="11" fillId="54" borderId="25" xfId="1176" applyFont="1" applyFill="1" applyBorder="1" applyAlignment="1">
      <alignment horizontal="center"/>
    </xf>
    <xf numFmtId="0" fontId="11" fillId="54" borderId="0" xfId="1176" applyFont="1" applyFill="1" applyAlignment="1">
      <alignment horizontal="justify"/>
    </xf>
    <xf numFmtId="169" fontId="11" fillId="54" borderId="0" xfId="1176" applyNumberFormat="1" applyFont="1" applyFill="1"/>
    <xf numFmtId="0" fontId="58" fillId="54" borderId="0" xfId="1181" applyFont="1" applyFill="1"/>
    <xf numFmtId="0" fontId="58" fillId="54" borderId="0" xfId="1176" applyFont="1" applyFill="1"/>
    <xf numFmtId="0" fontId="28" fillId="54" borderId="0" xfId="1176" applyFont="1" applyFill="1"/>
    <xf numFmtId="170" fontId="11" fillId="54" borderId="0" xfId="1176" applyNumberFormat="1" applyFont="1" applyFill="1"/>
    <xf numFmtId="0" fontId="9" fillId="54" borderId="0" xfId="1210" applyFont="1" applyFill="1"/>
    <xf numFmtId="10" fontId="68" fillId="54" borderId="0" xfId="1210" applyNumberFormat="1" applyFont="1" applyFill="1"/>
    <xf numFmtId="0" fontId="356" fillId="54" borderId="0" xfId="1210" applyFont="1" applyFill="1" applyAlignment="1">
      <alignment horizontal="centerContinuous" wrapText="1"/>
    </xf>
    <xf numFmtId="0" fontId="357" fillId="54" borderId="0" xfId="1210" applyFont="1" applyFill="1" applyAlignment="1">
      <alignment horizontal="centerContinuous"/>
    </xf>
    <xf numFmtId="10" fontId="384" fillId="54" borderId="0" xfId="1210" applyNumberFormat="1" applyFont="1" applyFill="1" applyAlignment="1">
      <alignment horizontal="centerContinuous"/>
    </xf>
    <xf numFmtId="0" fontId="357" fillId="54" borderId="0" xfId="1210" applyFont="1" applyFill="1"/>
    <xf numFmtId="0" fontId="55" fillId="54" borderId="0" xfId="1210" applyFont="1" applyFill="1" applyAlignment="1">
      <alignment horizontal="center" wrapText="1"/>
    </xf>
    <xf numFmtId="0" fontId="11" fillId="54" borderId="16" xfId="1210" applyFont="1" applyFill="1" applyBorder="1" applyAlignment="1">
      <alignment horizontal="center" vertical="center"/>
    </xf>
    <xf numFmtId="0" fontId="60" fillId="54" borderId="46" xfId="1210" applyFont="1" applyFill="1" applyBorder="1" applyAlignment="1">
      <alignment horizontal="center" vertical="top" wrapText="1"/>
    </xf>
    <xf numFmtId="0" fontId="60" fillId="54" borderId="47" xfId="1210" applyFont="1" applyFill="1" applyBorder="1" applyAlignment="1">
      <alignment horizontal="center" vertical="top" wrapText="1"/>
    </xf>
    <xf numFmtId="0" fontId="11" fillId="54" borderId="0" xfId="1210" applyFont="1" applyFill="1"/>
    <xf numFmtId="0" fontId="11" fillId="54" borderId="31" xfId="1210" applyFont="1" applyFill="1" applyBorder="1" applyAlignment="1">
      <alignment horizontal="center" vertical="center"/>
    </xf>
    <xf numFmtId="220" fontId="14" fillId="54" borderId="34" xfId="1210" applyNumberFormat="1" applyFont="1" applyFill="1" applyBorder="1" applyAlignment="1">
      <alignment horizontal="center" vertical="top" wrapText="1"/>
    </xf>
    <xf numFmtId="0" fontId="11" fillId="54" borderId="32" xfId="1210" applyFont="1" applyFill="1" applyBorder="1" applyAlignment="1">
      <alignment horizontal="right"/>
    </xf>
    <xf numFmtId="0" fontId="11" fillId="54" borderId="33" xfId="1210" applyFont="1" applyFill="1" applyBorder="1" applyAlignment="1">
      <alignment horizontal="left" wrapText="1"/>
    </xf>
    <xf numFmtId="173" fontId="9" fillId="54" borderId="34" xfId="1216" applyNumberFormat="1" applyFont="1" applyFill="1" applyBorder="1" applyAlignment="1">
      <alignment horizontal="right" wrapText="1"/>
    </xf>
    <xf numFmtId="0" fontId="68" fillId="54" borderId="0" xfId="1210" applyFont="1" applyFill="1"/>
    <xf numFmtId="4" fontId="68" fillId="54" borderId="0" xfId="1210" applyNumberFormat="1" applyFont="1" applyFill="1"/>
    <xf numFmtId="0" fontId="11" fillId="54" borderId="33" xfId="1210" applyFont="1" applyFill="1" applyBorder="1" applyAlignment="1">
      <alignment horizontal="left"/>
    </xf>
    <xf numFmtId="0" fontId="60" fillId="54" borderId="32" xfId="1210" applyFont="1" applyFill="1" applyBorder="1" applyAlignment="1">
      <alignment horizontal="right"/>
    </xf>
    <xf numFmtId="170" fontId="60" fillId="54" borderId="17" xfId="1210" applyNumberFormat="1" applyFont="1" applyFill="1" applyBorder="1" applyAlignment="1">
      <alignment horizontal="right"/>
    </xf>
    <xf numFmtId="170" fontId="11" fillId="54" borderId="34" xfId="1210" applyNumberFormat="1" applyFont="1" applyFill="1" applyBorder="1" applyAlignment="1">
      <alignment horizontal="right"/>
    </xf>
    <xf numFmtId="173" fontId="11" fillId="54" borderId="17" xfId="1216" applyNumberFormat="1" applyFont="1" applyFill="1" applyBorder="1" applyAlignment="1">
      <alignment horizontal="right" wrapText="1"/>
    </xf>
    <xf numFmtId="173" fontId="11" fillId="54" borderId="34" xfId="1216" applyNumberFormat="1" applyFont="1" applyFill="1" applyBorder="1" applyAlignment="1">
      <alignment horizontal="right" wrapText="1"/>
    </xf>
    <xf numFmtId="170" fontId="60" fillId="54" borderId="34" xfId="1210" applyNumberFormat="1" applyFont="1" applyFill="1" applyBorder="1" applyAlignment="1">
      <alignment horizontal="right"/>
    </xf>
    <xf numFmtId="0" fontId="60" fillId="54" borderId="33" xfId="1210" applyFont="1" applyFill="1" applyBorder="1" applyAlignment="1">
      <alignment horizontal="left" wrapText="1"/>
    </xf>
    <xf numFmtId="170" fontId="60" fillId="54" borderId="17" xfId="1210" applyNumberFormat="1" applyFont="1" applyFill="1" applyBorder="1" applyAlignment="1">
      <alignment horizontal="right" wrapText="1"/>
    </xf>
    <xf numFmtId="0" fontId="60" fillId="54" borderId="0" xfId="1210" applyFont="1" applyFill="1"/>
    <xf numFmtId="3" fontId="68" fillId="54" borderId="0" xfId="1210" applyNumberFormat="1" applyFont="1" applyFill="1"/>
    <xf numFmtId="170" fontId="68" fillId="54" borderId="0" xfId="1210" applyNumberFormat="1" applyFont="1" applyFill="1"/>
    <xf numFmtId="0" fontId="11" fillId="54" borderId="35" xfId="1210" applyFont="1" applyFill="1" applyBorder="1"/>
    <xf numFmtId="0" fontId="58" fillId="54" borderId="36" xfId="1210" applyFont="1" applyFill="1" applyBorder="1" applyAlignment="1">
      <alignment horizontal="left"/>
    </xf>
    <xf numFmtId="170" fontId="58" fillId="54" borderId="37" xfId="1210" applyNumberFormat="1" applyFont="1" applyFill="1" applyBorder="1" applyAlignment="1">
      <alignment horizontal="right" wrapText="1"/>
    </xf>
    <xf numFmtId="170" fontId="58" fillId="54" borderId="38" xfId="1210" applyNumberFormat="1" applyFont="1" applyFill="1" applyBorder="1" applyAlignment="1">
      <alignment horizontal="right" wrapText="1"/>
    </xf>
    <xf numFmtId="0" fontId="11" fillId="54" borderId="0" xfId="1210" applyFont="1" applyFill="1" applyBorder="1"/>
    <xf numFmtId="0" fontId="58" fillId="54" borderId="0" xfId="1210" applyFont="1" applyFill="1" applyBorder="1" applyAlignment="1">
      <alignment horizontal="left"/>
    </xf>
    <xf numFmtId="170" fontId="58" fillId="54" borderId="0" xfId="1210" applyNumberFormat="1" applyFont="1" applyFill="1" applyBorder="1" applyAlignment="1">
      <alignment horizontal="right" wrapText="1"/>
    </xf>
    <xf numFmtId="0" fontId="60" fillId="54" borderId="0" xfId="0" applyFont="1" applyFill="1"/>
    <xf numFmtId="164" fontId="60" fillId="54" borderId="0" xfId="0" applyNumberFormat="1" applyFont="1" applyFill="1"/>
    <xf numFmtId="0" fontId="56" fillId="54" borderId="0" xfId="1176" applyFont="1" applyFill="1" applyAlignment="1">
      <alignment vertical="center" wrapText="1"/>
    </xf>
    <xf numFmtId="170" fontId="14" fillId="54" borderId="0" xfId="0" applyNumberFormat="1" applyFont="1" applyFill="1" applyAlignment="1">
      <alignment horizontal="center"/>
    </xf>
    <xf numFmtId="0" fontId="14" fillId="54" borderId="0" xfId="0" applyFont="1" applyFill="1"/>
    <xf numFmtId="0" fontId="60" fillId="54" borderId="0" xfId="0" applyFont="1" applyFill="1" applyAlignment="1">
      <alignment horizontal="right"/>
    </xf>
    <xf numFmtId="0" fontId="60" fillId="54" borderId="0" xfId="0" applyFont="1" applyFill="1" applyAlignment="1">
      <alignment horizontal="left"/>
    </xf>
    <xf numFmtId="175" fontId="68" fillId="54" borderId="0" xfId="1210" applyNumberFormat="1" applyFont="1" applyFill="1"/>
    <xf numFmtId="170" fontId="60" fillId="54" borderId="0" xfId="0" applyNumberFormat="1" applyFont="1" applyFill="1"/>
    <xf numFmtId="220" fontId="58" fillId="54" borderId="0" xfId="0" applyNumberFormat="1" applyFont="1" applyFill="1" applyAlignment="1">
      <alignment horizontal="left"/>
    </xf>
    <xf numFmtId="10" fontId="68" fillId="54" borderId="0" xfId="0" applyNumberFormat="1" applyFont="1" applyFill="1"/>
    <xf numFmtId="49" fontId="69" fillId="54" borderId="0" xfId="1215" applyNumberFormat="1" applyFont="1" applyFill="1" applyBorder="1" applyAlignment="1">
      <alignment horizontal="left"/>
    </xf>
    <xf numFmtId="10" fontId="58" fillId="54" borderId="0" xfId="1210" applyNumberFormat="1" applyFont="1" applyFill="1"/>
    <xf numFmtId="220" fontId="14" fillId="54" borderId="17" xfId="1210" applyNumberFormat="1" applyFont="1" applyFill="1" applyBorder="1" applyAlignment="1">
      <alignment horizontal="center" vertical="top" wrapText="1"/>
    </xf>
    <xf numFmtId="0" fontId="385" fillId="54" borderId="22" xfId="0" applyFont="1" applyFill="1" applyBorder="1"/>
    <xf numFmtId="0" fontId="161" fillId="63" borderId="0" xfId="0" applyFont="1" applyFill="1"/>
    <xf numFmtId="0" fontId="149" fillId="58" borderId="0" xfId="0" applyFont="1" applyFill="1" applyAlignment="1">
      <alignment horizontal="center"/>
    </xf>
    <xf numFmtId="0" fontId="149" fillId="0" borderId="0" xfId="0" applyFont="1" applyAlignment="1">
      <alignment horizontal="center"/>
    </xf>
    <xf numFmtId="0" fontId="161" fillId="46" borderId="0" xfId="1194" applyFont="1" applyFill="1" applyBorder="1" applyAlignment="1" applyProtection="1">
      <alignment horizontal="left" vertical="center"/>
    </xf>
    <xf numFmtId="49" fontId="178" fillId="0" borderId="92" xfId="1025" applyNumberFormat="1" applyFont="1" applyBorder="1" applyAlignment="1" applyProtection="1">
      <alignment horizontal="center" vertical="top" wrapText="1"/>
    </xf>
    <xf numFmtId="0" fontId="0" fillId="54" borderId="93" xfId="0" applyFont="1" applyFill="1" applyBorder="1" applyAlignment="1">
      <alignment horizontal="center"/>
    </xf>
    <xf numFmtId="0" fontId="0" fillId="54" borderId="12" xfId="0" applyFont="1" applyFill="1" applyBorder="1" applyAlignment="1">
      <alignment horizontal="center"/>
    </xf>
    <xf numFmtId="0" fontId="122" fillId="54" borderId="12" xfId="0" applyFont="1" applyFill="1" applyBorder="1" applyAlignment="1">
      <alignment horizontal="center"/>
    </xf>
    <xf numFmtId="173" fontId="0" fillId="54" borderId="0" xfId="0" applyNumberFormat="1" applyFont="1" applyFill="1" applyAlignment="1">
      <alignment horizontal="center"/>
    </xf>
    <xf numFmtId="49" fontId="178" fillId="0" borderId="92" xfId="1025" applyNumberFormat="1" applyFont="1" applyBorder="1" applyAlignment="1" applyProtection="1">
      <alignment horizontal="center" vertical="center" wrapText="1"/>
    </xf>
    <xf numFmtId="0" fontId="122" fillId="54" borderId="165" xfId="0" applyFont="1" applyFill="1" applyBorder="1" applyAlignment="1">
      <alignment horizontal="center"/>
    </xf>
    <xf numFmtId="0" fontId="122" fillId="54" borderId="164" xfId="0" applyFont="1" applyFill="1" applyBorder="1" applyAlignment="1">
      <alignment horizontal="center"/>
    </xf>
    <xf numFmtId="4" fontId="77" fillId="54" borderId="0" xfId="0" applyNumberFormat="1" applyFont="1" applyFill="1" applyAlignment="1">
      <alignment horizontal="center"/>
    </xf>
    <xf numFmtId="164" fontId="46" fillId="60" borderId="0" xfId="0" applyNumberFormat="1" applyFont="1" applyFill="1"/>
    <xf numFmtId="0" fontId="182" fillId="54" borderId="17" xfId="0" applyFont="1" applyFill="1" applyBorder="1" applyAlignment="1">
      <alignment horizontal="left" vertical="center" wrapText="1"/>
    </xf>
    <xf numFmtId="0" fontId="182" fillId="54" borderId="17" xfId="1025" applyFont="1" applyFill="1" applyBorder="1" applyAlignment="1" applyProtection="1">
      <alignment horizontal="left" vertical="center"/>
    </xf>
    <xf numFmtId="0" fontId="161" fillId="54" borderId="17" xfId="1430" applyFont="1" applyFill="1" applyBorder="1" applyAlignment="1" applyProtection="1">
      <alignment horizontal="center" vertical="center"/>
    </xf>
    <xf numFmtId="49" fontId="178" fillId="54" borderId="94" xfId="1195" applyNumberFormat="1" applyFont="1" applyFill="1" applyBorder="1" applyAlignment="1" applyProtection="1">
      <alignment horizontal="center" vertical="center"/>
    </xf>
    <xf numFmtId="49" fontId="178" fillId="54" borderId="11" xfId="933" applyNumberFormat="1" applyFont="1" applyFill="1" applyBorder="1" applyAlignment="1" applyProtection="1">
      <alignment horizontal="left" vertical="center" wrapText="1"/>
    </xf>
    <xf numFmtId="0" fontId="178" fillId="54" borderId="11" xfId="1195" applyFont="1" applyFill="1" applyBorder="1" applyAlignment="1" applyProtection="1">
      <alignment horizontal="center" vertical="center"/>
    </xf>
    <xf numFmtId="10" fontId="122" fillId="54" borderId="102" xfId="0" applyNumberFormat="1" applyFont="1" applyFill="1" applyBorder="1"/>
    <xf numFmtId="10" fontId="178" fillId="54" borderId="11" xfId="1319" applyNumberFormat="1" applyFont="1" applyFill="1" applyBorder="1" applyAlignment="1" applyProtection="1">
      <alignment horizontal="right" vertical="center"/>
      <protection locked="0"/>
    </xf>
    <xf numFmtId="10" fontId="122" fillId="54" borderId="11" xfId="0" applyNumberFormat="1" applyFont="1" applyFill="1" applyBorder="1"/>
    <xf numFmtId="10" fontId="122" fillId="54" borderId="158" xfId="0" applyNumberFormat="1" applyFont="1" applyFill="1" applyBorder="1"/>
    <xf numFmtId="3" fontId="178" fillId="54" borderId="11" xfId="1319" applyNumberFormat="1" applyFont="1" applyFill="1" applyBorder="1" applyAlignment="1" applyProtection="1">
      <alignment horizontal="right" vertical="center"/>
      <protection locked="0"/>
    </xf>
    <xf numFmtId="4" fontId="178" fillId="54" borderId="11" xfId="1319" applyNumberFormat="1" applyFont="1" applyFill="1" applyBorder="1" applyAlignment="1" applyProtection="1">
      <alignment horizontal="right" vertical="center"/>
      <protection locked="0"/>
    </xf>
    <xf numFmtId="169" fontId="178" fillId="54" borderId="158" xfId="1319" applyNumberFormat="1" applyFont="1" applyFill="1" applyBorder="1" applyAlignment="1" applyProtection="1">
      <alignment horizontal="right" vertical="center"/>
      <protection locked="0"/>
    </xf>
    <xf numFmtId="172" fontId="178" fillId="54" borderId="11" xfId="1319" applyNumberFormat="1" applyFont="1" applyFill="1" applyBorder="1" applyAlignment="1" applyProtection="1">
      <alignment horizontal="right" vertical="center"/>
      <protection locked="0"/>
    </xf>
    <xf numFmtId="220" fontId="178" fillId="54" borderId="158" xfId="1319" applyNumberFormat="1" applyFont="1" applyFill="1" applyBorder="1" applyAlignment="1" applyProtection="1">
      <alignment horizontal="right" vertical="center"/>
      <protection locked="0"/>
    </xf>
    <xf numFmtId="0" fontId="178" fillId="54" borderId="11" xfId="1195" applyFont="1" applyFill="1" applyBorder="1" applyAlignment="1" applyProtection="1">
      <alignment horizontal="left" vertical="center"/>
    </xf>
    <xf numFmtId="0" fontId="178" fillId="54" borderId="11" xfId="1195" applyFont="1" applyFill="1" applyBorder="1" applyAlignment="1" applyProtection="1">
      <alignment horizontal="center" vertical="center" wrapText="1"/>
    </xf>
    <xf numFmtId="2" fontId="178" fillId="54" borderId="11" xfId="1319" applyNumberFormat="1" applyFont="1" applyFill="1" applyBorder="1" applyAlignment="1" applyProtection="1">
      <alignment horizontal="right" vertical="center"/>
      <protection locked="0"/>
    </xf>
    <xf numFmtId="2" fontId="178" fillId="54" borderId="158" xfId="1319" applyNumberFormat="1" applyFont="1" applyFill="1" applyBorder="1" applyAlignment="1" applyProtection="1">
      <alignment horizontal="right" vertical="center"/>
      <protection locked="0"/>
    </xf>
    <xf numFmtId="49" fontId="178" fillId="54" borderId="12" xfId="1195" applyNumberFormat="1" applyFont="1" applyFill="1" applyBorder="1" applyAlignment="1" applyProtection="1">
      <alignment horizontal="center" vertical="center"/>
    </xf>
    <xf numFmtId="168" fontId="122" fillId="54" borderId="102" xfId="0" applyNumberFormat="1" applyFont="1" applyFill="1" applyBorder="1"/>
    <xf numFmtId="168" fontId="122" fillId="54" borderId="11" xfId="0" applyNumberFormat="1" applyFont="1" applyFill="1" applyBorder="1"/>
    <xf numFmtId="167" fontId="122" fillId="54" borderId="11" xfId="0" applyNumberFormat="1" applyFont="1" applyFill="1" applyBorder="1"/>
    <xf numFmtId="167" fontId="122" fillId="54" borderId="158" xfId="0" applyNumberFormat="1" applyFont="1" applyFill="1" applyBorder="1"/>
    <xf numFmtId="0" fontId="178" fillId="54" borderId="17" xfId="0" applyFont="1" applyFill="1" applyBorder="1" applyAlignment="1">
      <alignment horizontal="center" vertical="distributed" wrapText="1"/>
    </xf>
    <xf numFmtId="0" fontId="178" fillId="54" borderId="17" xfId="1179" applyFont="1" applyFill="1" applyBorder="1" applyAlignment="1" applyProtection="1">
      <alignment horizontal="left" vertical="center" wrapText="1" indent="1"/>
    </xf>
    <xf numFmtId="0" fontId="178" fillId="54" borderId="17" xfId="1179" applyFont="1" applyFill="1" applyBorder="1" applyAlignment="1" applyProtection="1">
      <alignment horizontal="center" vertical="center" wrapText="1"/>
    </xf>
    <xf numFmtId="170" fontId="178" fillId="54" borderId="0" xfId="0" applyNumberFormat="1" applyFont="1" applyFill="1"/>
    <xf numFmtId="0" fontId="161" fillId="54" borderId="17" xfId="1179" applyFont="1" applyFill="1" applyBorder="1" applyAlignment="1" applyProtection="1">
      <alignment vertical="center" wrapText="1"/>
    </xf>
    <xf numFmtId="2" fontId="178" fillId="54" borderId="0" xfId="0" applyNumberFormat="1" applyFont="1" applyFill="1"/>
    <xf numFmtId="10" fontId="178" fillId="54" borderId="0" xfId="0" applyNumberFormat="1" applyFont="1" applyFill="1"/>
    <xf numFmtId="0" fontId="182" fillId="54" borderId="17" xfId="0" applyFont="1" applyFill="1" applyBorder="1" applyAlignment="1">
      <alignment horizontal="center" vertical="center" wrapText="1"/>
    </xf>
    <xf numFmtId="0" fontId="182" fillId="54" borderId="17" xfId="1179" applyFont="1" applyFill="1" applyBorder="1" applyAlignment="1" applyProtection="1">
      <alignment horizontal="left" vertical="center" wrapText="1" indent="3"/>
    </xf>
    <xf numFmtId="3" fontId="182" fillId="54" borderId="17" xfId="1179" applyNumberFormat="1" applyFont="1" applyFill="1" applyBorder="1" applyAlignment="1" applyProtection="1">
      <alignment horizontal="left" vertical="center" wrapText="1" indent="3"/>
    </xf>
    <xf numFmtId="173" fontId="161" fillId="54" borderId="17" xfId="1216" applyNumberFormat="1" applyFont="1" applyFill="1" applyBorder="1" applyAlignment="1">
      <alignment horizontal="right"/>
    </xf>
    <xf numFmtId="0" fontId="161" fillId="54" borderId="17" xfId="1179" applyFont="1" applyFill="1" applyBorder="1" applyAlignment="1" applyProtection="1">
      <alignment horizontal="left" vertical="center" wrapText="1" indent="1"/>
    </xf>
    <xf numFmtId="170" fontId="161" fillId="54" borderId="161" xfId="0" applyNumberFormat="1" applyFont="1" applyFill="1" applyBorder="1"/>
    <xf numFmtId="14" fontId="178" fillId="54" borderId="17" xfId="0" applyNumberFormat="1" applyFont="1" applyFill="1" applyBorder="1" applyAlignment="1">
      <alignment horizontal="center" vertical="distributed" wrapText="1"/>
    </xf>
    <xf numFmtId="194" fontId="178" fillId="54" borderId="17" xfId="1216" applyNumberFormat="1" applyFont="1" applyFill="1" applyBorder="1" applyAlignment="1">
      <alignment horizontal="right"/>
    </xf>
    <xf numFmtId="4" fontId="178" fillId="54" borderId="0" xfId="0" applyNumberFormat="1" applyFont="1" applyFill="1"/>
    <xf numFmtId="16" fontId="161" fillId="54" borderId="17" xfId="0" applyNumberFormat="1" applyFont="1" applyFill="1" applyBorder="1" applyAlignment="1">
      <alignment horizontal="center" vertical="center" wrapText="1"/>
    </xf>
    <xf numFmtId="0" fontId="161" fillId="54" borderId="17" xfId="1179" applyFont="1" applyFill="1" applyBorder="1" applyAlignment="1" applyProtection="1">
      <alignment vertical="top" wrapText="1"/>
    </xf>
    <xf numFmtId="194" fontId="161" fillId="54" borderId="17" xfId="0" applyNumberFormat="1" applyFont="1" applyFill="1" applyBorder="1"/>
    <xf numFmtId="194" fontId="178" fillId="54" borderId="17" xfId="0" applyNumberFormat="1" applyFont="1" applyFill="1" applyBorder="1"/>
    <xf numFmtId="0" fontId="182" fillId="54" borderId="0" xfId="0" applyFont="1" applyFill="1"/>
    <xf numFmtId="0" fontId="161" fillId="54" borderId="97" xfId="1195" applyFont="1" applyFill="1" applyBorder="1" applyAlignment="1" applyProtection="1">
      <alignment horizontal="left" vertical="center"/>
    </xf>
    <xf numFmtId="0" fontId="161" fillId="54" borderId="98" xfId="1195" applyFont="1" applyFill="1" applyBorder="1" applyAlignment="1" applyProtection="1">
      <alignment horizontal="left" vertical="center"/>
    </xf>
    <xf numFmtId="0" fontId="161" fillId="54" borderId="99" xfId="1195" applyFont="1" applyFill="1" applyBorder="1" applyAlignment="1" applyProtection="1">
      <alignment horizontal="left" vertical="center"/>
    </xf>
    <xf numFmtId="164" fontId="46" fillId="54" borderId="0" xfId="0" applyNumberFormat="1" applyFont="1" applyFill="1"/>
    <xf numFmtId="169" fontId="178" fillId="54" borderId="0" xfId="0" applyNumberFormat="1" applyFont="1" applyFill="1"/>
    <xf numFmtId="2" fontId="161" fillId="54" borderId="0" xfId="0" applyNumberFormat="1" applyFont="1" applyFill="1"/>
    <xf numFmtId="169" fontId="161" fillId="54" borderId="0" xfId="0" applyNumberFormat="1" applyFont="1" applyFill="1"/>
    <xf numFmtId="43" fontId="161" fillId="54" borderId="17" xfId="1427" applyFont="1" applyFill="1" applyBorder="1" applyAlignment="1">
      <alignment vertical="center" wrapText="1"/>
    </xf>
    <xf numFmtId="170" fontId="9" fillId="54" borderId="0" xfId="0" applyNumberFormat="1" applyFont="1" applyFill="1" applyAlignment="1">
      <alignment horizontal="center"/>
    </xf>
    <xf numFmtId="0" fontId="9" fillId="54" borderId="17" xfId="0" applyFont="1" applyFill="1" applyBorder="1" applyAlignment="1">
      <alignment horizontal="center" vertical="top" wrapText="1"/>
    </xf>
    <xf numFmtId="0" fontId="9" fillId="54" borderId="22" xfId="0" applyFont="1" applyFill="1" applyBorder="1" applyAlignment="1">
      <alignment horizontal="center" vertical="top" wrapText="1"/>
    </xf>
    <xf numFmtId="170" fontId="9" fillId="54" borderId="17" xfId="0" applyNumberFormat="1" applyFont="1" applyFill="1" applyBorder="1" applyAlignment="1"/>
    <xf numFmtId="164" fontId="68" fillId="54" borderId="0" xfId="0" applyNumberFormat="1" applyFont="1" applyFill="1"/>
    <xf numFmtId="2" fontId="15" fillId="54" borderId="0" xfId="0" applyNumberFormat="1" applyFont="1" applyFill="1"/>
    <xf numFmtId="170" fontId="68" fillId="54" borderId="0" xfId="0" applyNumberFormat="1" applyFont="1" applyFill="1"/>
    <xf numFmtId="170" fontId="9" fillId="54" borderId="0" xfId="0" applyNumberFormat="1" applyFont="1" applyFill="1"/>
    <xf numFmtId="170" fontId="68" fillId="54" borderId="0" xfId="0" applyNumberFormat="1" applyFont="1" applyFill="1" applyAlignment="1">
      <alignment wrapText="1"/>
    </xf>
    <xf numFmtId="172" fontId="9" fillId="54" borderId="0" xfId="0" applyNumberFormat="1" applyFont="1" applyFill="1"/>
    <xf numFmtId="0" fontId="17" fillId="54" borderId="25" xfId="0" applyFont="1" applyFill="1" applyBorder="1" applyAlignment="1">
      <alignment vertical="top" wrapText="1"/>
    </xf>
    <xf numFmtId="0" fontId="9" fillId="54" borderId="26" xfId="0" applyFont="1" applyFill="1" applyBorder="1" applyAlignment="1">
      <alignment vertical="top" wrapText="1"/>
    </xf>
    <xf numFmtId="170" fontId="9" fillId="54" borderId="26" xfId="0" applyNumberFormat="1" applyFont="1" applyFill="1" applyBorder="1" applyAlignment="1">
      <alignment wrapText="1"/>
    </xf>
    <xf numFmtId="170" fontId="15" fillId="54" borderId="25" xfId="0" applyNumberFormat="1" applyFont="1" applyFill="1" applyBorder="1" applyAlignment="1">
      <alignment wrapText="1"/>
    </xf>
    <xf numFmtId="0" fontId="9" fillId="54" borderId="0" xfId="0" applyFont="1" applyFill="1" applyBorder="1" applyAlignment="1">
      <alignment vertical="top" wrapText="1"/>
    </xf>
    <xf numFmtId="0" fontId="17" fillId="54" borderId="0" xfId="0" applyFont="1" applyFill="1" applyBorder="1" applyAlignment="1">
      <alignment vertical="top" wrapText="1"/>
    </xf>
    <xf numFmtId="0" fontId="17" fillId="54" borderId="27" xfId="0" applyFont="1" applyFill="1" applyBorder="1" applyAlignment="1">
      <alignment horizontal="center" vertical="top" wrapText="1"/>
    </xf>
    <xf numFmtId="0" fontId="18" fillId="54" borderId="27" xfId="0" applyFont="1" applyFill="1" applyBorder="1" applyAlignment="1">
      <alignment horizontal="center" vertical="top" wrapText="1"/>
    </xf>
    <xf numFmtId="0" fontId="17" fillId="54" borderId="23" xfId="0" applyFont="1" applyFill="1" applyBorder="1" applyAlignment="1">
      <alignment horizontal="center" vertical="top" wrapText="1"/>
    </xf>
    <xf numFmtId="0" fontId="17" fillId="54" borderId="19" xfId="0" applyFont="1" applyFill="1" applyBorder="1" applyAlignment="1">
      <alignment horizontal="center" vertical="top" wrapText="1"/>
    </xf>
    <xf numFmtId="0" fontId="17" fillId="54" borderId="17" xfId="0" applyFont="1" applyFill="1" applyBorder="1" applyAlignment="1">
      <alignment horizontal="center" vertical="top" wrapText="1"/>
    </xf>
    <xf numFmtId="0" fontId="17" fillId="54" borderId="22" xfId="0" applyFont="1" applyFill="1" applyBorder="1" applyAlignment="1">
      <alignment vertical="top" wrapText="1"/>
    </xf>
    <xf numFmtId="170" fontId="17" fillId="54" borderId="25" xfId="0" applyNumberFormat="1" applyFont="1" applyFill="1" applyBorder="1" applyAlignment="1">
      <alignment wrapText="1"/>
    </xf>
    <xf numFmtId="164" fontId="17" fillId="54" borderId="25" xfId="0" applyNumberFormat="1" applyFont="1" applyFill="1" applyBorder="1" applyAlignment="1">
      <alignment wrapText="1"/>
    </xf>
    <xf numFmtId="164" fontId="17" fillId="54" borderId="0" xfId="0" applyNumberFormat="1" applyFont="1" applyFill="1"/>
    <xf numFmtId="2" fontId="17" fillId="54" borderId="0" xfId="0" applyNumberFormat="1" applyFont="1" applyFill="1"/>
    <xf numFmtId="164" fontId="68" fillId="54" borderId="0" xfId="0" applyNumberFormat="1" applyFont="1" applyFill="1" applyAlignment="1">
      <alignment horizontal="right"/>
    </xf>
    <xf numFmtId="170" fontId="68" fillId="54" borderId="0" xfId="0" applyNumberFormat="1" applyFont="1" applyFill="1" applyAlignment="1">
      <alignment horizontal="right"/>
    </xf>
    <xf numFmtId="170" fontId="17" fillId="54" borderId="0" xfId="0" applyNumberFormat="1" applyFont="1" applyFill="1"/>
    <xf numFmtId="170" fontId="15" fillId="54" borderId="0" xfId="0" applyNumberFormat="1" applyFont="1" applyFill="1"/>
    <xf numFmtId="173" fontId="17" fillId="54" borderId="0" xfId="0" applyNumberFormat="1" applyFont="1" applyFill="1"/>
    <xf numFmtId="164" fontId="68" fillId="54" borderId="0" xfId="0" applyNumberFormat="1" applyFont="1" applyFill="1" applyAlignment="1">
      <alignment horizontal="center"/>
    </xf>
    <xf numFmtId="0" fontId="17" fillId="54" borderId="20" xfId="0" applyFont="1" applyFill="1" applyBorder="1" applyAlignment="1">
      <alignment vertical="top" wrapText="1"/>
    </xf>
    <xf numFmtId="0" fontId="17" fillId="54" borderId="19" xfId="0" applyFont="1" applyFill="1" applyBorder="1" applyAlignment="1">
      <alignment vertical="top" wrapText="1"/>
    </xf>
    <xf numFmtId="170" fontId="17" fillId="54" borderId="19" xfId="0" applyNumberFormat="1" applyFont="1" applyFill="1" applyBorder="1" applyAlignment="1">
      <alignment wrapText="1"/>
    </xf>
    <xf numFmtId="0" fontId="17" fillId="54" borderId="17" xfId="0" applyFont="1" applyFill="1" applyBorder="1" applyAlignment="1">
      <alignment vertical="top" wrapText="1"/>
    </xf>
    <xf numFmtId="170" fontId="17" fillId="54" borderId="26" xfId="0" applyNumberFormat="1" applyFont="1" applyFill="1" applyBorder="1" applyAlignment="1">
      <alignment wrapText="1"/>
    </xf>
    <xf numFmtId="164" fontId="17" fillId="54" borderId="17" xfId="0" applyNumberFormat="1" applyFont="1" applyFill="1" applyBorder="1" applyAlignment="1">
      <alignment wrapText="1"/>
    </xf>
    <xf numFmtId="0" fontId="17" fillId="54" borderId="26" xfId="0" applyFont="1" applyFill="1" applyBorder="1" applyAlignment="1">
      <alignment vertical="top" wrapText="1"/>
    </xf>
    <xf numFmtId="170" fontId="25" fillId="54" borderId="26" xfId="0" applyNumberFormat="1" applyFont="1" applyFill="1" applyBorder="1" applyAlignment="1">
      <alignment wrapText="1"/>
    </xf>
    <xf numFmtId="168" fontId="17" fillId="54" borderId="26" xfId="0" applyNumberFormat="1" applyFont="1" applyFill="1" applyBorder="1" applyAlignment="1">
      <alignment wrapText="1"/>
    </xf>
    <xf numFmtId="0" fontId="17" fillId="54" borderId="25" xfId="0" applyFont="1" applyFill="1" applyBorder="1" applyAlignment="1">
      <alignment wrapText="1"/>
    </xf>
    <xf numFmtId="168" fontId="17" fillId="54" borderId="25" xfId="0" applyNumberFormat="1" applyFont="1" applyFill="1" applyBorder="1" applyAlignment="1">
      <alignment wrapText="1"/>
    </xf>
    <xf numFmtId="167" fontId="17" fillId="54" borderId="25" xfId="0" applyNumberFormat="1" applyFont="1" applyFill="1" applyBorder="1" applyAlignment="1">
      <alignment wrapText="1"/>
    </xf>
    <xf numFmtId="0" fontId="18" fillId="54" borderId="0" xfId="0" quotePrefix="1" applyFont="1" applyFill="1" applyAlignment="1">
      <alignment horizontal="left"/>
    </xf>
    <xf numFmtId="0" fontId="66" fillId="54" borderId="0" xfId="1218" applyFont="1" applyFill="1" applyBorder="1" applyAlignment="1">
      <alignment horizontal="centerContinuous" wrapText="1"/>
    </xf>
    <xf numFmtId="0" fontId="79" fillId="54" borderId="0" xfId="1218" applyFont="1" applyFill="1" applyBorder="1" applyAlignment="1">
      <alignment horizontal="centerContinuous" wrapText="1"/>
    </xf>
    <xf numFmtId="0" fontId="102" fillId="54" borderId="0" xfId="1208" applyFont="1" applyFill="1"/>
    <xf numFmtId="0" fontId="5" fillId="54" borderId="0" xfId="1208" applyFont="1" applyFill="1"/>
    <xf numFmtId="0" fontId="152" fillId="54" borderId="0" xfId="1218" applyFont="1" applyFill="1" applyBorder="1" applyAlignment="1">
      <alignment horizontal="centerContinuous" wrapText="1"/>
    </xf>
    <xf numFmtId="0" fontId="5" fillId="54" borderId="0" xfId="1208" applyFont="1" applyFill="1" applyAlignment="1">
      <alignment horizontal="centerContinuous"/>
    </xf>
    <xf numFmtId="2" fontId="9" fillId="54" borderId="0" xfId="0" applyNumberFormat="1" applyFont="1" applyFill="1" applyAlignment="1">
      <alignment horizontal="center"/>
    </xf>
    <xf numFmtId="0" fontId="12" fillId="54" borderId="0" xfId="0" applyFont="1" applyFill="1" applyAlignment="1">
      <alignment horizontal="center" wrapText="1"/>
    </xf>
    <xf numFmtId="0" fontId="11" fillId="54" borderId="28" xfId="0" applyFont="1" applyFill="1" applyBorder="1" applyAlignment="1">
      <alignment horizontal="center"/>
    </xf>
    <xf numFmtId="0" fontId="11" fillId="54" borderId="29" xfId="0" applyFont="1" applyFill="1" applyBorder="1"/>
    <xf numFmtId="0" fontId="11" fillId="54" borderId="27" xfId="0" applyFont="1" applyFill="1" applyBorder="1"/>
    <xf numFmtId="0" fontId="60" fillId="54" borderId="23" xfId="0" applyFont="1" applyFill="1" applyBorder="1" applyAlignment="1">
      <alignment horizontal="center" wrapText="1"/>
    </xf>
    <xf numFmtId="0" fontId="60" fillId="54" borderId="28" xfId="0" applyFont="1" applyFill="1" applyBorder="1" applyAlignment="1">
      <alignment horizontal="centerContinuous"/>
    </xf>
    <xf numFmtId="2" fontId="14" fillId="54" borderId="27" xfId="0" applyNumberFormat="1" applyFont="1" applyFill="1" applyBorder="1" applyAlignment="1">
      <alignment horizontal="centerContinuous"/>
    </xf>
    <xf numFmtId="2" fontId="60" fillId="54" borderId="17" xfId="0" applyNumberFormat="1" applyFont="1" applyFill="1" applyBorder="1" applyAlignment="1">
      <alignment horizontal="centerContinuous"/>
    </xf>
    <xf numFmtId="2" fontId="15" fillId="54" borderId="26" xfId="0" applyNumberFormat="1" applyFont="1" applyFill="1" applyBorder="1" applyAlignment="1">
      <alignment horizontal="centerContinuous"/>
    </xf>
    <xf numFmtId="0" fontId="11" fillId="54" borderId="48" xfId="0" applyFont="1" applyFill="1" applyBorder="1"/>
    <xf numFmtId="3" fontId="12" fillId="54" borderId="0" xfId="0" applyNumberFormat="1" applyFont="1" applyFill="1" applyAlignment="1">
      <alignment horizontal="center" wrapText="1"/>
    </xf>
    <xf numFmtId="0" fontId="11" fillId="54" borderId="30" xfId="0" applyFont="1" applyFill="1" applyBorder="1"/>
    <xf numFmtId="0" fontId="11" fillId="54" borderId="24" xfId="0" applyFont="1" applyFill="1" applyBorder="1"/>
    <xf numFmtId="0" fontId="11" fillId="54" borderId="25" xfId="0" applyFont="1" applyFill="1" applyBorder="1"/>
    <xf numFmtId="0" fontId="60" fillId="54" borderId="22" xfId="0" applyFont="1" applyFill="1" applyBorder="1" applyAlignment="1">
      <alignment horizontal="center"/>
    </xf>
    <xf numFmtId="0" fontId="60" fillId="54" borderId="30" xfId="0" applyFont="1" applyFill="1" applyBorder="1" applyAlignment="1">
      <alignment horizontal="centerContinuous"/>
    </xf>
    <xf numFmtId="2" fontId="14" fillId="54" borderId="25" xfId="0" applyNumberFormat="1" applyFont="1" applyFill="1" applyBorder="1" applyAlignment="1">
      <alignment horizontal="centerContinuous"/>
    </xf>
    <xf numFmtId="0" fontId="11" fillId="54" borderId="22" xfId="0" applyFont="1" applyFill="1" applyBorder="1" applyAlignment="1">
      <alignment horizontal="center"/>
    </xf>
    <xf numFmtId="2" fontId="12" fillId="54" borderId="0" xfId="0" applyNumberFormat="1" applyFont="1" applyFill="1" applyAlignment="1">
      <alignment horizontal="center" wrapText="1"/>
    </xf>
    <xf numFmtId="0" fontId="11" fillId="54" borderId="48" xfId="0" applyFont="1" applyFill="1" applyBorder="1" applyAlignment="1">
      <alignment horizontal="right"/>
    </xf>
    <xf numFmtId="0" fontId="11" fillId="54" borderId="19" xfId="0" applyFont="1" applyFill="1" applyBorder="1"/>
    <xf numFmtId="169" fontId="60" fillId="54" borderId="20" xfId="0" applyNumberFormat="1" applyFont="1" applyFill="1" applyBorder="1"/>
    <xf numFmtId="4" fontId="14" fillId="54" borderId="48" xfId="0" applyNumberFormat="1" applyFont="1" applyFill="1" applyBorder="1" applyAlignment="1">
      <alignment horizontal="right"/>
    </xf>
    <xf numFmtId="0" fontId="11" fillId="54" borderId="19" xfId="0" applyFont="1" applyFill="1" applyBorder="1" applyAlignment="1">
      <alignment horizontal="left"/>
    </xf>
    <xf numFmtId="0" fontId="11" fillId="54" borderId="20" xfId="0" applyFont="1" applyFill="1" applyBorder="1" applyAlignment="1">
      <alignment horizontal="center"/>
    </xf>
    <xf numFmtId="1" fontId="11" fillId="54" borderId="19" xfId="0" applyNumberFormat="1" applyFont="1" applyFill="1" applyBorder="1" applyAlignment="1">
      <alignment horizontal="center"/>
    </xf>
    <xf numFmtId="0" fontId="11" fillId="54" borderId="30" xfId="0" applyFont="1" applyFill="1" applyBorder="1" applyAlignment="1">
      <alignment horizontal="right"/>
    </xf>
    <xf numFmtId="169" fontId="60" fillId="54" borderId="22" xfId="0" applyNumberFormat="1" applyFont="1" applyFill="1" applyBorder="1"/>
    <xf numFmtId="170" fontId="14" fillId="54" borderId="30" xfId="0" applyNumberFormat="1" applyFont="1" applyFill="1" applyBorder="1" applyAlignment="1">
      <alignment horizontal="right"/>
    </xf>
    <xf numFmtId="0" fontId="9" fillId="54" borderId="0" xfId="1208" applyFont="1" applyFill="1"/>
    <xf numFmtId="0" fontId="67" fillId="54" borderId="0" xfId="1208" applyFont="1" applyFill="1" applyAlignment="1">
      <alignment horizontal="centerContinuous" wrapText="1"/>
    </xf>
    <xf numFmtId="0" fontId="9" fillId="54" borderId="0" xfId="1208" applyFont="1" applyFill="1" applyAlignment="1">
      <alignment horizontal="centerContinuous" wrapText="1"/>
    </xf>
    <xf numFmtId="0" fontId="11" fillId="54" borderId="0" xfId="1218" applyFont="1" applyFill="1" applyBorder="1" applyAlignment="1">
      <alignment horizontal="centerContinuous" wrapText="1"/>
    </xf>
    <xf numFmtId="0" fontId="68" fillId="54" borderId="0" xfId="1208" applyFont="1" applyFill="1"/>
    <xf numFmtId="0" fontId="14" fillId="54" borderId="0" xfId="1208" applyFont="1" applyFill="1"/>
    <xf numFmtId="0" fontId="11" fillId="54" borderId="17" xfId="1208" applyFont="1" applyFill="1" applyBorder="1" applyAlignment="1">
      <alignment horizontal="left" wrapText="1"/>
    </xf>
    <xf numFmtId="0" fontId="9" fillId="54" borderId="17" xfId="1208" applyFont="1" applyFill="1" applyBorder="1" applyAlignment="1">
      <alignment horizontal="center" wrapText="1"/>
    </xf>
    <xf numFmtId="170" fontId="68" fillId="54" borderId="0" xfId="1208" applyNumberFormat="1" applyFont="1" applyFill="1"/>
    <xf numFmtId="164" fontId="14" fillId="54" borderId="0" xfId="1208" applyNumberFormat="1" applyFont="1" applyFill="1"/>
    <xf numFmtId="0" fontId="58" fillId="54" borderId="17" xfId="1208" applyFont="1" applyFill="1" applyBorder="1" applyAlignment="1">
      <alignment horizontal="left" wrapText="1"/>
    </xf>
    <xf numFmtId="0" fontId="15" fillId="54" borderId="17" xfId="1208" applyFont="1" applyFill="1" applyBorder="1" applyAlignment="1">
      <alignment horizontal="center" wrapText="1"/>
    </xf>
    <xf numFmtId="4" fontId="5" fillId="54" borderId="0" xfId="1208" applyNumberFormat="1" applyFont="1" applyFill="1"/>
    <xf numFmtId="0" fontId="60" fillId="54" borderId="0" xfId="1208" applyFont="1" applyFill="1"/>
    <xf numFmtId="0" fontId="9" fillId="54" borderId="24" xfId="0" quotePrefix="1" applyFont="1" applyFill="1" applyBorder="1" applyAlignment="1">
      <alignment horizontal="center"/>
    </xf>
    <xf numFmtId="0" fontId="9" fillId="54" borderId="0" xfId="0" quotePrefix="1" applyFont="1" applyFill="1" applyBorder="1" applyAlignment="1">
      <alignment horizontal="center"/>
    </xf>
    <xf numFmtId="1" fontId="9" fillId="54" borderId="25" xfId="0" applyNumberFormat="1" applyFont="1" applyFill="1" applyBorder="1" applyAlignment="1">
      <alignment vertical="top" wrapText="1"/>
    </xf>
    <xf numFmtId="4" fontId="9" fillId="54" borderId="25" xfId="0" applyNumberFormat="1" applyFont="1" applyFill="1" applyBorder="1" applyAlignment="1">
      <alignment vertical="top" wrapText="1"/>
    </xf>
    <xf numFmtId="172" fontId="15" fillId="54" borderId="0" xfId="0" applyNumberFormat="1" applyFont="1" applyFill="1"/>
    <xf numFmtId="4" fontId="68" fillId="54" borderId="0" xfId="0" applyNumberFormat="1" applyFont="1" applyFill="1"/>
    <xf numFmtId="0" fontId="9" fillId="54" borderId="26" xfId="0" applyFont="1" applyFill="1" applyBorder="1" applyAlignment="1">
      <alignment horizontal="center" vertical="top" wrapText="1"/>
    </xf>
    <xf numFmtId="1" fontId="9" fillId="54" borderId="26" xfId="0" applyNumberFormat="1" applyFont="1" applyFill="1" applyBorder="1" applyAlignment="1">
      <alignment vertical="top" wrapText="1"/>
    </xf>
    <xf numFmtId="0" fontId="9" fillId="54" borderId="25" xfId="0" quotePrefix="1" applyFont="1" applyFill="1" applyBorder="1" applyAlignment="1">
      <alignment horizontal="center" vertical="top" wrapText="1"/>
    </xf>
    <xf numFmtId="164" fontId="9" fillId="54" borderId="25" xfId="0" applyNumberFormat="1" applyFont="1" applyFill="1" applyBorder="1" applyAlignment="1">
      <alignment vertical="top" wrapText="1"/>
    </xf>
    <xf numFmtId="170" fontId="15" fillId="54" borderId="25" xfId="0" applyNumberFormat="1" applyFont="1" applyFill="1" applyBorder="1" applyAlignment="1">
      <alignment vertical="top" wrapText="1"/>
    </xf>
    <xf numFmtId="170" fontId="63" fillId="54" borderId="0" xfId="0" applyNumberFormat="1" applyFont="1" applyFill="1"/>
    <xf numFmtId="4" fontId="68" fillId="54" borderId="0" xfId="0" applyNumberFormat="1" applyFont="1" applyFill="1" applyAlignment="1">
      <alignment horizontal="center"/>
    </xf>
    <xf numFmtId="0" fontId="9" fillId="54" borderId="0" xfId="0" applyFont="1" applyFill="1" applyAlignment="1">
      <alignment horizontal="justify"/>
    </xf>
    <xf numFmtId="44" fontId="12" fillId="54" borderId="0" xfId="931" applyFont="1" applyFill="1"/>
    <xf numFmtId="4" fontId="70" fillId="54" borderId="17" xfId="1176" applyNumberFormat="1" applyFont="1" applyFill="1" applyBorder="1" applyAlignment="1">
      <alignment horizontal="centerContinuous" vertical="center" wrapText="1"/>
    </xf>
    <xf numFmtId="164" fontId="70" fillId="54" borderId="0" xfId="1176" applyNumberFormat="1" applyFont="1" applyFill="1" applyAlignment="1">
      <alignment horizontal="center" vertical="center" wrapText="1"/>
    </xf>
    <xf numFmtId="3" fontId="56" fillId="54" borderId="0" xfId="1176" applyNumberFormat="1" applyFont="1" applyFill="1" applyAlignment="1">
      <alignment vertical="center" wrapText="1"/>
    </xf>
    <xf numFmtId="0" fontId="55" fillId="54" borderId="0" xfId="1176" applyFont="1" applyFill="1" applyAlignment="1">
      <alignment horizontal="centerContinuous" wrapText="1"/>
    </xf>
    <xf numFmtId="0" fontId="78" fillId="54" borderId="0" xfId="1176" applyFont="1" applyFill="1" applyAlignment="1">
      <alignment horizontal="centerContinuous" vertical="top" wrapText="1"/>
    </xf>
    <xf numFmtId="0" fontId="56" fillId="54" borderId="0" xfId="1176" applyFont="1" applyFill="1" applyAlignment="1">
      <alignment horizontal="centerContinuous" vertical="center" wrapText="1"/>
    </xf>
    <xf numFmtId="0" fontId="98" fillId="54" borderId="0" xfId="1176" applyFont="1" applyFill="1" applyAlignment="1">
      <alignment horizontal="centerContinuous"/>
    </xf>
    <xf numFmtId="0" fontId="321" fillId="54" borderId="0" xfId="1176" applyFont="1" applyFill="1" applyAlignment="1">
      <alignment horizontal="centerContinuous" vertical="top" wrapText="1"/>
    </xf>
    <xf numFmtId="0" fontId="321" fillId="54" borderId="0" xfId="1176" applyFont="1" applyFill="1" applyAlignment="1">
      <alignment horizontal="left" vertical="center" wrapText="1"/>
    </xf>
    <xf numFmtId="0" fontId="70" fillId="54" borderId="23" xfId="1176" applyFont="1" applyFill="1" applyBorder="1" applyAlignment="1">
      <alignment horizontal="centerContinuous" vertical="center"/>
    </xf>
    <xf numFmtId="0" fontId="70" fillId="54" borderId="17" xfId="1176" applyFont="1" applyFill="1" applyBorder="1" applyAlignment="1">
      <alignment horizontal="center" vertical="center" wrapText="1"/>
    </xf>
    <xf numFmtId="0" fontId="74" fillId="54" borderId="0" xfId="1176" applyFont="1" applyFill="1" applyAlignment="1">
      <alignment vertical="center" wrapText="1"/>
    </xf>
    <xf numFmtId="0" fontId="74" fillId="54" borderId="17" xfId="1176" applyFont="1" applyFill="1" applyBorder="1" applyAlignment="1">
      <alignment horizontal="centerContinuous" vertical="center" wrapText="1"/>
    </xf>
    <xf numFmtId="2" fontId="74" fillId="54" borderId="17" xfId="1176" applyNumberFormat="1" applyFont="1" applyFill="1" applyBorder="1" applyAlignment="1">
      <alignment horizontal="center" wrapText="1"/>
    </xf>
    <xf numFmtId="0" fontId="70" fillId="54" borderId="20" xfId="1176" applyFont="1" applyFill="1" applyBorder="1" applyAlignment="1">
      <alignment horizontal="centerContinuous" vertical="center" wrapText="1"/>
    </xf>
    <xf numFmtId="0" fontId="70" fillId="54" borderId="17" xfId="1176" applyFont="1" applyFill="1" applyBorder="1" applyAlignment="1">
      <alignment horizontal="centerContinuous" vertical="top" wrapText="1"/>
    </xf>
    <xf numFmtId="0" fontId="70" fillId="54" borderId="17" xfId="1176" applyFont="1" applyFill="1" applyBorder="1" applyAlignment="1">
      <alignment horizontal="centerContinuous" vertical="center" wrapText="1"/>
    </xf>
    <xf numFmtId="2" fontId="70" fillId="54" borderId="17" xfId="1176" applyNumberFormat="1" applyFont="1" applyFill="1" applyBorder="1" applyAlignment="1">
      <alignment horizontal="center" wrapText="1"/>
    </xf>
    <xf numFmtId="170" fontId="70" fillId="54" borderId="0" xfId="1176" applyNumberFormat="1" applyFont="1" applyFill="1" applyAlignment="1">
      <alignment horizontal="center" vertical="center" wrapText="1"/>
    </xf>
    <xf numFmtId="0" fontId="56" fillId="54" borderId="0" xfId="1176" applyFont="1" applyFill="1" applyAlignment="1">
      <alignment vertical="top" wrapText="1"/>
    </xf>
    <xf numFmtId="0" fontId="56" fillId="54" borderId="0" xfId="1176" applyFont="1" applyFill="1" applyAlignment="1">
      <alignment vertical="center"/>
    </xf>
    <xf numFmtId="0" fontId="59" fillId="54" borderId="0" xfId="0" applyFont="1" applyFill="1"/>
    <xf numFmtId="0" fontId="70" fillId="54" borderId="0" xfId="1176" applyFont="1" applyFill="1" applyAlignment="1">
      <alignment vertical="top" wrapText="1"/>
    </xf>
    <xf numFmtId="0" fontId="74" fillId="54" borderId="0" xfId="1176" applyFont="1" applyFill="1" applyAlignment="1">
      <alignment vertical="center"/>
    </xf>
    <xf numFmtId="4" fontId="56" fillId="54" borderId="0" xfId="1176" applyNumberFormat="1" applyFont="1" applyFill="1" applyAlignment="1">
      <alignment vertical="center" wrapText="1"/>
    </xf>
    <xf numFmtId="194" fontId="9" fillId="54" borderId="17" xfId="1216" applyNumberFormat="1" applyFont="1" applyFill="1" applyBorder="1" applyAlignment="1">
      <alignment horizontal="right" wrapText="1"/>
    </xf>
    <xf numFmtId="0" fontId="113" fillId="54" borderId="0" xfId="0" applyFont="1" applyFill="1" applyAlignment="1">
      <alignment horizontal="centerContinuous"/>
    </xf>
    <xf numFmtId="0" fontId="77" fillId="54" borderId="0" xfId="1181" applyFont="1" applyFill="1"/>
    <xf numFmtId="3" fontId="68" fillId="54" borderId="0" xfId="0" applyNumberFormat="1" applyFont="1" applyFill="1" applyAlignment="1">
      <alignment horizontal="center" wrapText="1"/>
    </xf>
    <xf numFmtId="4" fontId="58" fillId="54" borderId="0" xfId="0" applyNumberFormat="1" applyFont="1" applyFill="1"/>
    <xf numFmtId="4" fontId="15" fillId="54" borderId="0" xfId="0" applyNumberFormat="1" applyFont="1" applyFill="1"/>
    <xf numFmtId="0" fontId="369" fillId="54" borderId="0" xfId="0" applyFont="1" applyFill="1"/>
    <xf numFmtId="0" fontId="60" fillId="54" borderId="17" xfId="0" applyFont="1" applyFill="1" applyBorder="1" applyAlignment="1">
      <alignment horizontal="left" wrapText="1"/>
    </xf>
    <xf numFmtId="0" fontId="60" fillId="54" borderId="17" xfId="0" applyFont="1" applyFill="1" applyBorder="1" applyAlignment="1">
      <alignment horizontal="center" wrapText="1"/>
    </xf>
    <xf numFmtId="0" fontId="60" fillId="54" borderId="17" xfId="0" applyFont="1" applyFill="1" applyBorder="1" applyAlignment="1">
      <alignment horizontal="center"/>
    </xf>
    <xf numFmtId="4" fontId="60" fillId="54" borderId="17" xfId="0" applyNumberFormat="1" applyFont="1" applyFill="1" applyBorder="1" applyAlignment="1">
      <alignment horizontal="right"/>
    </xf>
    <xf numFmtId="49" fontId="9" fillId="54" borderId="17" xfId="0" applyNumberFormat="1" applyFont="1" applyFill="1" applyBorder="1" applyAlignment="1">
      <alignment horizontal="center"/>
    </xf>
    <xf numFmtId="4" fontId="60" fillId="54" borderId="0" xfId="0" applyNumberFormat="1" applyFont="1" applyFill="1"/>
    <xf numFmtId="49" fontId="9" fillId="54" borderId="17" xfId="1216" applyNumberFormat="1" applyFont="1" applyFill="1" applyBorder="1" applyAlignment="1">
      <alignment horizontal="center" wrapText="1"/>
    </xf>
    <xf numFmtId="199" fontId="60" fillId="54" borderId="17" xfId="1216" applyNumberFormat="1" applyFont="1" applyFill="1" applyBorder="1" applyAlignment="1">
      <alignment horizontal="right" wrapText="1"/>
    </xf>
    <xf numFmtId="194" fontId="60" fillId="54" borderId="17" xfId="1216" applyNumberFormat="1" applyFont="1" applyFill="1" applyBorder="1" applyAlignment="1">
      <alignment horizontal="right" wrapText="1"/>
    </xf>
    <xf numFmtId="194" fontId="60" fillId="54" borderId="17" xfId="0" applyNumberFormat="1" applyFont="1" applyFill="1" applyBorder="1"/>
    <xf numFmtId="0" fontId="14" fillId="54" borderId="17" xfId="0" applyFont="1" applyFill="1" applyBorder="1" applyAlignment="1">
      <alignment horizontal="left" wrapText="1"/>
    </xf>
    <xf numFmtId="0" fontId="14" fillId="54" borderId="17" xfId="0" applyFont="1" applyFill="1" applyBorder="1" applyAlignment="1">
      <alignment horizontal="center" wrapText="1"/>
    </xf>
    <xf numFmtId="0" fontId="14" fillId="54" borderId="17" xfId="0" applyFont="1" applyFill="1" applyBorder="1" applyAlignment="1">
      <alignment horizontal="center"/>
    </xf>
    <xf numFmtId="4" fontId="14" fillId="54" borderId="0" xfId="0" applyNumberFormat="1" applyFont="1" applyFill="1"/>
    <xf numFmtId="0" fontId="60" fillId="54" borderId="17" xfId="0" applyFont="1" applyFill="1" applyBorder="1"/>
    <xf numFmtId="0" fontId="14" fillId="54" borderId="17" xfId="0" applyFont="1" applyFill="1" applyBorder="1" applyAlignment="1">
      <alignment wrapText="1"/>
    </xf>
    <xf numFmtId="49" fontId="15" fillId="54" borderId="17" xfId="1216" applyNumberFormat="1" applyFont="1" applyFill="1" applyBorder="1" applyAlignment="1">
      <alignment horizontal="center" wrapText="1"/>
    </xf>
    <xf numFmtId="0" fontId="14" fillId="54" borderId="17" xfId="0" applyFont="1" applyFill="1" applyBorder="1"/>
    <xf numFmtId="49" fontId="15" fillId="54" borderId="17" xfId="0" applyNumberFormat="1" applyFont="1" applyFill="1" applyBorder="1" applyAlignment="1">
      <alignment horizontal="center"/>
    </xf>
    <xf numFmtId="169" fontId="11" fillId="54" borderId="0" xfId="0" applyNumberFormat="1" applyFont="1" applyFill="1"/>
    <xf numFmtId="170" fontId="58" fillId="54" borderId="0" xfId="0" applyNumberFormat="1" applyFont="1" applyFill="1" applyAlignment="1">
      <alignment horizontal="right"/>
    </xf>
    <xf numFmtId="0" fontId="9" fillId="54" borderId="0" xfId="0" applyFont="1" applyFill="1" applyAlignment="1">
      <alignment horizontal="center" wrapText="1"/>
    </xf>
    <xf numFmtId="0" fontId="11" fillId="54" borderId="17" xfId="0" applyFont="1" applyFill="1" applyBorder="1" applyAlignment="1">
      <alignment vertical="top"/>
    </xf>
    <xf numFmtId="0" fontId="11" fillId="54" borderId="17" xfId="0" applyFont="1" applyFill="1" applyBorder="1" applyAlignment="1">
      <alignment horizontal="centerContinuous" vertical="top" wrapText="1"/>
    </xf>
    <xf numFmtId="0" fontId="9" fillId="54" borderId="17" xfId="0" applyFont="1" applyFill="1" applyBorder="1" applyAlignment="1">
      <alignment horizontal="centerContinuous" vertical="top" wrapText="1"/>
    </xf>
    <xf numFmtId="3" fontId="9" fillId="54" borderId="0" xfId="0" applyNumberFormat="1" applyFont="1" applyFill="1" applyAlignment="1">
      <alignment horizontal="center" wrapText="1"/>
    </xf>
    <xf numFmtId="0" fontId="11" fillId="54" borderId="17" xfId="0" applyFont="1" applyFill="1" applyBorder="1" applyAlignment="1"/>
    <xf numFmtId="0" fontId="11" fillId="54" borderId="33" xfId="0" applyFont="1" applyFill="1" applyBorder="1" applyAlignment="1">
      <alignment horizontal="centerContinuous" vertical="top" wrapText="1"/>
    </xf>
    <xf numFmtId="0" fontId="9" fillId="54" borderId="6" xfId="0" applyFont="1" applyFill="1" applyBorder="1" applyAlignment="1">
      <alignment horizontal="centerContinuous" wrapText="1"/>
    </xf>
    <xf numFmtId="0" fontId="9" fillId="54" borderId="26" xfId="0" applyFont="1" applyFill="1" applyBorder="1" applyAlignment="1">
      <alignment horizontal="centerContinuous" wrapText="1"/>
    </xf>
    <xf numFmtId="0" fontId="9" fillId="54" borderId="17" xfId="0" applyFont="1" applyFill="1" applyBorder="1" applyAlignment="1">
      <alignment horizontal="center" wrapText="1"/>
    </xf>
    <xf numFmtId="0" fontId="9" fillId="54" borderId="17" xfId="0" applyFont="1" applyFill="1" applyBorder="1" applyAlignment="1">
      <alignment horizontal="center" vertical="top"/>
    </xf>
    <xf numFmtId="169" fontId="9" fillId="54" borderId="17" xfId="0" applyNumberFormat="1" applyFont="1" applyFill="1" applyBorder="1" applyAlignment="1"/>
    <xf numFmtId="4" fontId="9" fillId="54" borderId="17" xfId="0" applyNumberFormat="1" applyFont="1" applyFill="1" applyBorder="1" applyAlignment="1">
      <alignment horizontal="right"/>
    </xf>
    <xf numFmtId="170" fontId="15" fillId="54" borderId="17" xfId="0" applyNumberFormat="1" applyFont="1" applyFill="1" applyBorder="1" applyAlignment="1"/>
    <xf numFmtId="2" fontId="9" fillId="54" borderId="0" xfId="0" applyNumberFormat="1" applyFont="1" applyFill="1" applyAlignment="1">
      <alignment horizontal="center" wrapText="1"/>
    </xf>
    <xf numFmtId="10" fontId="9" fillId="54" borderId="0" xfId="0" applyNumberFormat="1" applyFont="1" applyFill="1"/>
    <xf numFmtId="0" fontId="9" fillId="54" borderId="17" xfId="0" applyFont="1" applyFill="1" applyBorder="1" applyAlignment="1"/>
    <xf numFmtId="170" fontId="9" fillId="54" borderId="17" xfId="0" applyNumberFormat="1" applyFont="1" applyFill="1" applyBorder="1" applyAlignment="1">
      <alignment horizontal="right"/>
    </xf>
    <xf numFmtId="4" fontId="15" fillId="54" borderId="0" xfId="0" applyNumberFormat="1" applyFont="1" applyFill="1" applyAlignment="1">
      <alignment horizontal="right"/>
    </xf>
    <xf numFmtId="4" fontId="9" fillId="54" borderId="0" xfId="0" applyNumberFormat="1" applyFont="1" applyFill="1"/>
    <xf numFmtId="0" fontId="9" fillId="54" borderId="17" xfId="0" applyFont="1" applyFill="1" applyBorder="1" applyAlignment="1">
      <alignment vertical="top"/>
    </xf>
    <xf numFmtId="4" fontId="58" fillId="54" borderId="17" xfId="0" applyNumberFormat="1" applyFont="1" applyFill="1" applyBorder="1" applyAlignment="1"/>
    <xf numFmtId="170" fontId="58" fillId="54" borderId="17" xfId="0" applyNumberFormat="1" applyFont="1" applyFill="1" applyBorder="1" applyAlignment="1"/>
    <xf numFmtId="4" fontId="11" fillId="54" borderId="17" xfId="0" applyNumberFormat="1" applyFont="1" applyFill="1" applyBorder="1" applyAlignment="1"/>
    <xf numFmtId="170" fontId="11" fillId="54" borderId="17" xfId="0" applyNumberFormat="1" applyFont="1" applyFill="1" applyBorder="1" applyAlignment="1"/>
    <xf numFmtId="0" fontId="9" fillId="54" borderId="25" xfId="0" applyFont="1" applyFill="1" applyBorder="1" applyAlignment="1">
      <alignment horizontal="left" vertical="top" wrapText="1"/>
    </xf>
    <xf numFmtId="170" fontId="9" fillId="54" borderId="25" xfId="0" applyNumberFormat="1" applyFont="1" applyFill="1" applyBorder="1" applyAlignment="1">
      <alignment horizontal="right" vertical="top" wrapText="1"/>
    </xf>
    <xf numFmtId="168" fontId="9" fillId="54" borderId="25" xfId="0" applyNumberFormat="1" applyFont="1" applyFill="1" applyBorder="1" applyAlignment="1">
      <alignment horizontal="right" vertical="top" wrapText="1"/>
    </xf>
    <xf numFmtId="0" fontId="9" fillId="54" borderId="25" xfId="0" applyFont="1" applyFill="1" applyBorder="1" applyAlignment="1">
      <alignment horizontal="justify" vertical="top" wrapText="1"/>
    </xf>
    <xf numFmtId="173" fontId="9" fillId="54" borderId="17" xfId="1216" applyNumberFormat="1" applyFont="1" applyFill="1" applyBorder="1" applyAlignment="1">
      <alignment horizontal="right" vertical="top"/>
    </xf>
    <xf numFmtId="164" fontId="9" fillId="54" borderId="25" xfId="0" applyNumberFormat="1" applyFont="1" applyFill="1" applyBorder="1" applyAlignment="1">
      <alignment horizontal="right" vertical="top" wrapText="1"/>
    </xf>
    <xf numFmtId="0" fontId="9" fillId="54" borderId="17" xfId="0" applyFont="1" applyFill="1" applyBorder="1" applyAlignment="1">
      <alignment horizontal="justify" vertical="top" wrapText="1"/>
    </xf>
    <xf numFmtId="168" fontId="9" fillId="54" borderId="17" xfId="0" applyNumberFormat="1" applyFont="1" applyFill="1" applyBorder="1" applyAlignment="1">
      <alignment horizontal="right" vertical="top" wrapText="1"/>
    </xf>
    <xf numFmtId="0" fontId="9" fillId="54" borderId="26" xfId="0" applyFont="1" applyFill="1" applyBorder="1" applyAlignment="1">
      <alignment horizontal="justify" vertical="top" wrapText="1"/>
    </xf>
    <xf numFmtId="168" fontId="9" fillId="54" borderId="26" xfId="0" applyNumberFormat="1" applyFont="1" applyFill="1" applyBorder="1" applyAlignment="1">
      <alignment horizontal="right" vertical="top" wrapText="1"/>
    </xf>
    <xf numFmtId="194" fontId="9" fillId="54" borderId="17" xfId="1216" applyNumberFormat="1" applyFont="1" applyFill="1" applyBorder="1" applyAlignment="1">
      <alignment horizontal="right" vertical="top"/>
    </xf>
    <xf numFmtId="173" fontId="9" fillId="54" borderId="0" xfId="1216" applyNumberFormat="1" applyFont="1" applyFill="1" applyBorder="1" applyAlignment="1">
      <alignment horizontal="right" vertical="top"/>
    </xf>
    <xf numFmtId="0" fontId="9" fillId="54" borderId="17" xfId="0" applyFont="1" applyFill="1" applyBorder="1"/>
    <xf numFmtId="4" fontId="9" fillId="54" borderId="17" xfId="0" applyNumberFormat="1" applyFont="1" applyFill="1" applyBorder="1"/>
    <xf numFmtId="2" fontId="9" fillId="54" borderId="25" xfId="0" applyNumberFormat="1" applyFont="1" applyFill="1" applyBorder="1" applyAlignment="1">
      <alignment horizontal="right" vertical="top" wrapText="1"/>
    </xf>
    <xf numFmtId="0" fontId="10" fillId="54" borderId="0" xfId="0" applyFont="1" applyFill="1" applyAlignment="1">
      <alignment horizontal="justify" vertical="center" wrapText="1"/>
    </xf>
    <xf numFmtId="0" fontId="9" fillId="54" borderId="0" xfId="0" applyFont="1" applyFill="1" applyAlignment="1"/>
    <xf numFmtId="0" fontId="46" fillId="0" borderId="0" xfId="0" applyFont="1" applyAlignment="1">
      <alignment horizontal="center"/>
    </xf>
    <xf numFmtId="0" fontId="178" fillId="0" borderId="23" xfId="0" applyFont="1" applyBorder="1" applyAlignment="1">
      <alignment horizontal="center" vertical="center" wrapText="1"/>
    </xf>
    <xf numFmtId="0" fontId="178" fillId="0" borderId="20" xfId="0" applyFont="1" applyBorder="1" applyAlignment="1">
      <alignment horizontal="center" vertical="center" wrapText="1"/>
    </xf>
    <xf numFmtId="0" fontId="178" fillId="0" borderId="22" xfId="0" applyFont="1" applyBorder="1" applyAlignment="1">
      <alignment horizontal="center" vertical="center" wrapText="1"/>
    </xf>
    <xf numFmtId="0" fontId="178" fillId="0" borderId="33" xfId="0" applyNumberFormat="1" applyFont="1" applyBorder="1" applyAlignment="1">
      <alignment horizontal="center" vertical="center"/>
    </xf>
    <xf numFmtId="0" fontId="178" fillId="0" borderId="6" xfId="0" applyNumberFormat="1" applyFont="1" applyBorder="1" applyAlignment="1">
      <alignment horizontal="center" vertical="center"/>
    </xf>
    <xf numFmtId="0" fontId="178" fillId="0" borderId="17" xfId="0" applyNumberFormat="1" applyFont="1" applyBorder="1" applyAlignment="1">
      <alignment horizontal="center" vertical="center"/>
    </xf>
    <xf numFmtId="0" fontId="178" fillId="0" borderId="23" xfId="0" applyNumberFormat="1" applyFont="1" applyBorder="1" applyAlignment="1">
      <alignment horizontal="center" vertical="center" wrapText="1"/>
    </xf>
    <xf numFmtId="0" fontId="178" fillId="0" borderId="22" xfId="0" applyNumberFormat="1" applyFont="1" applyBorder="1" applyAlignment="1">
      <alignment horizontal="center" vertical="center" wrapText="1"/>
    </xf>
    <xf numFmtId="0" fontId="0" fillId="54" borderId="33" xfId="0" applyFont="1" applyFill="1" applyBorder="1" applyAlignment="1">
      <alignment horizontal="center" vertical="top"/>
    </xf>
    <xf numFmtId="0" fontId="0" fillId="54" borderId="6" xfId="0" applyFont="1" applyFill="1" applyBorder="1" applyAlignment="1">
      <alignment horizontal="center" vertical="top"/>
    </xf>
    <xf numFmtId="0" fontId="77" fillId="54" borderId="23" xfId="0" applyFont="1" applyFill="1" applyBorder="1" applyAlignment="1">
      <alignment horizontal="right"/>
    </xf>
    <xf numFmtId="0" fontId="77" fillId="54" borderId="22" xfId="0" applyFont="1" applyFill="1" applyBorder="1" applyAlignment="1">
      <alignment horizontal="right"/>
    </xf>
    <xf numFmtId="0" fontId="42" fillId="54" borderId="148" xfId="0" applyFont="1" applyFill="1" applyBorder="1" applyAlignment="1">
      <alignment wrapText="1"/>
    </xf>
    <xf numFmtId="0" fontId="0" fillId="54" borderId="0" xfId="0" applyFont="1" applyFill="1" applyAlignment="1">
      <alignment wrapText="1"/>
    </xf>
    <xf numFmtId="0" fontId="0" fillId="54" borderId="148" xfId="0" applyFont="1" applyFill="1" applyBorder="1" applyAlignment="1">
      <alignment wrapText="1"/>
    </xf>
    <xf numFmtId="0" fontId="161" fillId="46" borderId="0" xfId="0" applyFont="1" applyFill="1" applyBorder="1" applyAlignment="1">
      <alignment horizontal="left" vertical="center" wrapText="1"/>
    </xf>
    <xf numFmtId="0" fontId="46" fillId="2" borderId="103" xfId="1195" applyFont="1" applyFill="1" applyBorder="1" applyAlignment="1" applyProtection="1">
      <alignment horizontal="left" vertical="center" indent="2"/>
    </xf>
    <xf numFmtId="0" fontId="46" fillId="2" borderId="91" xfId="1195" applyFont="1" applyFill="1" applyBorder="1" applyAlignment="1" applyProtection="1">
      <alignment horizontal="left" vertical="center" indent="2"/>
    </xf>
    <xf numFmtId="0" fontId="161" fillId="2" borderId="103" xfId="1195" applyFont="1" applyFill="1" applyBorder="1" applyAlignment="1" applyProtection="1">
      <alignment horizontal="left" vertical="center" indent="2"/>
    </xf>
    <xf numFmtId="0" fontId="161" fillId="2" borderId="91" xfId="1195" applyFont="1" applyFill="1" applyBorder="1" applyAlignment="1" applyProtection="1">
      <alignment horizontal="left" vertical="center" indent="2"/>
    </xf>
    <xf numFmtId="0" fontId="161" fillId="2" borderId="104" xfId="1195" applyFont="1" applyFill="1" applyBorder="1" applyAlignment="1" applyProtection="1">
      <alignment horizontal="left" vertical="center" indent="2"/>
    </xf>
    <xf numFmtId="0" fontId="161" fillId="2" borderId="95" xfId="1195" applyFont="1" applyFill="1" applyBorder="1" applyAlignment="1" applyProtection="1">
      <alignment horizontal="left" vertical="center" indent="2"/>
    </xf>
    <xf numFmtId="0" fontId="77" fillId="0" borderId="0" xfId="0" applyFont="1" applyAlignment="1">
      <alignment horizontal="right"/>
    </xf>
    <xf numFmtId="0" fontId="147" fillId="0" borderId="0" xfId="0" applyFont="1" applyAlignment="1">
      <alignment horizontal="center" vertical="top"/>
    </xf>
    <xf numFmtId="0" fontId="77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9" fillId="54" borderId="23" xfId="0" applyFont="1" applyFill="1" applyBorder="1" applyAlignment="1">
      <alignment horizontal="center"/>
    </xf>
    <xf numFmtId="0" fontId="9" fillId="54" borderId="22" xfId="0" applyFont="1" applyFill="1" applyBorder="1" applyAlignment="1">
      <alignment horizontal="center"/>
    </xf>
    <xf numFmtId="0" fontId="9" fillId="54" borderId="23" xfId="0" applyFont="1" applyFill="1" applyBorder="1" applyAlignment="1">
      <alignment horizontal="center" vertical="center" wrapText="1"/>
    </xf>
    <xf numFmtId="0" fontId="9" fillId="54" borderId="22" xfId="0" applyFont="1" applyFill="1" applyBorder="1" applyAlignment="1">
      <alignment horizontal="center" vertical="center" wrapText="1"/>
    </xf>
    <xf numFmtId="0" fontId="9" fillId="54" borderId="66" xfId="0" applyFont="1" applyFill="1" applyBorder="1" applyAlignment="1">
      <alignment horizontal="center" vertical="center"/>
    </xf>
    <xf numFmtId="0" fontId="12" fillId="54" borderId="66" xfId="0" applyFont="1" applyFill="1" applyBorder="1" applyAlignment="1">
      <alignment horizontal="left" vertical="center" wrapText="1" indent="1"/>
    </xf>
    <xf numFmtId="0" fontId="12" fillId="54" borderId="66" xfId="0" applyFont="1" applyFill="1" applyBorder="1" applyAlignment="1">
      <alignment horizontal="center" vertical="center" wrapText="1"/>
    </xf>
    <xf numFmtId="0" fontId="9" fillId="54" borderId="66" xfId="0" applyFont="1" applyFill="1" applyBorder="1" applyAlignment="1">
      <alignment horizontal="left" vertical="center" indent="1"/>
    </xf>
    <xf numFmtId="0" fontId="9" fillId="54" borderId="66" xfId="0" applyFont="1" applyFill="1" applyBorder="1" applyAlignment="1">
      <alignment horizontal="left" vertical="center" indent="7"/>
    </xf>
    <xf numFmtId="0" fontId="9" fillId="54" borderId="66" xfId="0" applyFont="1" applyFill="1" applyBorder="1" applyAlignment="1">
      <alignment horizontal="center" vertical="center" wrapText="1"/>
    </xf>
    <xf numFmtId="0" fontId="9" fillId="54" borderId="66" xfId="0" applyFont="1" applyFill="1" applyBorder="1" applyAlignment="1">
      <alignment horizontal="left" vertical="center" wrapText="1" indent="1"/>
    </xf>
    <xf numFmtId="200" fontId="9" fillId="54" borderId="66" xfId="0" applyNumberFormat="1" applyFont="1" applyFill="1" applyBorder="1" applyAlignment="1">
      <alignment horizontal="left" vertical="center" wrapText="1" indent="1"/>
    </xf>
    <xf numFmtId="0" fontId="9" fillId="54" borderId="67" xfId="0" applyFont="1" applyFill="1" applyBorder="1" applyAlignment="1">
      <alignment horizontal="center" vertical="center"/>
    </xf>
    <xf numFmtId="0" fontId="9" fillId="54" borderId="77" xfId="0" applyFont="1" applyFill="1" applyBorder="1" applyAlignment="1">
      <alignment horizontal="center" vertical="center"/>
    </xf>
    <xf numFmtId="200" fontId="9" fillId="54" borderId="66" xfId="0" applyNumberFormat="1" applyFont="1" applyFill="1" applyBorder="1" applyAlignment="1">
      <alignment horizontal="center" vertical="center" wrapText="1"/>
    </xf>
    <xf numFmtId="0" fontId="9" fillId="54" borderId="0" xfId="0" applyFont="1" applyFill="1" applyAlignment="1">
      <alignment horizontal="justify" vertical="center" wrapText="1"/>
    </xf>
    <xf numFmtId="0" fontId="9" fillId="54" borderId="67" xfId="0" applyFont="1" applyFill="1" applyBorder="1" applyAlignment="1">
      <alignment horizontal="center" vertical="center" wrapText="1"/>
    </xf>
    <xf numFmtId="2" fontId="9" fillId="54" borderId="22" xfId="0" applyNumberFormat="1" applyFont="1" applyFill="1" applyBorder="1" applyAlignment="1">
      <alignment horizontal="center" vertical="center" wrapText="1"/>
    </xf>
    <xf numFmtId="0" fontId="17" fillId="54" borderId="33" xfId="0" applyFont="1" applyFill="1" applyBorder="1" applyAlignment="1">
      <alignment horizontal="center"/>
    </xf>
    <xf numFmtId="0" fontId="17" fillId="54" borderId="6" xfId="0" applyFont="1" applyFill="1" applyBorder="1" applyAlignment="1">
      <alignment horizontal="center"/>
    </xf>
    <xf numFmtId="0" fontId="17" fillId="54" borderId="26" xfId="0" applyFont="1" applyFill="1" applyBorder="1" applyAlignment="1">
      <alignment horizontal="center"/>
    </xf>
    <xf numFmtId="0" fontId="17" fillId="54" borderId="30" xfId="0" applyFont="1" applyFill="1" applyBorder="1" applyAlignment="1">
      <alignment horizontal="center"/>
    </xf>
    <xf numFmtId="0" fontId="17" fillId="54" borderId="24" xfId="0" applyFont="1" applyFill="1" applyBorder="1" applyAlignment="1">
      <alignment horizontal="center"/>
    </xf>
    <xf numFmtId="0" fontId="17" fillId="54" borderId="25" xfId="0" applyFont="1" applyFill="1" applyBorder="1" applyAlignment="1">
      <alignment horizontal="center"/>
    </xf>
    <xf numFmtId="168" fontId="15" fillId="0" borderId="0" xfId="1434" applyNumberFormat="1" applyFont="1" applyFill="1" applyAlignment="1">
      <alignment horizontal="right"/>
    </xf>
    <xf numFmtId="0" fontId="9" fillId="54" borderId="123" xfId="1434" applyFont="1" applyFill="1" applyBorder="1" applyAlignment="1">
      <alignment horizontal="center" vertical="center" wrapText="1"/>
    </xf>
    <xf numFmtId="0" fontId="5" fillId="54" borderId="124" xfId="1434" applyFont="1" applyFill="1" applyBorder="1" applyAlignment="1">
      <alignment vertical="center"/>
    </xf>
    <xf numFmtId="0" fontId="58" fillId="54" borderId="0" xfId="1434" applyFont="1" applyFill="1" applyBorder="1" applyAlignment="1">
      <alignment horizontal="center"/>
    </xf>
    <xf numFmtId="0" fontId="9" fillId="54" borderId="67" xfId="1434" applyFont="1" applyFill="1" applyBorder="1" applyAlignment="1">
      <alignment horizontal="center" vertical="top" wrapText="1"/>
    </xf>
    <xf numFmtId="0" fontId="9" fillId="54" borderId="78" xfId="1434" applyFont="1" applyFill="1" applyBorder="1" applyAlignment="1">
      <alignment horizontal="center" vertical="top" wrapText="1"/>
    </xf>
    <xf numFmtId="0" fontId="9" fillId="54" borderId="125" xfId="1434" applyFont="1" applyFill="1" applyBorder="1" applyAlignment="1">
      <alignment horizontal="center" vertical="center" wrapText="1"/>
    </xf>
    <xf numFmtId="0" fontId="5" fillId="54" borderId="126" xfId="1434" applyFont="1" applyFill="1" applyBorder="1" applyAlignment="1">
      <alignment vertical="center"/>
    </xf>
    <xf numFmtId="0" fontId="340" fillId="0" borderId="0" xfId="1436" applyFont="1" applyAlignment="1">
      <alignment horizontal="left"/>
    </xf>
    <xf numFmtId="0" fontId="145" fillId="0" borderId="0" xfId="1436" applyFont="1" applyAlignment="1">
      <alignment horizontal="left"/>
    </xf>
    <xf numFmtId="0" fontId="339" fillId="0" borderId="0" xfId="1436" applyFont="1" applyAlignment="1">
      <alignment horizontal="center"/>
    </xf>
    <xf numFmtId="0" fontId="126" fillId="0" borderId="0" xfId="1436" applyFont="1" applyAlignment="1">
      <alignment horizontal="center"/>
    </xf>
    <xf numFmtId="0" fontId="144" fillId="0" borderId="0" xfId="1436" applyFont="1" applyAlignment="1">
      <alignment horizontal="center"/>
    </xf>
    <xf numFmtId="0" fontId="126" fillId="0" borderId="0" xfId="1436" applyFont="1" applyAlignment="1">
      <alignment horizontal="left"/>
    </xf>
    <xf numFmtId="0" fontId="126" fillId="0" borderId="0" xfId="1436" applyFont="1" applyAlignment="1">
      <alignment horizontal="left" wrapText="1"/>
    </xf>
    <xf numFmtId="0" fontId="149" fillId="0" borderId="56" xfId="1436" applyFont="1" applyBorder="1" applyAlignment="1">
      <alignment horizontal="center" vertical="center" wrapText="1"/>
    </xf>
    <xf numFmtId="0" fontId="149" fillId="0" borderId="57" xfId="1436" applyFont="1" applyBorder="1" applyAlignment="1">
      <alignment horizontal="center" vertical="center" wrapText="1"/>
    </xf>
    <xf numFmtId="0" fontId="149" fillId="0" borderId="58" xfId="1436" applyFont="1" applyBorder="1" applyAlignment="1">
      <alignment horizontal="center" vertical="center" wrapText="1"/>
    </xf>
    <xf numFmtId="0" fontId="145" fillId="0" borderId="130" xfId="1436" applyFont="1" applyBorder="1" applyAlignment="1">
      <alignment horizontal="left" vertical="center" wrapText="1"/>
    </xf>
    <xf numFmtId="0" fontId="145" fillId="0" borderId="69" xfId="1436" applyFont="1" applyBorder="1" applyAlignment="1">
      <alignment horizontal="left" vertical="center" wrapText="1"/>
    </xf>
    <xf numFmtId="0" fontId="145" fillId="0" borderId="131" xfId="1436" applyFont="1" applyBorder="1" applyAlignment="1">
      <alignment horizontal="left" vertical="center" wrapText="1"/>
    </xf>
    <xf numFmtId="0" fontId="149" fillId="0" borderId="56" xfId="1436" applyFont="1" applyBorder="1" applyAlignment="1">
      <alignment horizontal="left" vertical="center" wrapText="1"/>
    </xf>
    <xf numFmtId="0" fontId="149" fillId="0" borderId="57" xfId="1436" applyFont="1" applyBorder="1" applyAlignment="1">
      <alignment horizontal="left" vertical="center" wrapText="1"/>
    </xf>
    <xf numFmtId="0" fontId="149" fillId="0" borderId="58" xfId="1436" applyFont="1" applyBorder="1" applyAlignment="1">
      <alignment horizontal="left" vertical="center" wrapText="1"/>
    </xf>
    <xf numFmtId="0" fontId="144" fillId="54" borderId="32" xfId="1436" applyFont="1" applyFill="1" applyBorder="1" applyAlignment="1">
      <alignment horizontal="left" vertical="center" wrapText="1"/>
    </xf>
    <xf numFmtId="0" fontId="144" fillId="54" borderId="17" xfId="1436" applyFont="1" applyFill="1" applyBorder="1" applyAlignment="1">
      <alignment horizontal="left" vertical="center" wrapText="1"/>
    </xf>
    <xf numFmtId="0" fontId="144" fillId="54" borderId="34" xfId="1436" applyFont="1" applyFill="1" applyBorder="1" applyAlignment="1">
      <alignment horizontal="left" vertical="center" wrapText="1"/>
    </xf>
    <xf numFmtId="0" fontId="149" fillId="54" borderId="59" xfId="1436" applyFont="1" applyFill="1" applyBorder="1" applyAlignment="1">
      <alignment horizontal="left" vertical="center" wrapText="1"/>
    </xf>
    <xf numFmtId="0" fontId="149" fillId="54" borderId="24" xfId="1436" applyFont="1" applyFill="1" applyBorder="1" applyAlignment="1">
      <alignment horizontal="left" vertical="center" wrapText="1"/>
    </xf>
    <xf numFmtId="0" fontId="149" fillId="54" borderId="60" xfId="1436" applyFont="1" applyFill="1" applyBorder="1" applyAlignment="1">
      <alignment horizontal="left" vertical="center" wrapText="1"/>
    </xf>
    <xf numFmtId="16" fontId="338" fillId="54" borderId="32" xfId="1436" applyNumberFormat="1" applyFont="1" applyFill="1" applyBorder="1" applyAlignment="1">
      <alignment horizontal="left" vertical="center" wrapText="1"/>
    </xf>
    <xf numFmtId="0" fontId="338" fillId="54" borderId="17" xfId="1436" applyFont="1" applyFill="1" applyBorder="1" applyAlignment="1">
      <alignment horizontal="left" vertical="center" wrapText="1"/>
    </xf>
    <xf numFmtId="0" fontId="338" fillId="54" borderId="34" xfId="1436" applyFont="1" applyFill="1" applyBorder="1" applyAlignment="1">
      <alignment horizontal="left" vertical="center" wrapText="1"/>
    </xf>
    <xf numFmtId="0" fontId="144" fillId="54" borderId="16" xfId="1436" applyFont="1" applyFill="1" applyBorder="1" applyAlignment="1">
      <alignment horizontal="left" vertical="center" wrapText="1"/>
    </xf>
    <xf numFmtId="0" fontId="144" fillId="54" borderId="105" xfId="1436" applyFont="1" applyFill="1" applyBorder="1" applyAlignment="1">
      <alignment horizontal="left" vertical="center" wrapText="1"/>
    </xf>
    <xf numFmtId="0" fontId="144" fillId="54" borderId="152" xfId="1436" applyFont="1" applyFill="1" applyBorder="1" applyAlignment="1">
      <alignment horizontal="left" vertical="center" wrapText="1"/>
    </xf>
    <xf numFmtId="0" fontId="149" fillId="46" borderId="56" xfId="1436" applyFont="1" applyFill="1" applyBorder="1" applyAlignment="1">
      <alignment horizontal="center" vertical="center" wrapText="1"/>
    </xf>
    <xf numFmtId="0" fontId="149" fillId="46" borderId="57" xfId="1436" applyFont="1" applyFill="1" applyBorder="1" applyAlignment="1">
      <alignment horizontal="center" vertical="center" wrapText="1"/>
    </xf>
    <xf numFmtId="0" fontId="149" fillId="46" borderId="58" xfId="1436" applyFont="1" applyFill="1" applyBorder="1" applyAlignment="1">
      <alignment horizontal="center" vertical="center" wrapText="1"/>
    </xf>
    <xf numFmtId="0" fontId="149" fillId="54" borderId="0" xfId="1436" applyFont="1" applyFill="1" applyBorder="1" applyAlignment="1">
      <alignment horizontal="left" vertical="center" wrapText="1"/>
    </xf>
    <xf numFmtId="0" fontId="5" fillId="0" borderId="0" xfId="1436" applyAlignment="1">
      <alignment horizontal="right"/>
    </xf>
    <xf numFmtId="0" fontId="145" fillId="0" borderId="0" xfId="1436" applyFont="1" applyAlignment="1">
      <alignment horizontal="center" wrapText="1"/>
    </xf>
    <xf numFmtId="0" fontId="146" fillId="54" borderId="0" xfId="1436" applyFont="1" applyFill="1" applyAlignment="1">
      <alignment horizontal="center" wrapText="1"/>
    </xf>
    <xf numFmtId="0" fontId="144" fillId="0" borderId="0" xfId="1436" applyFont="1" applyAlignment="1">
      <alignment horizontal="center" wrapText="1"/>
    </xf>
    <xf numFmtId="0" fontId="149" fillId="0" borderId="21" xfId="1436" applyFont="1" applyBorder="1" applyAlignment="1">
      <alignment horizontal="center" vertical="center" wrapText="1"/>
    </xf>
    <xf numFmtId="0" fontId="149" fillId="0" borderId="52" xfId="1436" applyFont="1" applyBorder="1" applyAlignment="1">
      <alignment horizontal="center" vertical="center" wrapText="1"/>
    </xf>
    <xf numFmtId="0" fontId="149" fillId="0" borderId="46" xfId="1436" applyFont="1" applyBorder="1" applyAlignment="1">
      <alignment horizontal="center" vertical="center" wrapText="1"/>
    </xf>
    <xf numFmtId="0" fontId="149" fillId="0" borderId="23" xfId="1436" applyFont="1" applyBorder="1" applyAlignment="1">
      <alignment horizontal="center" vertical="center" wrapText="1"/>
    </xf>
    <xf numFmtId="0" fontId="149" fillId="0" borderId="90" xfId="1436" applyFont="1" applyBorder="1" applyAlignment="1">
      <alignment horizontal="center" vertical="center"/>
    </xf>
    <xf numFmtId="0" fontId="149" fillId="0" borderId="128" xfId="1436" applyFont="1" applyBorder="1" applyAlignment="1">
      <alignment horizontal="center" vertical="center"/>
    </xf>
    <xf numFmtId="0" fontId="149" fillId="0" borderId="129" xfId="1436" applyFont="1" applyBorder="1" applyAlignment="1">
      <alignment horizontal="center" vertical="center"/>
    </xf>
    <xf numFmtId="0" fontId="149" fillId="54" borderId="132" xfId="1436" applyFont="1" applyFill="1" applyBorder="1" applyAlignment="1">
      <alignment horizontal="left" vertical="center" wrapText="1"/>
    </xf>
    <xf numFmtId="0" fontId="149" fillId="54" borderId="6" xfId="1436" applyFont="1" applyFill="1" applyBorder="1" applyAlignment="1">
      <alignment horizontal="left" vertical="center" wrapText="1"/>
    </xf>
    <xf numFmtId="0" fontId="149" fillId="54" borderId="133" xfId="1436" applyFont="1" applyFill="1" applyBorder="1" applyAlignment="1">
      <alignment horizontal="left" vertical="center" wrapText="1"/>
    </xf>
    <xf numFmtId="0" fontId="146" fillId="0" borderId="0" xfId="1436" applyFont="1" applyAlignment="1">
      <alignment horizontal="center" wrapText="1"/>
    </xf>
    <xf numFmtId="0" fontId="12" fillId="54" borderId="23" xfId="0" applyFont="1" applyFill="1" applyBorder="1" applyAlignment="1">
      <alignment vertical="top" wrapText="1"/>
    </xf>
    <xf numFmtId="0" fontId="0" fillId="54" borderId="20" xfId="0" applyFont="1" applyFill="1" applyBorder="1"/>
    <xf numFmtId="0" fontId="0" fillId="54" borderId="22" xfId="0" applyFont="1" applyFill="1" applyBorder="1"/>
    <xf numFmtId="0" fontId="12" fillId="54" borderId="20" xfId="0" applyFont="1" applyFill="1" applyBorder="1" applyAlignment="1">
      <alignment vertical="top" wrapText="1"/>
    </xf>
    <xf numFmtId="0" fontId="12" fillId="54" borderId="22" xfId="0" applyFont="1" applyFill="1" applyBorder="1" applyAlignment="1">
      <alignment vertical="top" wrapText="1"/>
    </xf>
    <xf numFmtId="198" fontId="17" fillId="54" borderId="23" xfId="1216" applyNumberFormat="1" applyFont="1" applyFill="1" applyBorder="1" applyAlignment="1">
      <alignment horizontal="right" wrapText="1"/>
    </xf>
    <xf numFmtId="198" fontId="17" fillId="54" borderId="20" xfId="1216" applyNumberFormat="1" applyFont="1" applyFill="1" applyBorder="1" applyAlignment="1">
      <alignment horizontal="right" wrapText="1"/>
    </xf>
    <xf numFmtId="198" fontId="17" fillId="54" borderId="22" xfId="1216" applyNumberFormat="1" applyFont="1" applyFill="1" applyBorder="1" applyAlignment="1">
      <alignment horizontal="right" wrapText="1"/>
    </xf>
    <xf numFmtId="198" fontId="0" fillId="54" borderId="20" xfId="0" applyNumberFormat="1" applyFont="1" applyFill="1" applyBorder="1" applyAlignment="1">
      <alignment wrapText="1"/>
    </xf>
    <xf numFmtId="198" fontId="0" fillId="54" borderId="22" xfId="0" applyNumberFormat="1" applyFont="1" applyFill="1" applyBorder="1" applyAlignment="1">
      <alignment wrapText="1"/>
    </xf>
    <xf numFmtId="173" fontId="17" fillId="54" borderId="23" xfId="1216" applyNumberFormat="1" applyFont="1" applyFill="1" applyBorder="1" applyAlignment="1">
      <alignment horizontal="right" wrapText="1"/>
    </xf>
    <xf numFmtId="173" fontId="17" fillId="54" borderId="20" xfId="1216" applyNumberFormat="1" applyFont="1" applyFill="1" applyBorder="1" applyAlignment="1">
      <alignment horizontal="right" wrapText="1"/>
    </xf>
    <xf numFmtId="173" fontId="17" fillId="54" borderId="22" xfId="1216" applyNumberFormat="1" applyFont="1" applyFill="1" applyBorder="1" applyAlignment="1">
      <alignment horizontal="right" wrapText="1"/>
    </xf>
    <xf numFmtId="197" fontId="17" fillId="54" borderId="23" xfId="1216" applyNumberFormat="1" applyFont="1" applyFill="1" applyBorder="1" applyAlignment="1">
      <alignment horizontal="right" wrapText="1"/>
    </xf>
    <xf numFmtId="197" fontId="0" fillId="54" borderId="20" xfId="0" applyNumberFormat="1" applyFont="1" applyFill="1" applyBorder="1" applyAlignment="1">
      <alignment wrapText="1"/>
    </xf>
    <xf numFmtId="197" fontId="0" fillId="54" borderId="22" xfId="0" applyNumberFormat="1" applyFont="1" applyFill="1" applyBorder="1" applyAlignment="1">
      <alignment wrapText="1"/>
    </xf>
    <xf numFmtId="0" fontId="0" fillId="54" borderId="20" xfId="0" applyFont="1" applyFill="1" applyBorder="1" applyAlignment="1">
      <alignment wrapText="1"/>
    </xf>
    <xf numFmtId="0" fontId="0" fillId="54" borderId="22" xfId="0" applyFont="1" applyFill="1" applyBorder="1" applyAlignment="1">
      <alignment wrapText="1"/>
    </xf>
    <xf numFmtId="199" fontId="17" fillId="54" borderId="23" xfId="1216" applyNumberFormat="1" applyFont="1" applyFill="1" applyBorder="1" applyAlignment="1">
      <alignment horizontal="right" wrapText="1"/>
    </xf>
    <xf numFmtId="199" fontId="0" fillId="54" borderId="20" xfId="0" applyNumberFormat="1" applyFont="1" applyFill="1" applyBorder="1" applyAlignment="1">
      <alignment wrapText="1"/>
    </xf>
    <xf numFmtId="199" fontId="0" fillId="54" borderId="22" xfId="0" applyNumberFormat="1" applyFont="1" applyFill="1" applyBorder="1" applyAlignment="1">
      <alignment wrapText="1"/>
    </xf>
    <xf numFmtId="0" fontId="46" fillId="54" borderId="0" xfId="0" applyFont="1" applyFill="1" applyAlignment="1">
      <alignment horizontal="center"/>
    </xf>
    <xf numFmtId="0" fontId="178" fillId="54" borderId="23" xfId="0" applyFont="1" applyFill="1" applyBorder="1" applyAlignment="1">
      <alignment horizontal="center" vertical="center" wrapText="1"/>
    </xf>
    <xf numFmtId="0" fontId="178" fillId="54" borderId="20" xfId="0" applyFont="1" applyFill="1" applyBorder="1" applyAlignment="1">
      <alignment horizontal="center" vertical="center" wrapText="1"/>
    </xf>
    <xf numFmtId="0" fontId="178" fillId="54" borderId="22" xfId="0" applyFont="1" applyFill="1" applyBorder="1" applyAlignment="1">
      <alignment horizontal="center" vertical="center" wrapText="1"/>
    </xf>
    <xf numFmtId="0" fontId="178" fillId="54" borderId="33" xfId="0" applyNumberFormat="1" applyFont="1" applyFill="1" applyBorder="1" applyAlignment="1">
      <alignment horizontal="center" vertical="center"/>
    </xf>
    <xf numFmtId="0" fontId="178" fillId="54" borderId="6" xfId="0" applyNumberFormat="1" applyFont="1" applyFill="1" applyBorder="1" applyAlignment="1">
      <alignment horizontal="center" vertical="center"/>
    </xf>
    <xf numFmtId="0" fontId="178" fillId="54" borderId="17" xfId="0" applyNumberFormat="1" applyFont="1" applyFill="1" applyBorder="1" applyAlignment="1">
      <alignment horizontal="center" vertical="center"/>
    </xf>
    <xf numFmtId="0" fontId="178" fillId="54" borderId="23" xfId="0" applyNumberFormat="1" applyFont="1" applyFill="1" applyBorder="1" applyAlignment="1">
      <alignment horizontal="center" vertical="center" wrapText="1"/>
    </xf>
    <xf numFmtId="0" fontId="178" fillId="54" borderId="22" xfId="0" applyNumberFormat="1" applyFont="1" applyFill="1" applyBorder="1" applyAlignment="1">
      <alignment horizontal="center" vertical="center" wrapText="1"/>
    </xf>
    <xf numFmtId="0" fontId="11" fillId="46" borderId="23" xfId="1209" applyFont="1" applyFill="1" applyBorder="1" applyAlignment="1">
      <alignment horizontal="center" vertical="center" wrapText="1"/>
    </xf>
    <xf numFmtId="0" fontId="11" fillId="46" borderId="22" xfId="1209" applyFont="1" applyFill="1" applyBorder="1" applyAlignment="1">
      <alignment horizontal="center" vertical="center" wrapText="1"/>
    </xf>
    <xf numFmtId="49" fontId="9" fillId="46" borderId="23" xfId="1209" applyNumberFormat="1" applyFont="1" applyFill="1" applyBorder="1" applyAlignment="1">
      <alignment horizontal="center" vertical="center" wrapText="1"/>
    </xf>
    <xf numFmtId="49" fontId="9" fillId="46" borderId="22" xfId="1209" applyNumberFormat="1" applyFont="1" applyFill="1" applyBorder="1" applyAlignment="1">
      <alignment horizontal="center" vertical="center" wrapText="1"/>
    </xf>
    <xf numFmtId="0" fontId="9" fillId="46" borderId="23" xfId="1209" applyFont="1" applyFill="1" applyBorder="1" applyAlignment="1">
      <alignment horizontal="center" vertical="center" wrapText="1"/>
    </xf>
    <xf numFmtId="0" fontId="9" fillId="46" borderId="22" xfId="1209" applyFont="1" applyFill="1" applyBorder="1" applyAlignment="1">
      <alignment horizontal="center" vertical="center" wrapText="1"/>
    </xf>
    <xf numFmtId="4" fontId="60" fillId="46" borderId="23" xfId="1209" applyNumberFormat="1" applyFont="1" applyFill="1" applyBorder="1" applyAlignment="1">
      <alignment vertical="center" wrapText="1"/>
    </xf>
    <xf numFmtId="4" fontId="60" fillId="46" borderId="22" xfId="1209" applyNumberFormat="1" applyFont="1" applyFill="1" applyBorder="1" applyAlignment="1">
      <alignment vertical="center" wrapText="1"/>
    </xf>
    <xf numFmtId="0" fontId="11" fillId="46" borderId="20" xfId="1209" applyFont="1" applyFill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46" borderId="20" xfId="1209" applyFont="1" applyFill="1" applyBorder="1" applyAlignment="1">
      <alignment horizontal="center" vertical="center" wrapText="1"/>
    </xf>
    <xf numFmtId="4" fontId="60" fillId="46" borderId="20" xfId="1209" applyNumberFormat="1" applyFont="1" applyFill="1" applyBorder="1" applyAlignment="1">
      <alignment vertical="center" wrapText="1"/>
    </xf>
    <xf numFmtId="0" fontId="60" fillId="46" borderId="23" xfId="1209" applyFont="1" applyFill="1" applyBorder="1" applyAlignment="1">
      <alignment horizontal="center" vertical="center" wrapText="1"/>
    </xf>
    <xf numFmtId="0" fontId="60" fillId="46" borderId="20" xfId="1209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205" fillId="46" borderId="23" xfId="1209" applyFont="1" applyFill="1" applyBorder="1" applyAlignment="1">
      <alignment horizontal="center" vertical="center" wrapText="1"/>
    </xf>
    <xf numFmtId="0" fontId="205" fillId="46" borderId="20" xfId="1209" applyFont="1" applyFill="1" applyBorder="1" applyAlignment="1">
      <alignment horizontal="center" vertical="center" wrapText="1"/>
    </xf>
    <xf numFmtId="0" fontId="205" fillId="46" borderId="22" xfId="1209" applyFont="1" applyFill="1" applyBorder="1" applyAlignment="1">
      <alignment horizontal="center" vertical="center" wrapText="1"/>
    </xf>
    <xf numFmtId="0" fontId="0" fillId="0" borderId="17" xfId="0" applyBorder="1" applyAlignment="1">
      <alignment horizontal="right"/>
    </xf>
    <xf numFmtId="0" fontId="11" fillId="46" borderId="23" xfId="1209" applyFont="1" applyFill="1" applyBorder="1" applyAlignment="1">
      <alignment vertical="center" wrapText="1"/>
    </xf>
    <xf numFmtId="0" fontId="11" fillId="46" borderId="22" xfId="1209" applyFont="1" applyFill="1" applyBorder="1" applyAlignment="1">
      <alignment vertical="center" wrapText="1"/>
    </xf>
    <xf numFmtId="0" fontId="42" fillId="46" borderId="23" xfId="1209" applyFont="1" applyFill="1" applyBorder="1" applyAlignment="1">
      <alignment horizontal="center" wrapText="1"/>
    </xf>
    <xf numFmtId="0" fontId="5" fillId="0" borderId="20" xfId="0" applyFont="1" applyBorder="1" applyAlignment="1">
      <alignment horizontal="center" wrapText="1"/>
    </xf>
    <xf numFmtId="0" fontId="5" fillId="0" borderId="22" xfId="0" applyFont="1" applyBorder="1" applyAlignment="1">
      <alignment horizontal="center" wrapText="1"/>
    </xf>
    <xf numFmtId="0" fontId="305" fillId="63" borderId="23" xfId="1209" applyFont="1" applyFill="1" applyBorder="1" applyAlignment="1">
      <alignment horizontal="center" vertical="center" wrapText="1"/>
    </xf>
    <xf numFmtId="0" fontId="305" fillId="63" borderId="20" xfId="1209" applyFont="1" applyFill="1" applyBorder="1" applyAlignment="1">
      <alignment horizontal="center" vertical="center" wrapText="1"/>
    </xf>
    <xf numFmtId="0" fontId="305" fillId="63" borderId="22" xfId="1209" applyFont="1" applyFill="1" applyBorder="1" applyAlignment="1">
      <alignment horizontal="center" vertical="center" wrapText="1"/>
    </xf>
    <xf numFmtId="0" fontId="60" fillId="46" borderId="23" xfId="1209" applyFont="1" applyFill="1" applyBorder="1" applyAlignment="1">
      <alignment horizontal="right" vertical="center" wrapText="1"/>
    </xf>
    <xf numFmtId="0" fontId="60" fillId="46" borderId="20" xfId="1209" applyFont="1" applyFill="1" applyBorder="1" applyAlignment="1">
      <alignment horizontal="right" vertical="center" wrapText="1"/>
    </xf>
    <xf numFmtId="0" fontId="60" fillId="46" borderId="22" xfId="1209" applyFont="1" applyFill="1" applyBorder="1" applyAlignment="1">
      <alignment horizontal="right" vertical="center" wrapText="1"/>
    </xf>
    <xf numFmtId="0" fontId="60" fillId="46" borderId="23" xfId="0" applyFont="1" applyFill="1" applyBorder="1" applyAlignment="1">
      <alignment horizontal="center" vertical="center" wrapText="1"/>
    </xf>
    <xf numFmtId="0" fontId="60" fillId="46" borderId="20" xfId="0" applyFont="1" applyFill="1" applyBorder="1" applyAlignment="1">
      <alignment horizontal="center" vertical="center" wrapText="1"/>
    </xf>
    <xf numFmtId="0" fontId="60" fillId="46" borderId="22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right" vertical="center" wrapText="1"/>
    </xf>
    <xf numFmtId="0" fontId="0" fillId="0" borderId="22" xfId="0" applyBorder="1" applyAlignment="1">
      <alignment horizontal="right" vertical="center" wrapText="1"/>
    </xf>
    <xf numFmtId="0" fontId="11" fillId="0" borderId="23" xfId="0" applyFont="1" applyBorder="1" applyAlignment="1">
      <alignment horizontal="center" vertical="center" wrapText="1"/>
    </xf>
    <xf numFmtId="0" fontId="0" fillId="0" borderId="20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0" xfId="0"/>
    <xf numFmtId="0" fontId="9" fillId="0" borderId="23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0" fillId="54" borderId="23" xfId="0" applyFill="1" applyBorder="1" applyAlignment="1">
      <alignment horizontal="center" vertical="top"/>
    </xf>
    <xf numFmtId="0" fontId="0" fillId="54" borderId="22" xfId="0" applyFont="1" applyFill="1" applyBorder="1" applyAlignment="1">
      <alignment horizontal="center" vertical="top"/>
    </xf>
    <xf numFmtId="0" fontId="0" fillId="54" borderId="33" xfId="0" applyFill="1" applyBorder="1" applyAlignment="1">
      <alignment horizontal="center" vertical="top" wrapText="1"/>
    </xf>
    <xf numFmtId="0" fontId="0" fillId="54" borderId="26" xfId="0" applyFill="1" applyBorder="1" applyAlignment="1">
      <alignment horizontal="center" vertical="top" wrapText="1"/>
    </xf>
    <xf numFmtId="0" fontId="0" fillId="58" borderId="23" xfId="0" applyFill="1" applyBorder="1" applyAlignment="1">
      <alignment horizontal="center" vertical="top"/>
    </xf>
    <xf numFmtId="0" fontId="0" fillId="58" borderId="22" xfId="0" applyFont="1" applyFill="1" applyBorder="1" applyAlignment="1">
      <alignment horizontal="center" vertical="top"/>
    </xf>
    <xf numFmtId="0" fontId="42" fillId="54" borderId="23" xfId="0" applyFont="1" applyFill="1" applyBorder="1" applyAlignment="1">
      <alignment horizontal="center" vertical="center" wrapText="1"/>
    </xf>
    <xf numFmtId="0" fontId="0" fillId="54" borderId="22" xfId="0" applyFont="1" applyFill="1" applyBorder="1" applyAlignment="1">
      <alignment horizontal="center" vertical="center" wrapText="1"/>
    </xf>
    <xf numFmtId="0" fontId="42" fillId="54" borderId="23" xfId="1209" applyFont="1" applyFill="1" applyBorder="1" applyAlignment="1">
      <alignment vertical="center" wrapText="1"/>
    </xf>
    <xf numFmtId="0" fontId="0" fillId="54" borderId="22" xfId="0" applyFont="1" applyFill="1" applyBorder="1" applyAlignment="1">
      <alignment vertical="center" wrapText="1"/>
    </xf>
    <xf numFmtId="0" fontId="42" fillId="54" borderId="23" xfId="1209" applyFont="1" applyFill="1" applyBorder="1" applyAlignment="1">
      <alignment horizontal="center" wrapText="1"/>
    </xf>
    <xf numFmtId="0" fontId="0" fillId="54" borderId="22" xfId="0" applyFont="1" applyFill="1" applyBorder="1" applyAlignment="1">
      <alignment horizontal="center" wrapText="1"/>
    </xf>
    <xf numFmtId="0" fontId="178" fillId="54" borderId="23" xfId="0" applyFont="1" applyFill="1" applyBorder="1" applyAlignment="1">
      <alignment horizontal="right"/>
    </xf>
    <xf numFmtId="0" fontId="178" fillId="54" borderId="22" xfId="0" applyFont="1" applyFill="1" applyBorder="1" applyAlignment="1">
      <alignment horizontal="right"/>
    </xf>
    <xf numFmtId="0" fontId="42" fillId="54" borderId="23" xfId="1209" applyFont="1" applyFill="1" applyBorder="1" applyAlignment="1">
      <alignment horizontal="center" vertical="center" wrapText="1"/>
    </xf>
    <xf numFmtId="0" fontId="0" fillId="54" borderId="20" xfId="0" applyFill="1" applyBorder="1" applyAlignment="1">
      <alignment horizontal="center" vertical="center" wrapText="1"/>
    </xf>
    <xf numFmtId="0" fontId="178" fillId="0" borderId="23" xfId="0" applyFont="1" applyBorder="1" applyAlignment="1">
      <alignment horizontal="right"/>
    </xf>
    <xf numFmtId="0" fontId="178" fillId="0" borderId="22" xfId="0" applyFont="1" applyBorder="1" applyAlignment="1">
      <alignment horizontal="right"/>
    </xf>
    <xf numFmtId="0" fontId="42" fillId="63" borderId="23" xfId="1209" applyFont="1" applyFill="1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42" fillId="63" borderId="23" xfId="1209" applyFont="1" applyFill="1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42" fillId="63" borderId="23" xfId="0" applyFont="1" applyFill="1" applyBorder="1" applyAlignment="1">
      <alignment horizontal="center" vertical="center" wrapText="1"/>
    </xf>
    <xf numFmtId="0" fontId="11" fillId="58" borderId="17" xfId="0" applyFont="1" applyFill="1" applyBorder="1" applyAlignment="1">
      <alignment horizontal="center" vertical="center" wrapText="1"/>
    </xf>
    <xf numFmtId="0" fontId="11" fillId="58" borderId="17" xfId="0" applyFont="1" applyFill="1" applyBorder="1" applyAlignment="1">
      <alignment vertical="center" wrapText="1"/>
    </xf>
    <xf numFmtId="0" fontId="0" fillId="58" borderId="17" xfId="0" applyFill="1" applyBorder="1" applyAlignment="1">
      <alignment vertical="center" wrapText="1"/>
    </xf>
    <xf numFmtId="170" fontId="11" fillId="58" borderId="17" xfId="0" applyNumberFormat="1" applyFont="1" applyFill="1" applyBorder="1" applyAlignment="1">
      <alignment vertical="center" wrapText="1"/>
    </xf>
    <xf numFmtId="0" fontId="0" fillId="58" borderId="17" xfId="0" applyFill="1" applyBorder="1" applyAlignment="1">
      <alignment horizontal="center" vertical="center" wrapText="1"/>
    </xf>
    <xf numFmtId="0" fontId="0" fillId="58" borderId="17" xfId="0" applyFont="1" applyFill="1" applyBorder="1" applyAlignment="1">
      <alignment vertical="center" wrapText="1"/>
    </xf>
    <xf numFmtId="0" fontId="11" fillId="58" borderId="17" xfId="0" applyFont="1" applyFill="1" applyBorder="1" applyAlignment="1">
      <alignment horizontal="center" vertical="center"/>
    </xf>
    <xf numFmtId="170" fontId="11" fillId="58" borderId="17" xfId="0" applyNumberFormat="1" applyFont="1" applyFill="1" applyBorder="1" applyAlignment="1">
      <alignment vertical="center"/>
    </xf>
    <xf numFmtId="170" fontId="11" fillId="58" borderId="17" xfId="0" applyNumberFormat="1" applyFont="1" applyFill="1" applyBorder="1" applyAlignment="1">
      <alignment horizontal="center" vertical="center"/>
    </xf>
    <xf numFmtId="170" fontId="11" fillId="58" borderId="17" xfId="0" applyNumberFormat="1" applyFont="1" applyFill="1" applyBorder="1"/>
    <xf numFmtId="0" fontId="11" fillId="58" borderId="17" xfId="0" applyFont="1" applyFill="1" applyBorder="1" applyAlignment="1">
      <alignment vertical="center"/>
    </xf>
    <xf numFmtId="0" fontId="60" fillId="58" borderId="17" xfId="1210" applyFont="1" applyFill="1" applyBorder="1" applyAlignment="1">
      <alignment horizontal="left" vertical="center" wrapText="1"/>
    </xf>
    <xf numFmtId="0" fontId="0" fillId="58" borderId="17" xfId="0" applyFont="1" applyFill="1" applyBorder="1" applyAlignment="1">
      <alignment horizontal="left" vertical="center" wrapText="1"/>
    </xf>
    <xf numFmtId="0" fontId="11" fillId="58" borderId="17" xfId="0" applyFont="1" applyFill="1" applyBorder="1" applyAlignment="1">
      <alignment horizontal="left" vertical="center" wrapText="1"/>
    </xf>
    <xf numFmtId="0" fontId="17" fillId="54" borderId="23" xfId="0" applyFont="1" applyFill="1" applyBorder="1" applyAlignment="1">
      <alignment horizontal="center" vertical="top" wrapText="1"/>
    </xf>
    <xf numFmtId="0" fontId="17" fillId="54" borderId="22" xfId="0" applyFont="1" applyFill="1" applyBorder="1" applyAlignment="1">
      <alignment horizontal="center" vertical="top" wrapText="1"/>
    </xf>
    <xf numFmtId="0" fontId="17" fillId="54" borderId="6" xfId="0" applyFont="1" applyFill="1" applyBorder="1" applyAlignment="1">
      <alignment horizontal="center" vertical="top" wrapText="1"/>
    </xf>
    <xf numFmtId="0" fontId="17" fillId="54" borderId="26" xfId="0" applyFont="1" applyFill="1" applyBorder="1" applyAlignment="1">
      <alignment horizontal="center" vertical="top" wrapText="1"/>
    </xf>
    <xf numFmtId="0" fontId="17" fillId="54" borderId="33" xfId="0" applyFont="1" applyFill="1" applyBorder="1" applyAlignment="1">
      <alignment horizontal="center" vertical="top" wrapText="1"/>
    </xf>
    <xf numFmtId="0" fontId="11" fillId="46" borderId="23" xfId="1208" applyFont="1" applyFill="1" applyBorder="1" applyAlignment="1">
      <alignment horizontal="center" vertical="center" wrapText="1"/>
    </xf>
    <xf numFmtId="0" fontId="11" fillId="46" borderId="22" xfId="1208" applyFont="1" applyFill="1" applyBorder="1" applyAlignment="1">
      <alignment horizontal="center" vertical="center" wrapText="1"/>
    </xf>
    <xf numFmtId="0" fontId="70" fillId="0" borderId="23" xfId="1176" applyFont="1" applyBorder="1" applyAlignment="1">
      <alignment horizontal="center" vertical="top" wrapText="1"/>
    </xf>
    <xf numFmtId="0" fontId="0" fillId="0" borderId="22" xfId="0" applyBorder="1" applyAlignment="1">
      <alignment horizontal="center" vertical="top" wrapText="1"/>
    </xf>
    <xf numFmtId="0" fontId="70" fillId="54" borderId="23" xfId="1176" applyFont="1" applyFill="1" applyBorder="1" applyAlignment="1">
      <alignment horizontal="center" vertical="top" wrapText="1"/>
    </xf>
    <xf numFmtId="0" fontId="0" fillId="54" borderId="22" xfId="0" applyFill="1" applyBorder="1" applyAlignment="1">
      <alignment vertical="top" wrapText="1"/>
    </xf>
    <xf numFmtId="0" fontId="70" fillId="0" borderId="20" xfId="1176" applyFont="1" applyBorder="1" applyAlignment="1">
      <alignment horizontal="center" vertical="top" wrapText="1"/>
    </xf>
    <xf numFmtId="0" fontId="70" fillId="0" borderId="23" xfId="1176" applyFont="1" applyBorder="1" applyAlignment="1">
      <alignment horizontal="center" vertical="center" textRotation="90" wrapText="1"/>
    </xf>
    <xf numFmtId="0" fontId="70" fillId="0" borderId="20" xfId="1176" applyFont="1" applyBorder="1" applyAlignment="1">
      <alignment horizontal="center" vertical="center" textRotation="90" wrapText="1"/>
    </xf>
    <xf numFmtId="0" fontId="70" fillId="0" borderId="22" xfId="1176" applyFont="1" applyBorder="1" applyAlignment="1">
      <alignment horizontal="center" vertical="center" textRotation="90" wrapText="1"/>
    </xf>
    <xf numFmtId="0" fontId="353" fillId="54" borderId="23" xfId="1176" applyFont="1" applyFill="1" applyBorder="1" applyAlignment="1">
      <alignment horizontal="center" vertical="top" wrapText="1"/>
    </xf>
    <xf numFmtId="0" fontId="307" fillId="54" borderId="22" xfId="0" applyFont="1" applyFill="1" applyBorder="1" applyAlignment="1">
      <alignment vertical="top" wrapText="1"/>
    </xf>
    <xf numFmtId="0" fontId="74" fillId="0" borderId="33" xfId="1176" applyFont="1" applyBorder="1" applyAlignment="1">
      <alignment horizontal="center" vertical="top" wrapText="1"/>
    </xf>
    <xf numFmtId="0" fontId="77" fillId="0" borderId="6" xfId="0" applyFont="1" applyBorder="1" applyAlignment="1"/>
    <xf numFmtId="0" fontId="77" fillId="0" borderId="26" xfId="0" applyFont="1" applyBorder="1" applyAlignment="1"/>
    <xf numFmtId="0" fontId="15" fillId="54" borderId="0" xfId="0" applyFont="1" applyFill="1" applyAlignment="1">
      <alignment horizontal="center" wrapText="1"/>
    </xf>
    <xf numFmtId="0" fontId="0" fillId="54" borderId="0" xfId="0" applyFont="1" applyFill="1" applyAlignment="1">
      <alignment horizontal="center" wrapText="1"/>
    </xf>
    <xf numFmtId="0" fontId="0" fillId="0" borderId="20" xfId="0" applyBorder="1" applyAlignment="1">
      <alignment wrapText="1"/>
    </xf>
    <xf numFmtId="0" fontId="0" fillId="0" borderId="22" xfId="0" applyBorder="1" applyAlignment="1">
      <alignment wrapText="1"/>
    </xf>
    <xf numFmtId="0" fontId="10" fillId="0" borderId="0" xfId="0" quotePrefix="1" applyFont="1" applyAlignment="1">
      <alignment horizontal="left" vertical="center" wrapText="1"/>
    </xf>
    <xf numFmtId="0" fontId="10" fillId="0" borderId="0" xfId="0" applyFont="1" applyAlignment="1">
      <alignment horizontal="justify" vertical="center" wrapText="1"/>
    </xf>
    <xf numFmtId="0" fontId="10" fillId="46" borderId="0" xfId="0" quotePrefix="1" applyFont="1" applyFill="1" applyAlignment="1">
      <alignment horizontal="left" vertical="center" wrapText="1"/>
    </xf>
    <xf numFmtId="0" fontId="10" fillId="46" borderId="0" xfId="0" applyFont="1" applyFill="1" applyAlignment="1">
      <alignment horizontal="justify" vertical="center" wrapText="1"/>
    </xf>
    <xf numFmtId="0" fontId="9" fillId="46" borderId="23" xfId="0" applyFont="1" applyFill="1" applyBorder="1" applyAlignment="1">
      <alignment vertical="top" wrapText="1"/>
    </xf>
    <xf numFmtId="0" fontId="9" fillId="46" borderId="20" xfId="0" applyFont="1" applyFill="1" applyBorder="1" applyAlignment="1">
      <alignment vertical="top" wrapText="1"/>
    </xf>
    <xf numFmtId="0" fontId="9" fillId="46" borderId="22" xfId="0" applyFont="1" applyFill="1" applyBorder="1" applyAlignment="1">
      <alignment vertical="top" wrapText="1"/>
    </xf>
    <xf numFmtId="0" fontId="10" fillId="46" borderId="23" xfId="0" applyFont="1" applyFill="1" applyBorder="1" applyAlignment="1">
      <alignment horizontal="center" vertical="top" wrapText="1"/>
    </xf>
    <xf numFmtId="0" fontId="10" fillId="46" borderId="20" xfId="0" applyFont="1" applyFill="1" applyBorder="1" applyAlignment="1">
      <alignment horizontal="center" vertical="top" wrapText="1"/>
    </xf>
    <xf numFmtId="0" fontId="10" fillId="46" borderId="22" xfId="0" applyFont="1" applyFill="1" applyBorder="1" applyAlignment="1">
      <alignment horizontal="center" vertical="top" wrapText="1"/>
    </xf>
    <xf numFmtId="0" fontId="11" fillId="0" borderId="23" xfId="0" applyFont="1" applyBorder="1" applyAlignment="1">
      <alignment horizontal="center" vertical="top"/>
    </xf>
    <xf numFmtId="0" fontId="11" fillId="0" borderId="20" xfId="0" applyFont="1" applyBorder="1" applyAlignment="1">
      <alignment horizontal="center" vertical="top"/>
    </xf>
    <xf numFmtId="0" fontId="11" fillId="0" borderId="22" xfId="0" applyFont="1" applyBorder="1" applyAlignment="1">
      <alignment horizontal="center" vertical="top"/>
    </xf>
    <xf numFmtId="0" fontId="11" fillId="0" borderId="23" xfId="0" applyFont="1" applyBorder="1" applyAlignment="1">
      <alignment horizontal="center" vertical="top" wrapText="1"/>
    </xf>
    <xf numFmtId="0" fontId="11" fillId="0" borderId="20" xfId="0" applyFont="1" applyBorder="1" applyAlignment="1">
      <alignment horizontal="center" vertical="top" wrapText="1"/>
    </xf>
    <xf numFmtId="0" fontId="11" fillId="0" borderId="22" xfId="0" applyFont="1" applyBorder="1" applyAlignment="1">
      <alignment horizontal="center" vertical="top" wrapText="1"/>
    </xf>
    <xf numFmtId="170" fontId="11" fillId="0" borderId="33" xfId="0" applyNumberFormat="1" applyFont="1" applyBorder="1" applyAlignment="1"/>
    <xf numFmtId="0" fontId="0" fillId="0" borderId="26" xfId="0" applyFont="1" applyBorder="1" applyAlignment="1"/>
    <xf numFmtId="0" fontId="11" fillId="0" borderId="33" xfId="0" applyFont="1" applyBorder="1" applyAlignment="1">
      <alignment horizontal="center" vertical="top" wrapText="1"/>
    </xf>
    <xf numFmtId="0" fontId="0" fillId="0" borderId="26" xfId="0" applyBorder="1" applyAlignment="1">
      <alignment wrapText="1"/>
    </xf>
    <xf numFmtId="0" fontId="9" fillId="0" borderId="23" xfId="0" applyFont="1" applyBorder="1" applyAlignment="1">
      <alignment horizontal="center" vertical="top" wrapText="1"/>
    </xf>
    <xf numFmtId="0" fontId="9" fillId="0" borderId="22" xfId="0" applyFont="1" applyBorder="1" applyAlignment="1">
      <alignment horizontal="center" vertical="top" wrapText="1"/>
    </xf>
    <xf numFmtId="164" fontId="9" fillId="0" borderId="23" xfId="0" applyNumberFormat="1" applyFont="1" applyBorder="1" applyAlignment="1">
      <alignment vertical="top" wrapText="1"/>
    </xf>
    <xf numFmtId="164" fontId="9" fillId="0" borderId="22" xfId="0" applyNumberFormat="1" applyFont="1" applyBorder="1" applyAlignment="1">
      <alignment vertical="top" wrapText="1"/>
    </xf>
    <xf numFmtId="168" fontId="9" fillId="0" borderId="20" xfId="0" applyNumberFormat="1" applyFont="1" applyBorder="1" applyAlignment="1">
      <alignment vertical="top" wrapText="1"/>
    </xf>
    <xf numFmtId="0" fontId="9" fillId="0" borderId="22" xfId="0" applyFont="1" applyBorder="1" applyAlignment="1">
      <alignment vertical="top" wrapText="1"/>
    </xf>
    <xf numFmtId="0" fontId="9" fillId="0" borderId="23" xfId="0" applyFont="1" applyBorder="1" applyAlignment="1">
      <alignment vertical="top" wrapText="1"/>
    </xf>
    <xf numFmtId="0" fontId="9" fillId="0" borderId="20" xfId="0" applyFont="1" applyBorder="1" applyAlignment="1">
      <alignment horizontal="center" vertical="top" wrapText="1"/>
    </xf>
    <xf numFmtId="0" fontId="9" fillId="0" borderId="28" xfId="0" applyFont="1" applyBorder="1" applyAlignment="1">
      <alignment horizontal="center" vertical="top" wrapText="1"/>
    </xf>
    <xf numFmtId="0" fontId="9" fillId="0" borderId="27" xfId="0" applyFont="1" applyBorder="1" applyAlignment="1">
      <alignment horizontal="center" vertical="top" wrapText="1"/>
    </xf>
    <xf numFmtId="0" fontId="9" fillId="0" borderId="48" xfId="0" applyFont="1" applyBorder="1" applyAlignment="1">
      <alignment horizontal="center" vertical="top" wrapText="1"/>
    </xf>
    <xf numFmtId="0" fontId="9" fillId="0" borderId="19" xfId="0" applyFont="1" applyBorder="1" applyAlignment="1">
      <alignment horizontal="center" vertical="top" wrapText="1"/>
    </xf>
    <xf numFmtId="0" fontId="9" fillId="0" borderId="30" xfId="0" applyFont="1" applyBorder="1" applyAlignment="1">
      <alignment horizontal="center" vertical="top" wrapText="1"/>
    </xf>
    <xf numFmtId="0" fontId="9" fillId="0" borderId="25" xfId="0" applyFont="1" applyBorder="1" applyAlignment="1">
      <alignment horizontal="center" vertical="top" wrapText="1"/>
    </xf>
    <xf numFmtId="168" fontId="9" fillId="0" borderId="20" xfId="0" applyNumberFormat="1" applyFont="1" applyBorder="1" applyAlignment="1">
      <alignment horizontal="right"/>
    </xf>
    <xf numFmtId="168" fontId="9" fillId="0" borderId="22" xfId="0" applyNumberFormat="1" applyFont="1" applyBorder="1" applyAlignment="1">
      <alignment horizontal="right"/>
    </xf>
    <xf numFmtId="0" fontId="9" fillId="0" borderId="33" xfId="0" applyFont="1" applyBorder="1" applyAlignment="1">
      <alignment horizontal="center" vertical="top" wrapText="1"/>
    </xf>
    <xf numFmtId="0" fontId="9" fillId="0" borderId="26" xfId="0" applyFont="1" applyBorder="1" applyAlignment="1">
      <alignment horizontal="center" vertical="top" wrapText="1"/>
    </xf>
    <xf numFmtId="164" fontId="9" fillId="46" borderId="23" xfId="0" applyNumberFormat="1" applyFont="1" applyFill="1" applyBorder="1" applyAlignment="1">
      <alignment vertical="top" wrapText="1"/>
    </xf>
    <xf numFmtId="164" fontId="9" fillId="46" borderId="22" xfId="0" applyNumberFormat="1" applyFont="1" applyFill="1" applyBorder="1" applyAlignment="1">
      <alignment vertical="top" wrapText="1"/>
    </xf>
    <xf numFmtId="168" fontId="9" fillId="0" borderId="23" xfId="0" applyNumberFormat="1" applyFont="1" applyBorder="1" applyAlignment="1">
      <alignment vertical="top" wrapText="1"/>
    </xf>
    <xf numFmtId="168" fontId="9" fillId="0" borderId="22" xfId="0" applyNumberFormat="1" applyFont="1" applyBorder="1" applyAlignment="1">
      <alignment vertical="top" wrapText="1"/>
    </xf>
    <xf numFmtId="164" fontId="9" fillId="46" borderId="144" xfId="0" applyNumberFormat="1" applyFont="1" applyFill="1" applyBorder="1" applyAlignment="1">
      <alignment horizontal="right" vertical="top"/>
    </xf>
    <xf numFmtId="164" fontId="9" fillId="46" borderId="22" xfId="0" applyNumberFormat="1" applyFont="1" applyFill="1" applyBorder="1" applyAlignment="1">
      <alignment horizontal="right" vertical="top"/>
    </xf>
    <xf numFmtId="0" fontId="9" fillId="0" borderId="20" xfId="0" applyFont="1" applyBorder="1" applyAlignment="1">
      <alignment vertical="top" wrapText="1"/>
    </xf>
    <xf numFmtId="0" fontId="9" fillId="54" borderId="33" xfId="0" applyFont="1" applyFill="1" applyBorder="1" applyAlignment="1">
      <alignment horizontal="center" vertical="top" wrapText="1"/>
    </xf>
    <xf numFmtId="0" fontId="9" fillId="54" borderId="26" xfId="0" applyFont="1" applyFill="1" applyBorder="1" applyAlignment="1">
      <alignment horizontal="center" vertical="top" wrapText="1"/>
    </xf>
    <xf numFmtId="0" fontId="9" fillId="54" borderId="23" xfId="0" applyFont="1" applyFill="1" applyBorder="1" applyAlignment="1">
      <alignment horizontal="center" vertical="top" wrapText="1"/>
    </xf>
    <xf numFmtId="0" fontId="9" fillId="54" borderId="22" xfId="0" applyFont="1" applyFill="1" applyBorder="1" applyAlignment="1">
      <alignment horizontal="center" vertical="top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9" fillId="0" borderId="17" xfId="0" applyFont="1" applyBorder="1" applyAlignment="1">
      <alignment horizontal="center"/>
    </xf>
    <xf numFmtId="0" fontId="9" fillId="0" borderId="17" xfId="0" applyFont="1" applyBorder="1" applyAlignment="1">
      <alignment horizontal="center" vertical="center" wrapText="1"/>
    </xf>
    <xf numFmtId="0" fontId="70" fillId="54" borderId="20" xfId="1176" applyFont="1" applyFill="1" applyBorder="1" applyAlignment="1">
      <alignment horizontal="center" vertical="top" wrapText="1"/>
    </xf>
    <xf numFmtId="0" fontId="70" fillId="54" borderId="23" xfId="1176" applyFont="1" applyFill="1" applyBorder="1" applyAlignment="1">
      <alignment horizontal="center" vertical="center" textRotation="90" wrapText="1"/>
    </xf>
    <xf numFmtId="0" fontId="70" fillId="54" borderId="20" xfId="1176" applyFont="1" applyFill="1" applyBorder="1" applyAlignment="1">
      <alignment horizontal="center" vertical="center" textRotation="90" wrapText="1"/>
    </xf>
    <xf numFmtId="0" fontId="70" fillId="54" borderId="22" xfId="1176" applyFont="1" applyFill="1" applyBorder="1" applyAlignment="1">
      <alignment horizontal="center" vertical="center" textRotation="90" wrapText="1"/>
    </xf>
    <xf numFmtId="0" fontId="70" fillId="54" borderId="23" xfId="1176" applyFont="1" applyFill="1" applyBorder="1" applyAlignment="1">
      <alignment horizontal="center" vertical="center" wrapText="1"/>
    </xf>
    <xf numFmtId="0" fontId="5" fillId="54" borderId="22" xfId="0" applyFont="1" applyFill="1" applyBorder="1" applyAlignment="1">
      <alignment horizontal="center" vertical="center" wrapText="1"/>
    </xf>
    <xf numFmtId="0" fontId="5" fillId="54" borderId="22" xfId="0" applyFont="1" applyFill="1" applyBorder="1" applyAlignment="1">
      <alignment vertical="top" wrapText="1"/>
    </xf>
    <xf numFmtId="0" fontId="70" fillId="54" borderId="23" xfId="1176" applyFont="1" applyFill="1" applyBorder="1" applyAlignment="1">
      <alignment horizontal="center" textRotation="90" wrapText="1"/>
    </xf>
    <xf numFmtId="0" fontId="70" fillId="54" borderId="20" xfId="1176" applyFont="1" applyFill="1" applyBorder="1" applyAlignment="1">
      <alignment horizontal="center" textRotation="90" wrapText="1"/>
    </xf>
    <xf numFmtId="0" fontId="70" fillId="54" borderId="22" xfId="1176" applyFont="1" applyFill="1" applyBorder="1" applyAlignment="1">
      <alignment horizontal="center" textRotation="90" wrapText="1"/>
    </xf>
    <xf numFmtId="0" fontId="5" fillId="54" borderId="22" xfId="0" applyFont="1" applyFill="1" applyBorder="1" applyAlignment="1">
      <alignment horizontal="center" vertical="top" wrapText="1"/>
    </xf>
    <xf numFmtId="0" fontId="74" fillId="54" borderId="33" xfId="1176" applyFont="1" applyFill="1" applyBorder="1" applyAlignment="1">
      <alignment horizontal="center" vertical="top" wrapText="1"/>
    </xf>
    <xf numFmtId="0" fontId="77" fillId="54" borderId="6" xfId="0" applyFont="1" applyFill="1" applyBorder="1" applyAlignment="1"/>
    <xf numFmtId="0" fontId="77" fillId="54" borderId="26" xfId="0" applyFont="1" applyFill="1" applyBorder="1" applyAlignment="1"/>
    <xf numFmtId="0" fontId="11" fillId="54" borderId="23" xfId="1208" applyFont="1" applyFill="1" applyBorder="1" applyAlignment="1">
      <alignment horizontal="center" vertical="center" wrapText="1"/>
    </xf>
    <xf numFmtId="0" fontId="11" fillId="54" borderId="22" xfId="1208" applyFont="1" applyFill="1" applyBorder="1" applyAlignment="1">
      <alignment horizontal="center" vertical="center" wrapText="1"/>
    </xf>
    <xf numFmtId="0" fontId="11" fillId="54" borderId="33" xfId="0" applyFont="1" applyFill="1" applyBorder="1" applyAlignment="1">
      <alignment horizontal="right"/>
    </xf>
    <xf numFmtId="0" fontId="5" fillId="54" borderId="26" xfId="0" applyFont="1" applyFill="1" applyBorder="1" applyAlignment="1"/>
    <xf numFmtId="0" fontId="11" fillId="54" borderId="23" xfId="0" applyFont="1" applyFill="1" applyBorder="1" applyAlignment="1">
      <alignment horizontal="center" vertical="top"/>
    </xf>
    <xf numFmtId="0" fontId="11" fillId="54" borderId="20" xfId="0" applyFont="1" applyFill="1" applyBorder="1" applyAlignment="1">
      <alignment horizontal="center" vertical="top"/>
    </xf>
    <xf numFmtId="0" fontId="11" fillId="54" borderId="22" xfId="0" applyFont="1" applyFill="1" applyBorder="1" applyAlignment="1">
      <alignment horizontal="center" vertical="top"/>
    </xf>
    <xf numFmtId="0" fontId="11" fillId="54" borderId="23" xfId="0" applyFont="1" applyFill="1" applyBorder="1" applyAlignment="1">
      <alignment horizontal="center" vertical="top" wrapText="1"/>
    </xf>
    <xf numFmtId="0" fontId="11" fillId="54" borderId="20" xfId="0" applyFont="1" applyFill="1" applyBorder="1" applyAlignment="1">
      <alignment horizontal="center" vertical="top" wrapText="1"/>
    </xf>
    <xf numFmtId="0" fontId="11" fillId="54" borderId="22" xfId="0" applyFont="1" applyFill="1" applyBorder="1" applyAlignment="1">
      <alignment horizontal="center" vertical="top" wrapText="1"/>
    </xf>
    <xf numFmtId="0" fontId="11" fillId="54" borderId="146" xfId="0" applyFont="1" applyFill="1" applyBorder="1" applyAlignment="1">
      <alignment horizontal="center" vertical="top" wrapText="1"/>
    </xf>
    <xf numFmtId="0" fontId="5" fillId="54" borderId="147" xfId="0" applyFont="1" applyFill="1" applyBorder="1" applyAlignment="1">
      <alignment wrapText="1"/>
    </xf>
    <xf numFmtId="0" fontId="5" fillId="54" borderId="148" xfId="0" applyFont="1" applyFill="1" applyBorder="1" applyAlignment="1">
      <alignment wrapText="1"/>
    </xf>
    <xf numFmtId="0" fontId="5" fillId="54" borderId="19" xfId="0" applyFont="1" applyFill="1" applyBorder="1" applyAlignment="1">
      <alignment wrapText="1"/>
    </xf>
    <xf numFmtId="0" fontId="5" fillId="54" borderId="149" xfId="0" applyFont="1" applyFill="1" applyBorder="1" applyAlignment="1">
      <alignment wrapText="1"/>
    </xf>
    <xf numFmtId="0" fontId="5" fillId="54" borderId="25" xfId="0" applyFont="1" applyFill="1" applyBorder="1" applyAlignment="1">
      <alignment wrapText="1"/>
    </xf>
    <xf numFmtId="0" fontId="11" fillId="54" borderId="33" xfId="0" applyFont="1" applyFill="1" applyBorder="1" applyAlignment="1">
      <alignment horizontal="right" wrapText="1"/>
    </xf>
    <xf numFmtId="0" fontId="5" fillId="54" borderId="26" xfId="0" applyFont="1" applyFill="1" applyBorder="1" applyAlignment="1">
      <alignment wrapText="1"/>
    </xf>
    <xf numFmtId="0" fontId="11" fillId="54" borderId="105" xfId="1210" applyFont="1" applyFill="1" applyBorder="1" applyAlignment="1">
      <alignment horizontal="center" vertical="top" wrapText="1"/>
    </xf>
    <xf numFmtId="0" fontId="11" fillId="54" borderId="22" xfId="1210" applyFont="1" applyFill="1" applyBorder="1" applyAlignment="1">
      <alignment horizontal="center" vertical="top" wrapText="1"/>
    </xf>
    <xf numFmtId="0" fontId="29" fillId="54" borderId="105" xfId="1215" applyFont="1" applyFill="1" applyBorder="1" applyAlignment="1">
      <alignment horizontal="center" vertical="center" wrapText="1"/>
    </xf>
    <xf numFmtId="0" fontId="29" fillId="54" borderId="22" xfId="1215" applyFont="1" applyFill="1" applyBorder="1" applyAlignment="1">
      <alignment horizontal="center" vertical="center" wrapText="1"/>
    </xf>
    <xf numFmtId="0" fontId="11" fillId="54" borderId="25" xfId="1210" applyFont="1" applyFill="1" applyBorder="1" applyAlignment="1">
      <alignment horizontal="center" vertical="top" wrapText="1"/>
    </xf>
    <xf numFmtId="0" fontId="9" fillId="0" borderId="33" xfId="0" applyFont="1" applyBorder="1" applyAlignment="1">
      <alignment vertical="top" wrapText="1"/>
    </xf>
    <xf numFmtId="0" fontId="12" fillId="0" borderId="23" xfId="0" applyFont="1" applyBorder="1" applyAlignment="1">
      <alignment horizontal="center" vertical="top" wrapText="1"/>
    </xf>
    <xf numFmtId="0" fontId="12" fillId="0" borderId="22" xfId="0" applyFont="1" applyBorder="1" applyAlignment="1">
      <alignment horizontal="center" vertical="top" wrapText="1"/>
    </xf>
    <xf numFmtId="0" fontId="9" fillId="0" borderId="30" xfId="0" applyFont="1" applyBorder="1" applyAlignment="1">
      <alignment vertical="top" wrapText="1"/>
    </xf>
    <xf numFmtId="0" fontId="9" fillId="0" borderId="25" xfId="0" applyFont="1" applyBorder="1" applyAlignment="1">
      <alignment vertical="top" wrapText="1"/>
    </xf>
    <xf numFmtId="0" fontId="10" fillId="46" borderId="28" xfId="0" applyFont="1" applyFill="1" applyBorder="1" applyAlignment="1">
      <alignment vertical="top" wrapText="1"/>
    </xf>
    <xf numFmtId="0" fontId="10" fillId="46" borderId="29" xfId="0" applyFont="1" applyFill="1" applyBorder="1" applyAlignment="1">
      <alignment vertical="top" wrapText="1"/>
    </xf>
    <xf numFmtId="0" fontId="10" fillId="46" borderId="27" xfId="0" applyFont="1" applyFill="1" applyBorder="1" applyAlignment="1">
      <alignment vertical="top" wrapText="1"/>
    </xf>
    <xf numFmtId="0" fontId="10" fillId="46" borderId="30" xfId="0" applyFont="1" applyFill="1" applyBorder="1" applyAlignment="1">
      <alignment vertical="top" wrapText="1"/>
    </xf>
    <xf numFmtId="0" fontId="10" fillId="46" borderId="24" xfId="0" applyFont="1" applyFill="1" applyBorder="1" applyAlignment="1">
      <alignment vertical="top" wrapText="1"/>
    </xf>
    <xf numFmtId="0" fontId="10" fillId="46" borderId="25" xfId="0" applyFont="1" applyFill="1" applyBorder="1" applyAlignment="1">
      <alignment vertical="top" wrapText="1"/>
    </xf>
    <xf numFmtId="0" fontId="10" fillId="0" borderId="33" xfId="0" applyFont="1" applyBorder="1" applyAlignment="1">
      <alignment vertical="top" wrapText="1"/>
    </xf>
    <xf numFmtId="0" fontId="10" fillId="0" borderId="6" xfId="0" applyFont="1" applyBorder="1" applyAlignment="1">
      <alignment vertical="top" wrapText="1"/>
    </xf>
    <xf numFmtId="0" fontId="10" fillId="0" borderId="26" xfId="0" applyFont="1" applyBorder="1" applyAlignment="1">
      <alignment vertical="top" wrapText="1"/>
    </xf>
    <xf numFmtId="0" fontId="10" fillId="46" borderId="28" xfId="0" applyFont="1" applyFill="1" applyBorder="1" applyAlignment="1">
      <alignment horizontal="center" vertical="top" wrapText="1"/>
    </xf>
    <xf numFmtId="0" fontId="10" fillId="46" borderId="29" xfId="0" applyFont="1" applyFill="1" applyBorder="1" applyAlignment="1">
      <alignment horizontal="center" vertical="top" wrapText="1"/>
    </xf>
    <xf numFmtId="0" fontId="10" fillId="46" borderId="27" xfId="0" applyFont="1" applyFill="1" applyBorder="1" applyAlignment="1">
      <alignment horizontal="center" vertical="top" wrapText="1"/>
    </xf>
    <xf numFmtId="0" fontId="10" fillId="46" borderId="30" xfId="0" applyFont="1" applyFill="1" applyBorder="1" applyAlignment="1">
      <alignment horizontal="center" vertical="top" wrapText="1"/>
    </xf>
    <xf numFmtId="0" fontId="10" fillId="46" borderId="24" xfId="0" applyFont="1" applyFill="1" applyBorder="1" applyAlignment="1">
      <alignment horizontal="center" vertical="top" wrapText="1"/>
    </xf>
    <xf numFmtId="0" fontId="10" fillId="46" borderId="25" xfId="0" applyFont="1" applyFill="1" applyBorder="1" applyAlignment="1">
      <alignment horizontal="center" vertical="top" wrapText="1"/>
    </xf>
    <xf numFmtId="0" fontId="10" fillId="46" borderId="33" xfId="0" applyFont="1" applyFill="1" applyBorder="1" applyAlignment="1">
      <alignment horizontal="center" vertical="top" wrapText="1"/>
    </xf>
    <xf numFmtId="0" fontId="10" fillId="46" borderId="6" xfId="0" applyFont="1" applyFill="1" applyBorder="1" applyAlignment="1">
      <alignment horizontal="center" vertical="top" wrapText="1"/>
    </xf>
    <xf numFmtId="0" fontId="10" fillId="46" borderId="26" xfId="0" applyFont="1" applyFill="1" applyBorder="1" applyAlignment="1">
      <alignment horizontal="center" vertical="top" wrapText="1"/>
    </xf>
    <xf numFmtId="0" fontId="9" fillId="46" borderId="6" xfId="0" applyFont="1" applyFill="1" applyBorder="1" applyAlignment="1">
      <alignment vertical="top" wrapText="1"/>
    </xf>
    <xf numFmtId="0" fontId="9" fillId="46" borderId="26" xfId="0" applyFont="1" applyFill="1" applyBorder="1" applyAlignment="1">
      <alignment vertical="top" wrapText="1"/>
    </xf>
    <xf numFmtId="0" fontId="9" fillId="46" borderId="24" xfId="0" applyFont="1" applyFill="1" applyBorder="1" applyAlignment="1">
      <alignment vertical="top" wrapText="1"/>
    </xf>
    <xf numFmtId="0" fontId="10" fillId="0" borderId="23" xfId="0" applyFont="1" applyBorder="1" applyAlignment="1">
      <alignment horizontal="center" vertical="top" wrapText="1"/>
    </xf>
    <xf numFmtId="0" fontId="10" fillId="0" borderId="20" xfId="0" applyFont="1" applyBorder="1" applyAlignment="1">
      <alignment horizontal="center" vertical="top" wrapText="1"/>
    </xf>
    <xf numFmtId="0" fontId="10" fillId="0" borderId="22" xfId="0" applyFont="1" applyBorder="1" applyAlignment="1">
      <alignment horizontal="center" vertical="top" wrapText="1"/>
    </xf>
    <xf numFmtId="0" fontId="9" fillId="46" borderId="33" xfId="0" applyFont="1" applyFill="1" applyBorder="1" applyAlignment="1">
      <alignment horizontal="center" vertical="top" wrapText="1"/>
    </xf>
    <xf numFmtId="0" fontId="9" fillId="46" borderId="6" xfId="0" applyFont="1" applyFill="1" applyBorder="1" applyAlignment="1">
      <alignment horizontal="center" vertical="top" wrapText="1"/>
    </xf>
    <xf numFmtId="0" fontId="9" fillId="46" borderId="26" xfId="0" applyFont="1" applyFill="1" applyBorder="1" applyAlignment="1">
      <alignment horizontal="center" vertical="top" wrapText="1"/>
    </xf>
    <xf numFmtId="0" fontId="9" fillId="0" borderId="66" xfId="0" applyFont="1" applyBorder="1" applyAlignment="1">
      <alignment horizontal="left" vertical="center" indent="7"/>
    </xf>
    <xf numFmtId="0" fontId="9" fillId="0" borderId="66" xfId="0" applyFont="1" applyBorder="1" applyAlignment="1">
      <alignment horizontal="center" vertical="center"/>
    </xf>
    <xf numFmtId="0" fontId="9" fillId="0" borderId="66" xfId="0" applyFont="1" applyBorder="1" applyAlignment="1">
      <alignment horizontal="center" vertical="center" wrapText="1"/>
    </xf>
    <xf numFmtId="0" fontId="9" fillId="0" borderId="66" xfId="0" applyFont="1" applyBorder="1" applyAlignment="1">
      <alignment horizontal="left" vertical="center" wrapText="1" indent="1"/>
    </xf>
    <xf numFmtId="200" fontId="9" fillId="0" borderId="66" xfId="0" applyNumberFormat="1" applyFont="1" applyBorder="1" applyAlignment="1">
      <alignment horizontal="left" vertical="center" wrapText="1" indent="1"/>
    </xf>
    <xf numFmtId="0" fontId="12" fillId="0" borderId="66" xfId="0" applyFont="1" applyBorder="1" applyAlignment="1">
      <alignment horizontal="center" vertical="center" wrapText="1"/>
    </xf>
    <xf numFmtId="0" fontId="9" fillId="0" borderId="67" xfId="0" applyFont="1" applyBorder="1" applyAlignment="1">
      <alignment horizontal="center" vertical="center"/>
    </xf>
    <xf numFmtId="0" fontId="9" fillId="0" borderId="77" xfId="0" applyFont="1" applyBorder="1" applyAlignment="1">
      <alignment horizontal="center" vertical="center"/>
    </xf>
    <xf numFmtId="200" fontId="9" fillId="0" borderId="66" xfId="0" applyNumberFormat="1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9" fillId="0" borderId="23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12" fillId="0" borderId="66" xfId="0" applyFont="1" applyBorder="1" applyAlignment="1">
      <alignment horizontal="left" vertical="center" wrapText="1" indent="1"/>
    </xf>
    <xf numFmtId="0" fontId="9" fillId="0" borderId="66" xfId="0" applyFont="1" applyBorder="1" applyAlignment="1">
      <alignment horizontal="left" vertical="center" indent="1"/>
    </xf>
    <xf numFmtId="0" fontId="8" fillId="0" borderId="0" xfId="0" applyFont="1" applyAlignment="1">
      <alignment horizontal="justify" vertical="center" wrapText="1"/>
    </xf>
    <xf numFmtId="0" fontId="9" fillId="0" borderId="0" xfId="0" applyFont="1" applyAlignment="1">
      <alignment horizontal="justify" vertical="center" wrapText="1"/>
    </xf>
    <xf numFmtId="0" fontId="9" fillId="62" borderId="0" xfId="0" applyFont="1" applyFill="1" applyAlignment="1">
      <alignment horizontal="justify" vertical="center" wrapText="1"/>
    </xf>
    <xf numFmtId="0" fontId="9" fillId="0" borderId="67" xfId="0" applyFont="1" applyBorder="1" applyAlignment="1">
      <alignment horizontal="center" vertical="center" wrapText="1"/>
    </xf>
    <xf numFmtId="0" fontId="158" fillId="54" borderId="0" xfId="1183" applyFont="1" applyFill="1" applyBorder="1" applyAlignment="1">
      <alignment horizontal="center"/>
    </xf>
    <xf numFmtId="0" fontId="301" fillId="54" borderId="0" xfId="1183" applyFont="1" applyFill="1" applyBorder="1" applyAlignment="1">
      <alignment horizontal="left"/>
    </xf>
    <xf numFmtId="0" fontId="158" fillId="69" borderId="0" xfId="1183" applyFont="1" applyFill="1" applyBorder="1" applyAlignment="1">
      <alignment horizontal="left" vertical="center" wrapText="1"/>
    </xf>
    <xf numFmtId="0" fontId="19" fillId="54" borderId="0" xfId="1183" applyFont="1" applyFill="1" applyBorder="1" applyAlignment="1">
      <alignment horizontal="left"/>
    </xf>
    <xf numFmtId="0" fontId="19" fillId="63" borderId="0" xfId="1183" applyFont="1" applyFill="1" applyBorder="1" applyAlignment="1">
      <alignment horizontal="left" wrapText="1"/>
    </xf>
    <xf numFmtId="0" fontId="301" fillId="54" borderId="0" xfId="1183" applyFont="1" applyFill="1" applyBorder="1" applyAlignment="1">
      <alignment horizontal="center"/>
    </xf>
    <xf numFmtId="0" fontId="149" fillId="54" borderId="122" xfId="1183" applyFont="1" applyFill="1" applyBorder="1" applyAlignment="1">
      <alignment horizontal="left"/>
    </xf>
    <xf numFmtId="0" fontId="300" fillId="54" borderId="108" xfId="1183" applyFont="1" applyFill="1" applyBorder="1" applyAlignment="1">
      <alignment horizontal="left" vertical="center" wrapText="1"/>
    </xf>
    <xf numFmtId="0" fontId="300" fillId="54" borderId="107" xfId="1183" applyFont="1" applyFill="1" applyBorder="1" applyAlignment="1">
      <alignment horizontal="left" vertical="center" wrapText="1"/>
    </xf>
    <xf numFmtId="0" fontId="299" fillId="54" borderId="107" xfId="1183" applyFont="1" applyFill="1" applyBorder="1" applyAlignment="1">
      <alignment horizontal="left" vertical="center" wrapText="1"/>
    </xf>
    <xf numFmtId="0" fontId="158" fillId="54" borderId="107" xfId="1183" applyFont="1" applyFill="1" applyBorder="1" applyAlignment="1">
      <alignment horizontal="left" vertical="center" wrapText="1"/>
    </xf>
    <xf numFmtId="0" fontId="158" fillId="56" borderId="107" xfId="1183" applyFont="1" applyFill="1" applyBorder="1" applyAlignment="1">
      <alignment horizontal="center" vertical="center" wrapText="1"/>
    </xf>
    <xf numFmtId="0" fontId="158" fillId="54" borderId="107" xfId="1183" applyFont="1" applyFill="1" applyBorder="1" applyAlignment="1">
      <alignment horizontal="center" vertical="center" wrapText="1"/>
    </xf>
    <xf numFmtId="0" fontId="158" fillId="54" borderId="108" xfId="1183" applyFont="1" applyFill="1" applyBorder="1" applyAlignment="1">
      <alignment horizontal="left" vertical="center" wrapText="1"/>
    </xf>
    <xf numFmtId="0" fontId="158" fillId="54" borderId="106" xfId="1183" applyFont="1" applyFill="1" applyBorder="1" applyAlignment="1">
      <alignment horizontal="left" vertical="center" wrapText="1"/>
    </xf>
    <xf numFmtId="0" fontId="158" fillId="54" borderId="89" xfId="1183" applyFont="1" applyFill="1" applyBorder="1" applyAlignment="1">
      <alignment horizontal="left" vertical="center" wrapText="1"/>
    </xf>
    <xf numFmtId="0" fontId="158" fillId="54" borderId="111" xfId="1183" applyFont="1" applyFill="1" applyBorder="1" applyAlignment="1">
      <alignment horizontal="left" vertical="center" wrapText="1"/>
    </xf>
    <xf numFmtId="0" fontId="158" fillId="54" borderId="112" xfId="1183" applyFont="1" applyFill="1" applyBorder="1" applyAlignment="1">
      <alignment horizontal="left" vertical="center" wrapText="1"/>
    </xf>
    <xf numFmtId="0" fontId="158" fillId="54" borderId="109" xfId="1183" applyFont="1" applyFill="1" applyBorder="1" applyAlignment="1">
      <alignment horizontal="left" vertical="center" wrapText="1"/>
    </xf>
    <xf numFmtId="0" fontId="158" fillId="54" borderId="110" xfId="1183" applyFont="1" applyFill="1" applyBorder="1" applyAlignment="1">
      <alignment horizontal="left" vertical="center" wrapText="1"/>
    </xf>
    <xf numFmtId="0" fontId="158" fillId="54" borderId="113" xfId="1183" applyFont="1" applyFill="1" applyBorder="1" applyAlignment="1">
      <alignment horizontal="left" vertical="center" wrapText="1"/>
    </xf>
    <xf numFmtId="0" fontId="158" fillId="54" borderId="114" xfId="1183" applyFont="1" applyFill="1" applyBorder="1" applyAlignment="1">
      <alignment horizontal="left" vertical="center" wrapText="1"/>
    </xf>
    <xf numFmtId="0" fontId="158" fillId="54" borderId="115" xfId="1183" applyFont="1" applyFill="1" applyBorder="1" applyAlignment="1">
      <alignment horizontal="left" vertical="center" wrapText="1"/>
    </xf>
    <xf numFmtId="0" fontId="299" fillId="54" borderId="108" xfId="1183" applyFont="1" applyFill="1" applyBorder="1" applyAlignment="1">
      <alignment horizontal="left" vertical="center" wrapText="1"/>
    </xf>
    <xf numFmtId="0" fontId="299" fillId="54" borderId="117" xfId="1183" applyFont="1" applyFill="1" applyBorder="1" applyAlignment="1">
      <alignment horizontal="left" vertical="center" wrapText="1"/>
    </xf>
    <xf numFmtId="0" fontId="299" fillId="54" borderId="118" xfId="1183" applyFont="1" applyFill="1" applyBorder="1" applyAlignment="1">
      <alignment horizontal="left" vertical="center" wrapText="1"/>
    </xf>
    <xf numFmtId="0" fontId="299" fillId="54" borderId="119" xfId="1183" applyFont="1" applyFill="1" applyBorder="1" applyAlignment="1">
      <alignment horizontal="left" vertical="center" wrapText="1"/>
    </xf>
    <xf numFmtId="0" fontId="157" fillId="54" borderId="0" xfId="1183" applyFont="1" applyFill="1" applyBorder="1" applyAlignment="1">
      <alignment horizontal="center" wrapText="1"/>
    </xf>
    <xf numFmtId="0" fontId="297" fillId="54" borderId="0" xfId="1183" applyFont="1" applyFill="1" applyBorder="1" applyAlignment="1">
      <alignment horizontal="center" wrapText="1"/>
    </xf>
    <xf numFmtId="0" fontId="298" fillId="54" borderId="0" xfId="1183" applyFont="1" applyFill="1" applyBorder="1" applyAlignment="1">
      <alignment horizontal="center" wrapText="1"/>
    </xf>
    <xf numFmtId="0" fontId="158" fillId="54" borderId="106" xfId="1183" applyFont="1" applyFill="1" applyBorder="1" applyAlignment="1">
      <alignment horizontal="center" vertical="center" wrapText="1"/>
    </xf>
    <xf numFmtId="0" fontId="158" fillId="54" borderId="89" xfId="1183" applyFont="1" applyFill="1" applyBorder="1" applyAlignment="1">
      <alignment horizontal="center" vertical="center" wrapText="1"/>
    </xf>
    <xf numFmtId="0" fontId="158" fillId="54" borderId="86" xfId="1183" applyFont="1" applyFill="1" applyBorder="1" applyAlignment="1">
      <alignment horizontal="center" vertical="center"/>
    </xf>
    <xf numFmtId="0" fontId="158" fillId="56" borderId="0" xfId="1183" applyFont="1" applyFill="1" applyBorder="1" applyAlignment="1">
      <alignment horizontal="left" vertical="center" wrapText="1"/>
    </xf>
    <xf numFmtId="0" fontId="19" fillId="54" borderId="0" xfId="1183" applyFont="1" applyFill="1" applyBorder="1" applyAlignment="1">
      <alignment horizontal="left" wrapText="1"/>
    </xf>
    <xf numFmtId="0" fontId="160" fillId="54" borderId="0" xfId="1183" applyFont="1" applyFill="1" applyBorder="1" applyAlignment="1">
      <alignment horizontal="center"/>
    </xf>
    <xf numFmtId="0" fontId="19" fillId="54" borderId="0" xfId="1183" applyFont="1" applyFill="1" applyBorder="1" applyAlignment="1">
      <alignment horizontal="center"/>
    </xf>
    <xf numFmtId="0" fontId="320" fillId="56" borderId="0" xfId="1183" applyFont="1" applyFill="1" applyBorder="1" applyAlignment="1">
      <alignment horizontal="left" vertical="center" wrapText="1"/>
    </xf>
    <xf numFmtId="0" fontId="55" fillId="0" borderId="0" xfId="0" applyFont="1" applyBorder="1" applyAlignment="1">
      <alignment horizontal="center" wrapText="1"/>
    </xf>
    <xf numFmtId="0" fontId="55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55" fillId="0" borderId="0" xfId="0" applyFont="1" applyAlignment="1">
      <alignment horizontal="center" wrapText="1"/>
    </xf>
    <xf numFmtId="0" fontId="190" fillId="0" borderId="0" xfId="0" applyFont="1" applyAlignment="1">
      <alignment horizontal="center" wrapText="1"/>
    </xf>
    <xf numFmtId="0" fontId="0" fillId="0" borderId="0" xfId="0" applyAlignment="1">
      <alignment horizontal="left" wrapText="1"/>
    </xf>
    <xf numFmtId="0" fontId="0" fillId="0" borderId="0" xfId="0" applyBorder="1" applyAlignment="1">
      <alignment horizontal="center" wrapText="1"/>
    </xf>
    <xf numFmtId="0" fontId="0" fillId="0" borderId="17" xfId="0" applyBorder="1" applyAlignment="1">
      <alignment horizontal="center" vertical="top" wrapText="1"/>
    </xf>
    <xf numFmtId="0" fontId="0" fillId="0" borderId="17" xfId="0" applyBorder="1"/>
    <xf numFmtId="0" fontId="292" fillId="0" borderId="0" xfId="0" applyFont="1" applyAlignment="1">
      <alignment horizontal="center" vertical="top" wrapText="1"/>
    </xf>
    <xf numFmtId="0" fontId="9" fillId="0" borderId="23" xfId="1206" applyFont="1" applyBorder="1" applyAlignment="1">
      <alignment horizontal="center" vertical="top" wrapText="1"/>
    </xf>
    <xf numFmtId="0" fontId="296" fillId="0" borderId="20" xfId="1206" applyBorder="1" applyAlignment="1">
      <alignment horizontal="center" vertical="top" wrapText="1"/>
    </xf>
    <xf numFmtId="0" fontId="296" fillId="0" borderId="22" xfId="1206" applyBorder="1" applyAlignment="1">
      <alignment horizontal="center" vertical="top" wrapText="1"/>
    </xf>
    <xf numFmtId="0" fontId="9" fillId="59" borderId="23" xfId="1206" applyFont="1" applyFill="1" applyBorder="1" applyAlignment="1">
      <alignment horizontal="center" vertical="top" wrapText="1"/>
    </xf>
    <xf numFmtId="0" fontId="296" fillId="59" borderId="20" xfId="1206" applyFill="1" applyBorder="1" applyAlignment="1">
      <alignment horizontal="center" vertical="top" wrapText="1"/>
    </xf>
    <xf numFmtId="0" fontId="296" fillId="59" borderId="22" xfId="1206" applyFill="1" applyBorder="1" applyAlignment="1">
      <alignment horizontal="center" vertical="top" wrapText="1"/>
    </xf>
    <xf numFmtId="0" fontId="9" fillId="48" borderId="23" xfId="1206" applyFont="1" applyFill="1" applyBorder="1" applyAlignment="1">
      <alignment horizontal="center" vertical="top" wrapText="1"/>
    </xf>
    <xf numFmtId="0" fontId="58" fillId="0" borderId="16" xfId="0" applyFont="1" applyBorder="1" applyAlignment="1">
      <alignment horizontal="center" vertical="center"/>
    </xf>
    <xf numFmtId="0" fontId="58" fillId="0" borderId="31" xfId="0" applyFont="1" applyBorder="1" applyAlignment="1">
      <alignment horizontal="center" vertical="center"/>
    </xf>
    <xf numFmtId="0" fontId="58" fillId="46" borderId="70" xfId="0" applyFont="1" applyFill="1" applyBorder="1" applyAlignment="1">
      <alignment vertical="center" wrapText="1"/>
    </xf>
    <xf numFmtId="0" fontId="58" fillId="46" borderId="57" xfId="0" applyFont="1" applyFill="1" applyBorder="1" applyAlignment="1">
      <alignment vertical="center" wrapText="1"/>
    </xf>
    <xf numFmtId="0" fontId="0" fillId="46" borderId="57" xfId="0" applyFill="1" applyBorder="1" applyAlignment="1">
      <alignment vertical="center" wrapText="1"/>
    </xf>
    <xf numFmtId="0" fontId="0" fillId="46" borderId="30" xfId="0" applyFill="1" applyBorder="1" applyAlignment="1">
      <alignment vertical="center" wrapText="1"/>
    </xf>
    <xf numFmtId="0" fontId="0" fillId="46" borderId="24" xfId="0" applyFill="1" applyBorder="1" applyAlignment="1">
      <alignment vertical="center" wrapText="1"/>
    </xf>
    <xf numFmtId="0" fontId="58" fillId="0" borderId="53" xfId="0" applyFont="1" applyBorder="1" applyAlignment="1">
      <alignment horizontal="center" vertical="center"/>
    </xf>
    <xf numFmtId="0" fontId="58" fillId="46" borderId="105" xfId="0" applyFont="1" applyFill="1" applyBorder="1" applyAlignment="1">
      <alignment vertical="center" wrapText="1"/>
    </xf>
    <xf numFmtId="0" fontId="0" fillId="46" borderId="22" xfId="0" applyFill="1" applyBorder="1" applyAlignment="1">
      <alignment wrapText="1"/>
    </xf>
    <xf numFmtId="0" fontId="9" fillId="0" borderId="23" xfId="0" applyFont="1" applyBorder="1" applyAlignment="1">
      <alignment horizontal="center" wrapText="1"/>
    </xf>
    <xf numFmtId="0" fontId="9" fillId="0" borderId="22" xfId="0" applyFont="1" applyBorder="1" applyAlignment="1">
      <alignment horizontal="center" wrapText="1"/>
    </xf>
    <xf numFmtId="0" fontId="11" fillId="0" borderId="23" xfId="0" applyFont="1" applyBorder="1" applyAlignment="1">
      <alignment horizontal="center" wrapText="1"/>
    </xf>
    <xf numFmtId="0" fontId="11" fillId="0" borderId="22" xfId="0" applyFont="1" applyBorder="1" applyAlignment="1">
      <alignment horizontal="center" wrapText="1"/>
    </xf>
    <xf numFmtId="0" fontId="11" fillId="0" borderId="17" xfId="0" applyFont="1" applyBorder="1" applyAlignment="1">
      <alignment horizontal="center" vertical="top" wrapText="1"/>
    </xf>
    <xf numFmtId="0" fontId="11" fillId="0" borderId="16" xfId="0" applyFont="1" applyBorder="1" applyAlignment="1"/>
    <xf numFmtId="0" fontId="11" fillId="0" borderId="53" xfId="0" applyFont="1" applyBorder="1" applyAlignment="1"/>
    <xf numFmtId="0" fontId="11" fillId="0" borderId="31" xfId="0" applyFont="1" applyBorder="1" applyAlignment="1"/>
    <xf numFmtId="0" fontId="11" fillId="0" borderId="105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70" xfId="0" applyFont="1" applyBorder="1" applyAlignment="1">
      <alignment horizontal="center" vertical="center"/>
    </xf>
    <xf numFmtId="0" fontId="0" fillId="0" borderId="57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24" xfId="0" applyBorder="1" applyAlignment="1">
      <alignment vertical="center"/>
    </xf>
    <xf numFmtId="170" fontId="264" fillId="33" borderId="17" xfId="0" applyNumberFormat="1" applyFont="1" applyFill="1" applyBorder="1" applyAlignment="1">
      <alignment horizontal="center" wrapText="1"/>
    </xf>
    <xf numFmtId="0" fontId="212" fillId="33" borderId="17" xfId="0" applyFont="1" applyFill="1" applyBorder="1" applyAlignment="1">
      <alignment horizontal="center" wrapText="1"/>
    </xf>
    <xf numFmtId="0" fontId="212" fillId="33" borderId="17" xfId="0" applyFont="1" applyFill="1" applyBorder="1" applyAlignment="1">
      <alignment wrapText="1"/>
    </xf>
    <xf numFmtId="194" fontId="9" fillId="46" borderId="23" xfId="1216" applyNumberFormat="1" applyFont="1" applyFill="1" applyBorder="1" applyAlignment="1">
      <alignment horizontal="right" vertical="center"/>
    </xf>
    <xf numFmtId="194" fontId="9" fillId="46" borderId="22" xfId="1216" applyNumberFormat="1" applyFont="1" applyFill="1" applyBorder="1" applyAlignment="1">
      <alignment horizontal="right" vertical="center"/>
    </xf>
    <xf numFmtId="10" fontId="9" fillId="44" borderId="43" xfId="0" applyNumberFormat="1" applyFont="1" applyFill="1" applyBorder="1" applyAlignment="1">
      <alignment vertical="center"/>
    </xf>
    <xf numFmtId="170" fontId="10" fillId="33" borderId="17" xfId="0" applyNumberFormat="1" applyFont="1" applyFill="1" applyBorder="1" applyAlignment="1">
      <alignment horizontal="center" wrapText="1"/>
    </xf>
    <xf numFmtId="0" fontId="0" fillId="33" borderId="17" xfId="0" applyFill="1" applyBorder="1" applyAlignment="1">
      <alignment horizontal="center" wrapText="1"/>
    </xf>
    <xf numFmtId="0" fontId="0" fillId="33" borderId="17" xfId="0" applyFill="1" applyBorder="1" applyAlignment="1">
      <alignment wrapText="1"/>
    </xf>
    <xf numFmtId="0" fontId="296" fillId="48" borderId="20" xfId="1206" applyFill="1" applyBorder="1" applyAlignment="1">
      <alignment horizontal="center" vertical="top" wrapText="1"/>
    </xf>
    <xf numFmtId="0" fontId="296" fillId="48" borderId="22" xfId="1206" applyFill="1" applyBorder="1" applyAlignment="1">
      <alignment horizontal="center" vertical="top" wrapText="1"/>
    </xf>
    <xf numFmtId="0" fontId="9" fillId="0" borderId="17" xfId="0" applyFont="1" applyBorder="1" applyAlignment="1">
      <alignment horizontal="center" vertical="center"/>
    </xf>
    <xf numFmtId="0" fontId="46" fillId="2" borderId="103" xfId="1194" applyFont="1" applyFill="1" applyBorder="1" applyAlignment="1" applyProtection="1">
      <alignment horizontal="left" vertical="center" indent="2"/>
    </xf>
    <xf numFmtId="0" fontId="46" fillId="2" borderId="91" xfId="1194" applyFont="1" applyFill="1" applyBorder="1" applyAlignment="1" applyProtection="1">
      <alignment horizontal="left" vertical="center" indent="2"/>
    </xf>
    <xf numFmtId="0" fontId="46" fillId="2" borderId="104" xfId="1194" applyFont="1" applyFill="1" applyBorder="1" applyAlignment="1" applyProtection="1">
      <alignment horizontal="left" vertical="center" indent="2"/>
    </xf>
    <xf numFmtId="0" fontId="46" fillId="2" borderId="95" xfId="1194" applyFont="1" applyFill="1" applyBorder="1" applyAlignment="1" applyProtection="1">
      <alignment horizontal="left" vertical="center" indent="2"/>
    </xf>
    <xf numFmtId="0" fontId="9" fillId="0" borderId="23" xfId="1435" applyFont="1" applyBorder="1" applyAlignment="1">
      <alignment horizontal="center" vertical="top" wrapText="1"/>
    </xf>
    <xf numFmtId="0" fontId="2" fillId="0" borderId="20" xfId="1435" applyBorder="1" applyAlignment="1">
      <alignment horizontal="center" vertical="top" wrapText="1"/>
    </xf>
    <xf numFmtId="0" fontId="2" fillId="0" borderId="22" xfId="1435" applyBorder="1" applyAlignment="1">
      <alignment horizontal="center" vertical="top" wrapText="1"/>
    </xf>
    <xf numFmtId="0" fontId="9" fillId="48" borderId="23" xfId="1435" applyFont="1" applyFill="1" applyBorder="1" applyAlignment="1">
      <alignment horizontal="center" vertical="top" wrapText="1"/>
    </xf>
    <xf numFmtId="0" fontId="2" fillId="0" borderId="22" xfId="1435" applyFont="1" applyBorder="1" applyAlignment="1">
      <alignment horizontal="center" vertical="top" wrapText="1"/>
    </xf>
    <xf numFmtId="0" fontId="2" fillId="0" borderId="20" xfId="1435" applyFont="1" applyBorder="1" applyAlignment="1">
      <alignment horizontal="center" vertical="top" wrapText="1"/>
    </xf>
  </cellXfs>
  <cellStyles count="1717">
    <cellStyle name=" 1" xfId="6"/>
    <cellStyle name="%" xfId="7"/>
    <cellStyle name="%_Inputs" xfId="8"/>
    <cellStyle name="%_Inputs (const)" xfId="9"/>
    <cellStyle name="%_Inputs Co" xfId="10"/>
    <cellStyle name="???????????" xfId="11"/>
    <cellStyle name="??????????? 2" xfId="1437"/>
    <cellStyle name="????????????? ???????????" xfId="12"/>
    <cellStyle name="????????????? ??????????? 2" xfId="1438"/>
    <cellStyle name="???????_??.??????" xfId="13"/>
    <cellStyle name="??????_? ??????" xfId="14"/>
    <cellStyle name="_2006 March BKMPO for uploading (Feb March results)" xfId="1439"/>
    <cellStyle name="_2006 March BKMPO for uploading (Feb March results) final" xfId="1440"/>
    <cellStyle name="_23.01.03_КрАЗ_изм НЗП_ноя0211мес.02" xfId="15"/>
    <cellStyle name="_23.01.03_КрАЗ_изм НЗП_ноя0211мес.02_баланс Самараэнерго, П1.30 в электронном виде" xfId="1441"/>
    <cellStyle name="_23.01.03_КрАЗ_изм НЗП_ноя0211мес.02_П 1.30 2011 НМП ГЭС" xfId="1442"/>
    <cellStyle name="_36Бюджет2007(рабочий  вариант)-янв." xfId="16"/>
    <cellStyle name="_Alcoa Rus conversion YTD Feb 2007 (mapping)  var2" xfId="1443"/>
    <cellStyle name="_Alcoa Rus conversion YTD Jan 2007 (mapping)  var1" xfId="1444"/>
    <cellStyle name="_Approved RFAs - no 2007 spending" xfId="17"/>
    <cellStyle name="_BK US GAAP 11m 06-02" xfId="1445"/>
    <cellStyle name="_BK US GAAP 11m 25-01" xfId="1446"/>
    <cellStyle name="_BKMPO conversion December 2006" xfId="1447"/>
    <cellStyle name="_BKMPO Year-end 2006 (RAP YTD11.06)revized" xfId="1448"/>
    <cellStyle name="_BKMPO YTD April 2006 conversion_for upload" xfId="1449"/>
    <cellStyle name="_BKMPO YTD august 2006 conversion" xfId="1450"/>
    <cellStyle name="_BKMPO YTD July 2006 conversion to check" xfId="1451"/>
    <cellStyle name="_BKMPO YTD June 2006 conversion" xfId="1452"/>
    <cellStyle name="_BKMPO YTD March 2006 for presentation" xfId="1453"/>
    <cellStyle name="_BKMPO YTD september 2006 conversion(upload27102006)" xfId="1454"/>
    <cellStyle name="_Book1 (4)" xfId="1455"/>
    <cellStyle name="_Book2" xfId="1456"/>
    <cellStyle name="_Book3" xfId="1457"/>
    <cellStyle name="_BU P&amp;L 2007 April SMZ 18.05.2007" xfId="1458"/>
    <cellStyle name="_BU_final fixed assets adjustment summary (depr adj)" xfId="1459"/>
    <cellStyle name="_CAPEX Oct 2006" xfId="1460"/>
    <cellStyle name="_Conversion file BKMPO YTD March 2006 (29.04.06)" xfId="1461"/>
    <cellStyle name="_Copy of ALCOA RUS December 06 by BU 310107 (uploaded 010207)" xfId="1462"/>
    <cellStyle name="_Copy of PL BKMPO June actual without DTA" xfId="1463"/>
    <cellStyle name="_Copy of SMZ conversion August 2006 uploaded 02.10.2006" xfId="1464"/>
    <cellStyle name="_Copy of ДРСК_1" xfId="1429"/>
    <cellStyle name="_CWIP 01.06.2007 by BUs v1" xfId="1465"/>
    <cellStyle name="_Estimation file September (021007)" xfId="1466"/>
    <cellStyle name="_FA and CWIP adjustments YTD April SMZ (23.05.2007 v. 1.1)" xfId="1467"/>
    <cellStyle name="_FFF" xfId="18"/>
    <cellStyle name="_FFF_New Form10_2" xfId="19"/>
    <cellStyle name="_FFF_New Form10_2_баланс Самараэнерго, П1.30 в электронном виде" xfId="1468"/>
    <cellStyle name="_FFF_New Form10_2_П 1.30 2011 НМП ГЭС" xfId="1469"/>
    <cellStyle name="_FFF_Nsi" xfId="20"/>
    <cellStyle name="_FFF_Nsi_1" xfId="21"/>
    <cellStyle name="_FFF_Nsi_1_баланс Самараэнерго, П1.30 в электронном виде" xfId="1470"/>
    <cellStyle name="_FFF_Nsi_1_П 1.30 2011 НМП ГЭС" xfId="1471"/>
    <cellStyle name="_FFF_Nsi_139" xfId="22"/>
    <cellStyle name="_FFF_Nsi_139_баланс Самараэнерго, П1.30 в электронном виде" xfId="1472"/>
    <cellStyle name="_FFF_Nsi_139_П 1.30 2011 НМП ГЭС" xfId="1473"/>
    <cellStyle name="_FFF_Nsi_140" xfId="23"/>
    <cellStyle name="_FFF_Nsi_140(Зах)" xfId="24"/>
    <cellStyle name="_FFF_Nsi_140(Зах)_баланс Самараэнерго, П1.30 в электронном виде" xfId="1474"/>
    <cellStyle name="_FFF_Nsi_140(Зах)_П 1.30 2011 НМП ГЭС" xfId="1475"/>
    <cellStyle name="_FFF_Nsi_140_mod" xfId="25"/>
    <cellStyle name="_FFF_Nsi_140_mod_баланс Самараэнерго, П1.30 в электронном виде" xfId="1476"/>
    <cellStyle name="_FFF_Nsi_140_mod_П 1.30 2011 НМП ГЭС" xfId="1477"/>
    <cellStyle name="_FFF_Nsi_140_баланс Самараэнерго, П1.30 в электронном виде" xfId="1478"/>
    <cellStyle name="_FFF_Nsi_140_П 1.30 2011 НМП ГЭС" xfId="1479"/>
    <cellStyle name="_FFF_Nsi_баланс Самараэнерго, П1.30 в электронном виде" xfId="1480"/>
    <cellStyle name="_FFF_Nsi_П 1.30 2011 НМП ГЭС" xfId="1481"/>
    <cellStyle name="_FFF_Summary" xfId="26"/>
    <cellStyle name="_FFF_Summary_баланс Самараэнерго, П1.30 в электронном виде" xfId="1482"/>
    <cellStyle name="_FFF_Summary_П 1.30 2011 НМП ГЭС" xfId="1483"/>
    <cellStyle name="_FFF_Tax_form_1кв_3" xfId="27"/>
    <cellStyle name="_FFF_Tax_form_1кв_3_баланс Самараэнерго, П1.30 в электронном виде" xfId="1484"/>
    <cellStyle name="_FFF_Tax_form_1кв_3_П 1.30 2011 НМП ГЭС" xfId="1485"/>
    <cellStyle name="_FFF_баланс Самараэнерго, П1.30 в электронном виде" xfId="1486"/>
    <cellStyle name="_FFF_БКЭ" xfId="28"/>
    <cellStyle name="_FFF_БКЭ_баланс Самараэнерго, П1.30 в электронном виде" xfId="1487"/>
    <cellStyle name="_FFF_БКЭ_П 1.30 2011 НМП ГЭС" xfId="1488"/>
    <cellStyle name="_FFF_П 1.30 2011 НМП ГЭС" xfId="1489"/>
    <cellStyle name="_Final_Book_010301" xfId="29"/>
    <cellStyle name="_Final_Book_010301_New Form10_2" xfId="30"/>
    <cellStyle name="_Final_Book_010301_New Form10_2_баланс Самараэнерго, П1.30 в электронном виде" xfId="1490"/>
    <cellStyle name="_Final_Book_010301_New Form10_2_П 1.30 2011 НМП ГЭС" xfId="1491"/>
    <cellStyle name="_Final_Book_010301_Nsi" xfId="31"/>
    <cellStyle name="_Final_Book_010301_Nsi_1" xfId="32"/>
    <cellStyle name="_Final_Book_010301_Nsi_1_баланс Самараэнерго, П1.30 в электронном виде" xfId="1492"/>
    <cellStyle name="_Final_Book_010301_Nsi_1_П 1.30 2011 НМП ГЭС" xfId="1493"/>
    <cellStyle name="_Final_Book_010301_Nsi_139" xfId="33"/>
    <cellStyle name="_Final_Book_010301_Nsi_139_баланс Самараэнерго, П1.30 в электронном виде" xfId="1494"/>
    <cellStyle name="_Final_Book_010301_Nsi_139_П 1.30 2011 НМП ГЭС" xfId="1495"/>
    <cellStyle name="_Final_Book_010301_Nsi_140" xfId="34"/>
    <cellStyle name="_Final_Book_010301_Nsi_140(Зах)" xfId="35"/>
    <cellStyle name="_Final_Book_010301_Nsi_140(Зах)_баланс Самараэнерго, П1.30 в электронном виде" xfId="1496"/>
    <cellStyle name="_Final_Book_010301_Nsi_140(Зах)_П 1.30 2011 НМП ГЭС" xfId="1497"/>
    <cellStyle name="_Final_Book_010301_Nsi_140_mod" xfId="36"/>
    <cellStyle name="_Final_Book_010301_Nsi_140_mod_баланс Самараэнерго, П1.30 в электронном виде" xfId="1498"/>
    <cellStyle name="_Final_Book_010301_Nsi_140_mod_П 1.30 2011 НМП ГЭС" xfId="1499"/>
    <cellStyle name="_Final_Book_010301_Nsi_140_баланс Самараэнерго, П1.30 в электронном виде" xfId="1500"/>
    <cellStyle name="_Final_Book_010301_Nsi_140_П 1.30 2011 НМП ГЭС" xfId="1501"/>
    <cellStyle name="_Final_Book_010301_Nsi_баланс Самараэнерго, П1.30 в электронном виде" xfId="1502"/>
    <cellStyle name="_Final_Book_010301_Nsi_П 1.30 2011 НМП ГЭС" xfId="1503"/>
    <cellStyle name="_Final_Book_010301_Summary" xfId="37"/>
    <cellStyle name="_Final_Book_010301_Summary_баланс Самараэнерго, П1.30 в электронном виде" xfId="1504"/>
    <cellStyle name="_Final_Book_010301_Summary_П 1.30 2011 НМП ГЭС" xfId="1505"/>
    <cellStyle name="_Final_Book_010301_Tax_form_1кв_3" xfId="38"/>
    <cellStyle name="_Final_Book_010301_Tax_form_1кв_3_баланс Самараэнерго, П1.30 в электронном виде" xfId="1506"/>
    <cellStyle name="_Final_Book_010301_Tax_form_1кв_3_П 1.30 2011 НМП ГЭС" xfId="1507"/>
    <cellStyle name="_Final_Book_010301_баланс Самараэнерго, П1.30 в электронном виде" xfId="1508"/>
    <cellStyle name="_Final_Book_010301_БКЭ" xfId="39"/>
    <cellStyle name="_Final_Book_010301_БКЭ_баланс Самараэнерго, П1.30 в электронном виде" xfId="1509"/>
    <cellStyle name="_Final_Book_010301_БКЭ_П 1.30 2011 НМП ГЭС" xfId="1510"/>
    <cellStyle name="_Final_Book_010301_П 1.30 2011 НМП ГЭС" xfId="1511"/>
    <cellStyle name="_fr_Russia june 2007 25 06 2007" xfId="1512"/>
    <cellStyle name="_GAAP - Фин расшифровки (5) май  2005 СМЗ" xfId="1513"/>
    <cellStyle name="_Intercompany charges booked in RAP" xfId="1514"/>
    <cellStyle name="_Intercompany charges booked in RAP 2" xfId="1515"/>
    <cellStyle name="_Knoxwil" xfId="1516"/>
    <cellStyle name="_Mapping YTD December SMZ" xfId="1517"/>
    <cellStyle name="_Misc vs Operational income  expenses YTD Sep 2006" xfId="1518"/>
    <cellStyle name="_Model_RAB Мой" xfId="40"/>
    <cellStyle name="_Model_RAB Мой_BALANCE.WARM.2011YEAR.NEW.UPDATE.SCHEME" xfId="41"/>
    <cellStyle name="_Model_RAB Мой_UPDATE.BALANCE.WARM.2011YEAR.TO.1.1" xfId="42"/>
    <cellStyle name="_Model_RAB_MRSK_svod" xfId="43"/>
    <cellStyle name="_Model_RAB_MRSK_svod_BALANCE.WARM.2011YEAR.NEW.UPDATE.SCHEME" xfId="44"/>
    <cellStyle name="_Model_RAB_MRSK_svod_UPDATE.BALANCE.WARM.2011YEAR.TO.1.1" xfId="45"/>
    <cellStyle name="_New_Sofi" xfId="46"/>
    <cellStyle name="_New_Sofi_FFF" xfId="47"/>
    <cellStyle name="_New_Sofi_FFF_баланс Самараэнерго, П1.30 в электронном виде" xfId="1519"/>
    <cellStyle name="_New_Sofi_FFF_П 1.30 2011 НМП ГЭС" xfId="1520"/>
    <cellStyle name="_New_Sofi_New Form10_2" xfId="48"/>
    <cellStyle name="_New_Sofi_New Form10_2_баланс Самараэнерго, П1.30 в электронном виде" xfId="1521"/>
    <cellStyle name="_New_Sofi_New Form10_2_П 1.30 2011 НМП ГЭС" xfId="1522"/>
    <cellStyle name="_New_Sofi_Nsi" xfId="49"/>
    <cellStyle name="_New_Sofi_Nsi_1" xfId="50"/>
    <cellStyle name="_New_Sofi_Nsi_1_баланс Самараэнерго, П1.30 в электронном виде" xfId="1523"/>
    <cellStyle name="_New_Sofi_Nsi_1_П 1.30 2011 НМП ГЭС" xfId="1524"/>
    <cellStyle name="_New_Sofi_Nsi_139" xfId="51"/>
    <cellStyle name="_New_Sofi_Nsi_139_баланс Самараэнерго, П1.30 в электронном виде" xfId="1525"/>
    <cellStyle name="_New_Sofi_Nsi_139_П 1.30 2011 НМП ГЭС" xfId="1526"/>
    <cellStyle name="_New_Sofi_Nsi_140" xfId="52"/>
    <cellStyle name="_New_Sofi_Nsi_140(Зах)" xfId="53"/>
    <cellStyle name="_New_Sofi_Nsi_140(Зах)_баланс Самараэнерго, П1.30 в электронном виде" xfId="1527"/>
    <cellStyle name="_New_Sofi_Nsi_140(Зах)_П 1.30 2011 НМП ГЭС" xfId="1528"/>
    <cellStyle name="_New_Sofi_Nsi_140_mod" xfId="54"/>
    <cellStyle name="_New_Sofi_Nsi_140_mod_баланс Самараэнерго, П1.30 в электронном виде" xfId="1529"/>
    <cellStyle name="_New_Sofi_Nsi_140_mod_П 1.30 2011 НМП ГЭС" xfId="1530"/>
    <cellStyle name="_New_Sofi_Nsi_140_баланс Самараэнерго, П1.30 в электронном виде" xfId="1531"/>
    <cellStyle name="_New_Sofi_Nsi_140_П 1.30 2011 НМП ГЭС" xfId="1532"/>
    <cellStyle name="_New_Sofi_Nsi_баланс Самараэнерго, П1.30 в электронном виде" xfId="1533"/>
    <cellStyle name="_New_Sofi_Nsi_П 1.30 2011 НМП ГЭС" xfId="1534"/>
    <cellStyle name="_New_Sofi_Summary" xfId="55"/>
    <cellStyle name="_New_Sofi_Summary_баланс Самараэнерго, П1.30 в электронном виде" xfId="1535"/>
    <cellStyle name="_New_Sofi_Summary_П 1.30 2011 НМП ГЭС" xfId="1536"/>
    <cellStyle name="_New_Sofi_Tax_form_1кв_3" xfId="56"/>
    <cellStyle name="_New_Sofi_Tax_form_1кв_3_баланс Самараэнерго, П1.30 в электронном виде" xfId="1537"/>
    <cellStyle name="_New_Sofi_Tax_form_1кв_3_П 1.30 2011 НМП ГЭС" xfId="1538"/>
    <cellStyle name="_New_Sofi_баланс Самараэнерго, П1.30 в электронном виде" xfId="1539"/>
    <cellStyle name="_New_Sofi_БКЭ" xfId="57"/>
    <cellStyle name="_New_Sofi_БКЭ_баланс Самараэнерго, П1.30 в электронном виде" xfId="1540"/>
    <cellStyle name="_New_Sofi_БКЭ_П 1.30 2011 НМП ГЭС" xfId="1541"/>
    <cellStyle name="_New_Sofi_П 1.30 2011 НМП ГЭС" xfId="1542"/>
    <cellStyle name="_Nsi" xfId="58"/>
    <cellStyle name="_Nsi_баланс Самараэнерго, П1.30 в электронном виде" xfId="1543"/>
    <cellStyle name="_Nsi_П 1.30 2011 НМП ГЭС" xfId="1544"/>
    <cellStyle name="_P&amp;L JUL actual w-o adjust" xfId="1545"/>
    <cellStyle name="_P&amp;L June Z LBC analysis" xfId="1546"/>
    <cellStyle name="_P&amp;Llast" xfId="1547"/>
    <cellStyle name="_PL BKMPO April actual without DTA" xfId="1548"/>
    <cellStyle name="_PL BKMPO December actual without DTA" xfId="1549"/>
    <cellStyle name="_PL BKMPO February actual without DTA" xfId="1550"/>
    <cellStyle name="_PL BKMPO January actual without DTA" xfId="1551"/>
    <cellStyle name="_PL BKMPO March actual without DTA" xfId="1552"/>
    <cellStyle name="_PL BKMPO May actual without DTA 13 06 06" xfId="1553"/>
    <cellStyle name="_PL BKMPO May actual without DTA 13 06 06_corrected" xfId="1554"/>
    <cellStyle name="_Repair and maintanance expence" xfId="1555"/>
    <cellStyle name="_RFA Spending Jul-07 v1" xfId="59"/>
    <cellStyle name="_RFA Spending Jun-07 v1" xfId="60"/>
    <cellStyle name="_Sheet1" xfId="1556"/>
    <cellStyle name="_Sheet2" xfId="1557"/>
    <cellStyle name="_SMZ conversion April 2007 (23.05.2007)" xfId="1558"/>
    <cellStyle name="_SMZ conversion March 2006 20.04.2006" xfId="1559"/>
    <cellStyle name="_SMZ conversion May 2006 (uploaded) 26.06.2006" xfId="1560"/>
    <cellStyle name="_SMZ conversion YTD Feb 2006 21.03.2006 DK (with feed back) adjusted to 2005" xfId="1561"/>
    <cellStyle name="_Split for GBS IS charges to BK" xfId="1562"/>
    <cellStyle name="_Split for GBS IS charges to BK 2" xfId="1563"/>
    <cellStyle name="_vypl_июнь" xfId="61"/>
    <cellStyle name="_YTD July_Kalitva my" xfId="1564"/>
    <cellStyle name="_БКМПО 23-05_1" xfId="1565"/>
    <cellStyle name="_ВО ОП ТЭС-ОТ- 2007" xfId="62"/>
    <cellStyle name="_ВФ ОАО ТЭС-ОТ- 2009" xfId="63"/>
    <cellStyle name="_Выручка в формате 3 ПУ 01 2007 by BUs (working)" xfId="1566"/>
    <cellStyle name="_Выручка в формате 3 ПУ 02 2007 by BUs (working)" xfId="1567"/>
    <cellStyle name="_выручка по присоединениям2" xfId="64"/>
    <cellStyle name="_Договор аренды ЯЭ с разбивкой" xfId="65"/>
    <cellStyle name="_Дозакл 5 мес.2000" xfId="66"/>
    <cellStyle name="_Дозакл 5 мес.2000_баланс Самараэнерго, П1.30 в электронном виде" xfId="1568"/>
    <cellStyle name="_Дозакл 5 мес.2000_П 1.30 2011 НМП ГЭС" xfId="1569"/>
    <cellStyle name="_Исходные данные для модели" xfId="67"/>
    <cellStyle name="_кальк" xfId="68"/>
    <cellStyle name="_Книга3" xfId="69"/>
    <cellStyle name="_Книга3_New Form10_2" xfId="70"/>
    <cellStyle name="_Книга3_New Form10_2_баланс Самараэнерго, П1.30 в электронном виде" xfId="1570"/>
    <cellStyle name="_Книга3_New Form10_2_П 1.30 2011 НМП ГЭС" xfId="1571"/>
    <cellStyle name="_Книга3_Nsi" xfId="71"/>
    <cellStyle name="_Книга3_Nsi_1" xfId="72"/>
    <cellStyle name="_Книга3_Nsi_1_баланс Самараэнерго, П1.30 в электронном виде" xfId="1572"/>
    <cellStyle name="_Книга3_Nsi_1_П 1.30 2011 НМП ГЭС" xfId="1573"/>
    <cellStyle name="_Книга3_Nsi_139" xfId="73"/>
    <cellStyle name="_Книга3_Nsi_139_баланс Самараэнерго, П1.30 в электронном виде" xfId="1574"/>
    <cellStyle name="_Книга3_Nsi_139_П 1.30 2011 НМП ГЭС" xfId="1575"/>
    <cellStyle name="_Книга3_Nsi_140" xfId="74"/>
    <cellStyle name="_Книга3_Nsi_140(Зах)" xfId="75"/>
    <cellStyle name="_Книга3_Nsi_140(Зах)_баланс Самараэнерго, П1.30 в электронном виде" xfId="1576"/>
    <cellStyle name="_Книга3_Nsi_140(Зах)_П 1.30 2011 НМП ГЭС" xfId="1577"/>
    <cellStyle name="_Книга3_Nsi_140_mod" xfId="76"/>
    <cellStyle name="_Книга3_Nsi_140_mod_баланс Самараэнерго, П1.30 в электронном виде" xfId="1578"/>
    <cellStyle name="_Книга3_Nsi_140_mod_П 1.30 2011 НМП ГЭС" xfId="1579"/>
    <cellStyle name="_Книга3_Nsi_140_баланс Самараэнерго, П1.30 в электронном виде" xfId="1580"/>
    <cellStyle name="_Книга3_Nsi_140_П 1.30 2011 НМП ГЭС" xfId="1581"/>
    <cellStyle name="_Книга3_Nsi_баланс Самараэнерго, П1.30 в электронном виде" xfId="1582"/>
    <cellStyle name="_Книга3_Nsi_П 1.30 2011 НМП ГЭС" xfId="1583"/>
    <cellStyle name="_Книга3_Summary" xfId="77"/>
    <cellStyle name="_Книга3_Summary_баланс Самараэнерго, П1.30 в электронном виде" xfId="1584"/>
    <cellStyle name="_Книга3_Summary_П 1.30 2011 НМП ГЭС" xfId="1585"/>
    <cellStyle name="_Книга3_Tax_form_1кв_3" xfId="78"/>
    <cellStyle name="_Книга3_Tax_form_1кв_3_баланс Самараэнерго, П1.30 в электронном виде" xfId="1586"/>
    <cellStyle name="_Книга3_Tax_form_1кв_3_П 1.30 2011 НМП ГЭС" xfId="1587"/>
    <cellStyle name="_Книга3_баланс Самараэнерго, П1.30 в электронном виде" xfId="1588"/>
    <cellStyle name="_Книга3_БКЭ" xfId="79"/>
    <cellStyle name="_Книга3_БКЭ_баланс Самараэнерго, П1.30 в электронном виде" xfId="1589"/>
    <cellStyle name="_Книга3_БКЭ_П 1.30 2011 НМП ГЭС" xfId="1590"/>
    <cellStyle name="_Книга3_П 1.30 2011 НМП ГЭС" xfId="1591"/>
    <cellStyle name="_Книга5" xfId="80"/>
    <cellStyle name="_Книга7" xfId="81"/>
    <cellStyle name="_Книга7_New Form10_2" xfId="82"/>
    <cellStyle name="_Книга7_New Form10_2_баланс Самараэнерго, П1.30 в электронном виде" xfId="1592"/>
    <cellStyle name="_Книга7_New Form10_2_П 1.30 2011 НМП ГЭС" xfId="1593"/>
    <cellStyle name="_Книга7_Nsi" xfId="83"/>
    <cellStyle name="_Книга7_Nsi_1" xfId="84"/>
    <cellStyle name="_Книга7_Nsi_1_баланс Самараэнерго, П1.30 в электронном виде" xfId="1594"/>
    <cellStyle name="_Книга7_Nsi_1_П 1.30 2011 НМП ГЭС" xfId="1595"/>
    <cellStyle name="_Книга7_Nsi_139" xfId="85"/>
    <cellStyle name="_Книга7_Nsi_139_баланс Самараэнерго, П1.30 в электронном виде" xfId="1596"/>
    <cellStyle name="_Книга7_Nsi_139_П 1.30 2011 НМП ГЭС" xfId="1597"/>
    <cellStyle name="_Книга7_Nsi_140" xfId="86"/>
    <cellStyle name="_Книга7_Nsi_140(Зах)" xfId="87"/>
    <cellStyle name="_Книга7_Nsi_140(Зах)_баланс Самараэнерго, П1.30 в электронном виде" xfId="1598"/>
    <cellStyle name="_Книга7_Nsi_140(Зах)_П 1.30 2011 НМП ГЭС" xfId="1599"/>
    <cellStyle name="_Книга7_Nsi_140_mod" xfId="88"/>
    <cellStyle name="_Книга7_Nsi_140_mod_баланс Самараэнерго, П1.30 в электронном виде" xfId="1600"/>
    <cellStyle name="_Книга7_Nsi_140_mod_П 1.30 2011 НМП ГЭС" xfId="1601"/>
    <cellStyle name="_Книга7_Nsi_140_баланс Самараэнерго, П1.30 в электронном виде" xfId="1602"/>
    <cellStyle name="_Книга7_Nsi_140_П 1.30 2011 НМП ГЭС" xfId="1603"/>
    <cellStyle name="_Книга7_Nsi_баланс Самараэнерго, П1.30 в электронном виде" xfId="1604"/>
    <cellStyle name="_Книга7_Nsi_П 1.30 2011 НМП ГЭС" xfId="1605"/>
    <cellStyle name="_Книга7_Summary" xfId="89"/>
    <cellStyle name="_Книга7_Summary_баланс Самараэнерго, П1.30 в электронном виде" xfId="1606"/>
    <cellStyle name="_Книга7_Summary_П 1.30 2011 НМП ГЭС" xfId="1607"/>
    <cellStyle name="_Книга7_Tax_form_1кв_3" xfId="90"/>
    <cellStyle name="_Книга7_Tax_form_1кв_3_баланс Самараэнерго, П1.30 в электронном виде" xfId="1608"/>
    <cellStyle name="_Книга7_Tax_form_1кв_3_П 1.30 2011 НМП ГЭС" xfId="1609"/>
    <cellStyle name="_Книга7_баланс Самараэнерго, П1.30 в электронном виде" xfId="1610"/>
    <cellStyle name="_Книга7_БКЭ" xfId="91"/>
    <cellStyle name="_Книга7_БКЭ_баланс Самараэнерго, П1.30 в электронном виде" xfId="1611"/>
    <cellStyle name="_Книга7_БКЭ_П 1.30 2011 НМП ГЭС" xfId="1612"/>
    <cellStyle name="_Книга7_П 1.30 2011 НМП ГЭС" xfId="1613"/>
    <cellStyle name="_Копия БКМПО-АР Сверка внутригрупп закупок и реализации за август 2006" xfId="1614"/>
    <cellStyle name="_лимиты, потребности на 2008 по цеху 36" xfId="92"/>
    <cellStyle name="_МОДЕЛЬ_1 (2)" xfId="93"/>
    <cellStyle name="_МОДЕЛЬ_1 (2)_BALANCE.WARM.2011YEAR.NEW.UPDATE.SCHEME" xfId="94"/>
    <cellStyle name="_МОДЕЛЬ_1 (2)_UPDATE.BALANCE.WARM.2011YEAR.TO.1.1" xfId="95"/>
    <cellStyle name="_НВВ 2009 постатейно свод по филиалам_09_02_09" xfId="96"/>
    <cellStyle name="_НВВ 2009 постатейно свод по филиалам_для Валентина" xfId="97"/>
    <cellStyle name="_НЗП на 2003г." xfId="98"/>
    <cellStyle name="_НЗП на 2003г._баланс Самараэнерго, П1.30 в электронном виде" xfId="1615"/>
    <cellStyle name="_НЗП на 2003г._П 1.30 2011 НМП ГЭС" xfId="1616"/>
    <cellStyle name="_ОЗР1" xfId="1617"/>
    <cellStyle name="_Омск" xfId="99"/>
    <cellStyle name="_ОТ ИД 2009" xfId="100"/>
    <cellStyle name="_пр 5 тариф RAB" xfId="101"/>
    <cellStyle name="_пр 5 тариф RAB_BALANCE.WARM.2011YEAR.NEW.UPDATE.SCHEME" xfId="102"/>
    <cellStyle name="_пр 5 тариф RAB_UPDATE.BALANCE.WARM.2011YEAR.TO.1.1" xfId="103"/>
    <cellStyle name="_Предожение _ДБП_2009 г ( согласованные БП)  (2)" xfId="104"/>
    <cellStyle name="_прил12-04" xfId="105"/>
    <cellStyle name="_Приложение МТС-3-КС" xfId="106"/>
    <cellStyle name="_Приложение-МТС--2-1" xfId="107"/>
    <cellStyle name="_Приложения 4 5 13 к договорам на 2009(окон)" xfId="108"/>
    <cellStyle name="_Расчет RAB_22072008" xfId="109"/>
    <cellStyle name="_Расчет RAB_22072008_BALANCE.WARM.2011YEAR.NEW.UPDATE.SCHEME" xfId="110"/>
    <cellStyle name="_Расчет RAB_22072008_UPDATE.BALANCE.WARM.2011YEAR.TO.1.1" xfId="111"/>
    <cellStyle name="_Расчет RAB_Лен и МОЭСК_с 2010 года_14.04.2009_со сглаж_version 3.0_без ФСК" xfId="112"/>
    <cellStyle name="_Расчет RAB_Лен и МОЭСК_с 2010 года_14.04.2009_со сглаж_version 3.0_без ФСК_BALANCE.WARM.2011YEAR.NEW.UPDATE.SCHEME" xfId="113"/>
    <cellStyle name="_Расчет RAB_Лен и МОЭСК_с 2010 года_14.04.2009_со сглаж_version 3.0_без ФСК_UPDATE.BALANCE.WARM.2011YEAR.TO.1.1" xfId="114"/>
    <cellStyle name="_Расшифровка неотфактуровки баланса на 01 01 10" xfId="1618"/>
    <cellStyle name="_Расшифровка неотфактуровки баланса на 01 02 2010 " xfId="1619"/>
    <cellStyle name="_Расшифровки_1кв_2002" xfId="115"/>
    <cellStyle name="_Расшифровки_1кв_2002_баланс Самараэнерго, П1.30 в электронном виде" xfId="1620"/>
    <cellStyle name="_Расшифровки_1кв_2002_П 1.30 2011 НМП ГЭС" xfId="1621"/>
    <cellStyle name="_Свод по ИПР (2)" xfId="116"/>
    <cellStyle name="_СМЗ-АР сверка внутригрупповых закупок и реализации" xfId="1622"/>
    <cellStyle name="_таблицы для расчетов28-04-08_2006-2009_прибыль корр_по ИА" xfId="117"/>
    <cellStyle name="_таблицы для расчетов28-04-08_2006-2009с ИА" xfId="118"/>
    <cellStyle name="_Фин расшифровки (6) июнь 2005  СМЗ" xfId="1623"/>
    <cellStyle name="_форма 1 2 за ноябрь 2006 Полис" xfId="1624"/>
    <cellStyle name="_Форма 29 сч" xfId="1625"/>
    <cellStyle name="_Форма 6  РТК.xls(отчет по Адр пр. ЛО)" xfId="119"/>
    <cellStyle name="_Форма Акта + Ведомость к приложению №8" xfId="120"/>
    <cellStyle name="_Формат разбивки по МРСК_РСК" xfId="121"/>
    <cellStyle name="_Формат_для Согласования" xfId="122"/>
    <cellStyle name="_Формы для заводов" xfId="123"/>
    <cellStyle name="_экон.форм-т ВО 1 с разбивкой" xfId="124"/>
    <cellStyle name="”€ќђќ‘ћ‚›‰" xfId="126"/>
    <cellStyle name="”€ќђќ‘ћ‚›‰ 2" xfId="1626"/>
    <cellStyle name="”€ќђќ‘ћ‚›‰ 3" xfId="1627"/>
    <cellStyle name="”€љ‘€ђћ‚ђќќ›‰" xfId="127"/>
    <cellStyle name="”€љ‘€ђћ‚ђќќ›‰ 2" xfId="1628"/>
    <cellStyle name="”€љ‘€ђћ‚ђќќ›‰ 3" xfId="1629"/>
    <cellStyle name="”ќђќ‘ћ‚›‰" xfId="128"/>
    <cellStyle name="”љ‘ђћ‚ђќќ›‰" xfId="129"/>
    <cellStyle name="„…ќ…†ќ›‰" xfId="130"/>
    <cellStyle name="„…ќ…†ќ›‰ 2" xfId="1630"/>
    <cellStyle name="„…ќ…†ќ›‰ 3" xfId="1631"/>
    <cellStyle name="€’ћѓћ‚›‰" xfId="133"/>
    <cellStyle name="€’ћѓћ‚›‰ 2" xfId="1632"/>
    <cellStyle name="€’ћѓћ‚›‰ 3" xfId="1633"/>
    <cellStyle name="‡ђѓћ‹ћ‚ћљ1" xfId="131"/>
    <cellStyle name="‡ђѓћ‹ћ‚ћљ1 2" xfId="1634"/>
    <cellStyle name="‡ђѓћ‹ћ‚ћљ1 3" xfId="1635"/>
    <cellStyle name="‡ђѓћ‹ћ‚ћљ2" xfId="132"/>
    <cellStyle name="‡ђѓћ‹ћ‚ћљ2 2" xfId="1636"/>
    <cellStyle name="‡ђѓћ‹ћ‚ћљ2 3" xfId="1637"/>
    <cellStyle name="’ћѓћ‚›‰" xfId="125"/>
    <cellStyle name="" xfId="1"/>
    <cellStyle name="" xfId="2"/>
    <cellStyle name=" 2" xfId="1638"/>
    <cellStyle name=" 2" xfId="1639"/>
    <cellStyle name=" 3" xfId="1640"/>
    <cellStyle name=" 3" xfId="1641"/>
    <cellStyle name=" 4" xfId="1642"/>
    <cellStyle name=" 4" xfId="1643"/>
    <cellStyle name=" 5" xfId="1644"/>
    <cellStyle name=" 5" xfId="1645"/>
    <cellStyle name=" 6" xfId="1646"/>
    <cellStyle name=" 6" xfId="1647"/>
    <cellStyle name=" 7" xfId="1648"/>
    <cellStyle name=" 7" xfId="1649"/>
    <cellStyle name="_баланс Самараэнерго, П1.30 в электронном виде" xfId="1650"/>
    <cellStyle name="_баланс Самараэнерго, П1.30 в электронном виде" xfId="1651"/>
    <cellStyle name="_П 1.30 2011 НМП ГЭС" xfId="1652"/>
    <cellStyle name="_П 1.30 2011 НМП ГЭС" xfId="1653"/>
    <cellStyle name="" xfId="3"/>
    <cellStyle name="" xfId="4"/>
    <cellStyle name=" 2" xfId="1654"/>
    <cellStyle name=" 2" xfId="1655"/>
    <cellStyle name=" 3" xfId="1656"/>
    <cellStyle name=" 3" xfId="1657"/>
    <cellStyle name=" 4" xfId="1658"/>
    <cellStyle name=" 4" xfId="1659"/>
    <cellStyle name=" 5" xfId="1660"/>
    <cellStyle name=" 5" xfId="1661"/>
    <cellStyle name=" 6" xfId="1662"/>
    <cellStyle name=" 6" xfId="1663"/>
    <cellStyle name=" 7" xfId="1664"/>
    <cellStyle name=" 7" xfId="1665"/>
    <cellStyle name="_баланс Самараэнерго, П1.30 в электронном виде" xfId="1666"/>
    <cellStyle name="_баланс Самараэнерго, П1.30 в электронном виде" xfId="1667"/>
    <cellStyle name="_П 1.30 2011 НМП ГЭС" xfId="1668"/>
    <cellStyle name="_П 1.30 2011 НМП ГЭС" xfId="1669"/>
    <cellStyle name="" xfId="5"/>
    <cellStyle name=" 2" xfId="1670"/>
    <cellStyle name=" 3" xfId="1671"/>
    <cellStyle name=" 4" xfId="1672"/>
    <cellStyle name=" 5" xfId="1673"/>
    <cellStyle name=" 6" xfId="1674"/>
    <cellStyle name=" 7" xfId="1675"/>
    <cellStyle name="1" xfId="135"/>
    <cellStyle name="1 2" xfId="1676"/>
    <cellStyle name="1 3" xfId="1677"/>
    <cellStyle name="2" xfId="136"/>
    <cellStyle name="2 2" xfId="1678"/>
    <cellStyle name="2 3" xfId="1679"/>
    <cellStyle name="0,00;0;" xfId="134"/>
    <cellStyle name="0,00;0; 2" xfId="1680"/>
    <cellStyle name="20% - Accent1" xfId="137"/>
    <cellStyle name="20% - Accent1 2" xfId="138"/>
    <cellStyle name="20% - Accent1_BALANCE.WARM.2011YEAR.NEW.UPDATE.SCHEME" xfId="139"/>
    <cellStyle name="20% - Accent2" xfId="140"/>
    <cellStyle name="20% - Accent2 2" xfId="141"/>
    <cellStyle name="20% - Accent2_BALANCE.WARM.2011YEAR.NEW.UPDATE.SCHEME" xfId="142"/>
    <cellStyle name="20% - Accent3" xfId="143"/>
    <cellStyle name="20% - Accent3 2" xfId="144"/>
    <cellStyle name="20% - Accent3_BALANCE.WARM.2011YEAR.NEW.UPDATE.SCHEME" xfId="145"/>
    <cellStyle name="20% - Accent4" xfId="146"/>
    <cellStyle name="20% - Accent4 2" xfId="147"/>
    <cellStyle name="20% - Accent4_BALANCE.WARM.2011YEAR.NEW.UPDATE.SCHEME" xfId="148"/>
    <cellStyle name="20% - Accent5" xfId="149"/>
    <cellStyle name="20% - Accent5 2" xfId="150"/>
    <cellStyle name="20% - Accent5_BALANCE.WARM.2011YEAR.NEW.UPDATE.SCHEME" xfId="151"/>
    <cellStyle name="20% - Accent6" xfId="152"/>
    <cellStyle name="20% - Accent6 2" xfId="153"/>
    <cellStyle name="20% - Accent6_BALANCE.WARM.2011YEAR.NEW.UPDATE.SCHEME" xfId="154"/>
    <cellStyle name="20% - Акцент1 2" xfId="155"/>
    <cellStyle name="20% - Акцент1 2 2" xfId="156"/>
    <cellStyle name="20% - Акцент1 2_BALANCE.WARM.2011YEAR.NEW.UPDATE.SCHEME" xfId="157"/>
    <cellStyle name="20% - Акцент1 3" xfId="158"/>
    <cellStyle name="20% - Акцент1 3 2" xfId="159"/>
    <cellStyle name="20% - Акцент1 3_BALANCE.WARM.2011YEAR.NEW.UPDATE.SCHEME" xfId="160"/>
    <cellStyle name="20% - Акцент1 4" xfId="161"/>
    <cellStyle name="20% - Акцент1 4 2" xfId="162"/>
    <cellStyle name="20% - Акцент1 4_BALANCE.WARM.2011YEAR.NEW.UPDATE.SCHEME" xfId="163"/>
    <cellStyle name="20% - Акцент1 5" xfId="164"/>
    <cellStyle name="20% - Акцент1 5 2" xfId="165"/>
    <cellStyle name="20% - Акцент1 5_BALANCE.WARM.2011YEAR.NEW.UPDATE.SCHEME" xfId="166"/>
    <cellStyle name="20% - Акцент1 6" xfId="167"/>
    <cellStyle name="20% - Акцент1 6 2" xfId="168"/>
    <cellStyle name="20% - Акцент1 6_BALANCE.WARM.2011YEAR.NEW.UPDATE.SCHEME" xfId="169"/>
    <cellStyle name="20% - Акцент1 7" xfId="170"/>
    <cellStyle name="20% - Акцент1 7 2" xfId="171"/>
    <cellStyle name="20% - Акцент1 7_BALANCE.WARM.2011YEAR.NEW.UPDATE.SCHEME" xfId="172"/>
    <cellStyle name="20% - Акцент1 8" xfId="173"/>
    <cellStyle name="20% - Акцент1 8 2" xfId="174"/>
    <cellStyle name="20% - Акцент1 8_BALANCE.WARM.2011YEAR.NEW.UPDATE.SCHEME" xfId="175"/>
    <cellStyle name="20% - Акцент1 9" xfId="176"/>
    <cellStyle name="20% - Акцент1 9 2" xfId="177"/>
    <cellStyle name="20% - Акцент1 9_BALANCE.WARM.2011YEAR.NEW.UPDATE.SCHEME" xfId="178"/>
    <cellStyle name="20% - Акцент2 2" xfId="179"/>
    <cellStyle name="20% - Акцент2 2 2" xfId="180"/>
    <cellStyle name="20% - Акцент2 2_BALANCE.WARM.2011YEAR.NEW.UPDATE.SCHEME" xfId="181"/>
    <cellStyle name="20% - Акцент2 3" xfId="182"/>
    <cellStyle name="20% - Акцент2 3 2" xfId="183"/>
    <cellStyle name="20% - Акцент2 3_BALANCE.WARM.2011YEAR.NEW.UPDATE.SCHEME" xfId="184"/>
    <cellStyle name="20% - Акцент2 4" xfId="185"/>
    <cellStyle name="20% - Акцент2 4 2" xfId="186"/>
    <cellStyle name="20% - Акцент2 4_BALANCE.WARM.2011YEAR.NEW.UPDATE.SCHEME" xfId="187"/>
    <cellStyle name="20% - Акцент2 5" xfId="188"/>
    <cellStyle name="20% - Акцент2 5 2" xfId="189"/>
    <cellStyle name="20% - Акцент2 5_BALANCE.WARM.2011YEAR.NEW.UPDATE.SCHEME" xfId="190"/>
    <cellStyle name="20% - Акцент2 6" xfId="191"/>
    <cellStyle name="20% - Акцент2 6 2" xfId="192"/>
    <cellStyle name="20% - Акцент2 6_BALANCE.WARM.2011YEAR.NEW.UPDATE.SCHEME" xfId="193"/>
    <cellStyle name="20% - Акцент2 7" xfId="194"/>
    <cellStyle name="20% - Акцент2 7 2" xfId="195"/>
    <cellStyle name="20% - Акцент2 7_BALANCE.WARM.2011YEAR.NEW.UPDATE.SCHEME" xfId="196"/>
    <cellStyle name="20% - Акцент2 8" xfId="197"/>
    <cellStyle name="20% - Акцент2 8 2" xfId="198"/>
    <cellStyle name="20% - Акцент2 8_BALANCE.WARM.2011YEAR.NEW.UPDATE.SCHEME" xfId="199"/>
    <cellStyle name="20% - Акцент2 9" xfId="200"/>
    <cellStyle name="20% - Акцент2 9 2" xfId="201"/>
    <cellStyle name="20% - Акцент2 9_BALANCE.WARM.2011YEAR.NEW.UPDATE.SCHEME" xfId="202"/>
    <cellStyle name="20% - Акцент3 2" xfId="203"/>
    <cellStyle name="20% - Акцент3 2 2" xfId="204"/>
    <cellStyle name="20% - Акцент3 2_BALANCE.WARM.2011YEAR.NEW.UPDATE.SCHEME" xfId="205"/>
    <cellStyle name="20% - Акцент3 3" xfId="206"/>
    <cellStyle name="20% - Акцент3 3 2" xfId="207"/>
    <cellStyle name="20% - Акцент3 3_BALANCE.WARM.2011YEAR.NEW.UPDATE.SCHEME" xfId="208"/>
    <cellStyle name="20% - Акцент3 4" xfId="209"/>
    <cellStyle name="20% - Акцент3 4 2" xfId="210"/>
    <cellStyle name="20% - Акцент3 4_BALANCE.WARM.2011YEAR.NEW.UPDATE.SCHEME" xfId="211"/>
    <cellStyle name="20% - Акцент3 5" xfId="212"/>
    <cellStyle name="20% - Акцент3 5 2" xfId="213"/>
    <cellStyle name="20% - Акцент3 5_BALANCE.WARM.2011YEAR.NEW.UPDATE.SCHEME" xfId="214"/>
    <cellStyle name="20% - Акцент3 6" xfId="215"/>
    <cellStyle name="20% - Акцент3 6 2" xfId="216"/>
    <cellStyle name="20% - Акцент3 6_BALANCE.WARM.2011YEAR.NEW.UPDATE.SCHEME" xfId="217"/>
    <cellStyle name="20% - Акцент3 7" xfId="218"/>
    <cellStyle name="20% - Акцент3 7 2" xfId="219"/>
    <cellStyle name="20% - Акцент3 7_BALANCE.WARM.2011YEAR.NEW.UPDATE.SCHEME" xfId="220"/>
    <cellStyle name="20% - Акцент3 8" xfId="221"/>
    <cellStyle name="20% - Акцент3 8 2" xfId="222"/>
    <cellStyle name="20% - Акцент3 8_BALANCE.WARM.2011YEAR.NEW.UPDATE.SCHEME" xfId="223"/>
    <cellStyle name="20% - Акцент3 9" xfId="224"/>
    <cellStyle name="20% - Акцент3 9 2" xfId="225"/>
    <cellStyle name="20% - Акцент3 9_BALANCE.WARM.2011YEAR.NEW.UPDATE.SCHEME" xfId="226"/>
    <cellStyle name="20% - Акцент4 2" xfId="227"/>
    <cellStyle name="20% - Акцент4 2 2" xfId="228"/>
    <cellStyle name="20% - Акцент4 2_BALANCE.WARM.2011YEAR.NEW.UPDATE.SCHEME" xfId="229"/>
    <cellStyle name="20% - Акцент4 3" xfId="230"/>
    <cellStyle name="20% - Акцент4 3 2" xfId="231"/>
    <cellStyle name="20% - Акцент4 3_BALANCE.WARM.2011YEAR.NEW.UPDATE.SCHEME" xfId="232"/>
    <cellStyle name="20% - Акцент4 4" xfId="233"/>
    <cellStyle name="20% - Акцент4 4 2" xfId="234"/>
    <cellStyle name="20% - Акцент4 4_BALANCE.WARM.2011YEAR.NEW.UPDATE.SCHEME" xfId="235"/>
    <cellStyle name="20% - Акцент4 5" xfId="236"/>
    <cellStyle name="20% - Акцент4 5 2" xfId="237"/>
    <cellStyle name="20% - Акцент4 5_BALANCE.WARM.2011YEAR.NEW.UPDATE.SCHEME" xfId="238"/>
    <cellStyle name="20% - Акцент4 6" xfId="239"/>
    <cellStyle name="20% - Акцент4 6 2" xfId="240"/>
    <cellStyle name="20% - Акцент4 6_BALANCE.WARM.2011YEAR.NEW.UPDATE.SCHEME" xfId="241"/>
    <cellStyle name="20% - Акцент4 7" xfId="242"/>
    <cellStyle name="20% - Акцент4 7 2" xfId="243"/>
    <cellStyle name="20% - Акцент4 7_BALANCE.WARM.2011YEAR.NEW.UPDATE.SCHEME" xfId="244"/>
    <cellStyle name="20% - Акцент4 8" xfId="245"/>
    <cellStyle name="20% - Акцент4 8 2" xfId="246"/>
    <cellStyle name="20% - Акцент4 8_BALANCE.WARM.2011YEAR.NEW.UPDATE.SCHEME" xfId="247"/>
    <cellStyle name="20% - Акцент4 9" xfId="248"/>
    <cellStyle name="20% - Акцент4 9 2" xfId="249"/>
    <cellStyle name="20% - Акцент4 9_BALANCE.WARM.2011YEAR.NEW.UPDATE.SCHEME" xfId="250"/>
    <cellStyle name="20% - Акцент5 2" xfId="251"/>
    <cellStyle name="20% - Акцент5 2 2" xfId="252"/>
    <cellStyle name="20% - Акцент5 2_BALANCE.WARM.2011YEAR.NEW.UPDATE.SCHEME" xfId="253"/>
    <cellStyle name="20% - Акцент5 3" xfId="254"/>
    <cellStyle name="20% - Акцент5 3 2" xfId="255"/>
    <cellStyle name="20% - Акцент5 3_BALANCE.WARM.2011YEAR.NEW.UPDATE.SCHEME" xfId="256"/>
    <cellStyle name="20% - Акцент5 4" xfId="257"/>
    <cellStyle name="20% - Акцент5 4 2" xfId="258"/>
    <cellStyle name="20% - Акцент5 4_BALANCE.WARM.2011YEAR.NEW.UPDATE.SCHEME" xfId="259"/>
    <cellStyle name="20% - Акцент5 5" xfId="260"/>
    <cellStyle name="20% - Акцент5 5 2" xfId="261"/>
    <cellStyle name="20% - Акцент5 5_BALANCE.WARM.2011YEAR.NEW.UPDATE.SCHEME" xfId="262"/>
    <cellStyle name="20% - Акцент5 6" xfId="263"/>
    <cellStyle name="20% - Акцент5 6 2" xfId="264"/>
    <cellStyle name="20% - Акцент5 6_BALANCE.WARM.2011YEAR.NEW.UPDATE.SCHEME" xfId="265"/>
    <cellStyle name="20% - Акцент5 7" xfId="266"/>
    <cellStyle name="20% - Акцент5 7 2" xfId="267"/>
    <cellStyle name="20% - Акцент5 7_BALANCE.WARM.2011YEAR.NEW.UPDATE.SCHEME" xfId="268"/>
    <cellStyle name="20% - Акцент5 8" xfId="269"/>
    <cellStyle name="20% - Акцент5 8 2" xfId="270"/>
    <cellStyle name="20% - Акцент5 8_BALANCE.WARM.2011YEAR.NEW.UPDATE.SCHEME" xfId="271"/>
    <cellStyle name="20% - Акцент5 9" xfId="272"/>
    <cellStyle name="20% - Акцент5 9 2" xfId="273"/>
    <cellStyle name="20% - Акцент5 9_BALANCE.WARM.2011YEAR.NEW.UPDATE.SCHEME" xfId="274"/>
    <cellStyle name="20% - Акцент6 2" xfId="275"/>
    <cellStyle name="20% - Акцент6 2 2" xfId="276"/>
    <cellStyle name="20% - Акцент6 2_BALANCE.WARM.2011YEAR.NEW.UPDATE.SCHEME" xfId="277"/>
    <cellStyle name="20% - Акцент6 3" xfId="278"/>
    <cellStyle name="20% - Акцент6 3 2" xfId="279"/>
    <cellStyle name="20% - Акцент6 3_BALANCE.WARM.2011YEAR.NEW.UPDATE.SCHEME" xfId="280"/>
    <cellStyle name="20% - Акцент6 4" xfId="281"/>
    <cellStyle name="20% - Акцент6 4 2" xfId="282"/>
    <cellStyle name="20% - Акцент6 4_BALANCE.WARM.2011YEAR.NEW.UPDATE.SCHEME" xfId="283"/>
    <cellStyle name="20% - Акцент6 5" xfId="284"/>
    <cellStyle name="20% - Акцент6 5 2" xfId="285"/>
    <cellStyle name="20% - Акцент6 5_BALANCE.WARM.2011YEAR.NEW.UPDATE.SCHEME" xfId="286"/>
    <cellStyle name="20% - Акцент6 6" xfId="287"/>
    <cellStyle name="20% - Акцент6 6 2" xfId="288"/>
    <cellStyle name="20% - Акцент6 6_BALANCE.WARM.2011YEAR.NEW.UPDATE.SCHEME" xfId="289"/>
    <cellStyle name="20% - Акцент6 7" xfId="290"/>
    <cellStyle name="20% - Акцент6 7 2" xfId="291"/>
    <cellStyle name="20% - Акцент6 7_BALANCE.WARM.2011YEAR.NEW.UPDATE.SCHEME" xfId="292"/>
    <cellStyle name="20% - Акцент6 8" xfId="293"/>
    <cellStyle name="20% - Акцент6 8 2" xfId="294"/>
    <cellStyle name="20% - Акцент6 8_BALANCE.WARM.2011YEAR.NEW.UPDATE.SCHEME" xfId="295"/>
    <cellStyle name="20% - Акцент6 9" xfId="296"/>
    <cellStyle name="20% - Акцент6 9 2" xfId="297"/>
    <cellStyle name="20% - Акцент6 9_BALANCE.WARM.2011YEAR.NEW.UPDATE.SCHEME" xfId="298"/>
    <cellStyle name="40% - Accent1" xfId="299"/>
    <cellStyle name="40% - Accent1 2" xfId="300"/>
    <cellStyle name="40% - Accent1_BALANCE.WARM.2011YEAR.NEW.UPDATE.SCHEME" xfId="301"/>
    <cellStyle name="40% - Accent2" xfId="302"/>
    <cellStyle name="40% - Accent2 2" xfId="303"/>
    <cellStyle name="40% - Accent2_BALANCE.WARM.2011YEAR.NEW.UPDATE.SCHEME" xfId="304"/>
    <cellStyle name="40% - Accent3" xfId="305"/>
    <cellStyle name="40% - Accent3 2" xfId="306"/>
    <cellStyle name="40% - Accent3_BALANCE.WARM.2011YEAR.NEW.UPDATE.SCHEME" xfId="307"/>
    <cellStyle name="40% - Accent4" xfId="308"/>
    <cellStyle name="40% - Accent4 2" xfId="309"/>
    <cellStyle name="40% - Accent4_BALANCE.WARM.2011YEAR.NEW.UPDATE.SCHEME" xfId="310"/>
    <cellStyle name="40% - Accent5" xfId="311"/>
    <cellStyle name="40% - Accent5 2" xfId="312"/>
    <cellStyle name="40% - Accent5_BALANCE.WARM.2011YEAR.NEW.UPDATE.SCHEME" xfId="313"/>
    <cellStyle name="40% - Accent6" xfId="314"/>
    <cellStyle name="40% - Accent6 2" xfId="315"/>
    <cellStyle name="40% - Accent6_BALANCE.WARM.2011YEAR.NEW.UPDATE.SCHEME" xfId="316"/>
    <cellStyle name="40% - Акцент1 2" xfId="317"/>
    <cellStyle name="40% - Акцент1 2 2" xfId="318"/>
    <cellStyle name="40% - Акцент1 2_BALANCE.WARM.2011YEAR.NEW.UPDATE.SCHEME" xfId="319"/>
    <cellStyle name="40% - Акцент1 3" xfId="320"/>
    <cellStyle name="40% - Акцент1 3 2" xfId="321"/>
    <cellStyle name="40% - Акцент1 3_BALANCE.WARM.2011YEAR.NEW.UPDATE.SCHEME" xfId="322"/>
    <cellStyle name="40% - Акцент1 4" xfId="323"/>
    <cellStyle name="40% - Акцент1 4 2" xfId="324"/>
    <cellStyle name="40% - Акцент1 4_BALANCE.WARM.2011YEAR.NEW.UPDATE.SCHEME" xfId="325"/>
    <cellStyle name="40% - Акцент1 5" xfId="326"/>
    <cellStyle name="40% - Акцент1 5 2" xfId="327"/>
    <cellStyle name="40% - Акцент1 5_BALANCE.WARM.2011YEAR.NEW.UPDATE.SCHEME" xfId="328"/>
    <cellStyle name="40% - Акцент1 6" xfId="329"/>
    <cellStyle name="40% - Акцент1 6 2" xfId="330"/>
    <cellStyle name="40% - Акцент1 6_BALANCE.WARM.2011YEAR.NEW.UPDATE.SCHEME" xfId="331"/>
    <cellStyle name="40% - Акцент1 7" xfId="332"/>
    <cellStyle name="40% - Акцент1 7 2" xfId="333"/>
    <cellStyle name="40% - Акцент1 7_BALANCE.WARM.2011YEAR.NEW.UPDATE.SCHEME" xfId="334"/>
    <cellStyle name="40% - Акцент1 8" xfId="335"/>
    <cellStyle name="40% - Акцент1 8 2" xfId="336"/>
    <cellStyle name="40% - Акцент1 8_BALANCE.WARM.2011YEAR.NEW.UPDATE.SCHEME" xfId="337"/>
    <cellStyle name="40% - Акцент1 9" xfId="338"/>
    <cellStyle name="40% - Акцент1 9 2" xfId="339"/>
    <cellStyle name="40% - Акцент1 9_BALANCE.WARM.2011YEAR.NEW.UPDATE.SCHEME" xfId="340"/>
    <cellStyle name="40% - Акцент2 2" xfId="341"/>
    <cellStyle name="40% - Акцент2 2 2" xfId="342"/>
    <cellStyle name="40% - Акцент2 2_BALANCE.WARM.2011YEAR.NEW.UPDATE.SCHEME" xfId="343"/>
    <cellStyle name="40% - Акцент2 3" xfId="344"/>
    <cellStyle name="40% - Акцент2 3 2" xfId="345"/>
    <cellStyle name="40% - Акцент2 3_BALANCE.WARM.2011YEAR.NEW.UPDATE.SCHEME" xfId="346"/>
    <cellStyle name="40% - Акцент2 4" xfId="347"/>
    <cellStyle name="40% - Акцент2 4 2" xfId="348"/>
    <cellStyle name="40% - Акцент2 4_BALANCE.WARM.2011YEAR.NEW.UPDATE.SCHEME" xfId="349"/>
    <cellStyle name="40% - Акцент2 5" xfId="350"/>
    <cellStyle name="40% - Акцент2 5 2" xfId="351"/>
    <cellStyle name="40% - Акцент2 5_BALANCE.WARM.2011YEAR.NEW.UPDATE.SCHEME" xfId="352"/>
    <cellStyle name="40% - Акцент2 6" xfId="353"/>
    <cellStyle name="40% - Акцент2 6 2" xfId="354"/>
    <cellStyle name="40% - Акцент2 6_BALANCE.WARM.2011YEAR.NEW.UPDATE.SCHEME" xfId="355"/>
    <cellStyle name="40% - Акцент2 7" xfId="356"/>
    <cellStyle name="40% - Акцент2 7 2" xfId="357"/>
    <cellStyle name="40% - Акцент2 7_BALANCE.WARM.2011YEAR.NEW.UPDATE.SCHEME" xfId="358"/>
    <cellStyle name="40% - Акцент2 8" xfId="359"/>
    <cellStyle name="40% - Акцент2 8 2" xfId="360"/>
    <cellStyle name="40% - Акцент2 8_BALANCE.WARM.2011YEAR.NEW.UPDATE.SCHEME" xfId="361"/>
    <cellStyle name="40% - Акцент2 9" xfId="362"/>
    <cellStyle name="40% - Акцент2 9 2" xfId="363"/>
    <cellStyle name="40% - Акцент2 9_BALANCE.WARM.2011YEAR.NEW.UPDATE.SCHEME" xfId="364"/>
    <cellStyle name="40% - Акцент3 2" xfId="365"/>
    <cellStyle name="40% - Акцент3 2 2" xfId="366"/>
    <cellStyle name="40% - Акцент3 2_BALANCE.WARM.2011YEAR.NEW.UPDATE.SCHEME" xfId="367"/>
    <cellStyle name="40% - Акцент3 3" xfId="368"/>
    <cellStyle name="40% - Акцент3 3 2" xfId="369"/>
    <cellStyle name="40% - Акцент3 3_BALANCE.WARM.2011YEAR.NEW.UPDATE.SCHEME" xfId="370"/>
    <cellStyle name="40% - Акцент3 4" xfId="371"/>
    <cellStyle name="40% - Акцент3 4 2" xfId="372"/>
    <cellStyle name="40% - Акцент3 4_BALANCE.WARM.2011YEAR.NEW.UPDATE.SCHEME" xfId="373"/>
    <cellStyle name="40% - Акцент3 5" xfId="374"/>
    <cellStyle name="40% - Акцент3 5 2" xfId="375"/>
    <cellStyle name="40% - Акцент3 5_BALANCE.WARM.2011YEAR.NEW.UPDATE.SCHEME" xfId="376"/>
    <cellStyle name="40% - Акцент3 6" xfId="377"/>
    <cellStyle name="40% - Акцент3 6 2" xfId="378"/>
    <cellStyle name="40% - Акцент3 6_BALANCE.WARM.2011YEAR.NEW.UPDATE.SCHEME" xfId="379"/>
    <cellStyle name="40% - Акцент3 7" xfId="380"/>
    <cellStyle name="40% - Акцент3 7 2" xfId="381"/>
    <cellStyle name="40% - Акцент3 7_BALANCE.WARM.2011YEAR.NEW.UPDATE.SCHEME" xfId="382"/>
    <cellStyle name="40% - Акцент3 8" xfId="383"/>
    <cellStyle name="40% - Акцент3 8 2" xfId="384"/>
    <cellStyle name="40% - Акцент3 8_BALANCE.WARM.2011YEAR.NEW.UPDATE.SCHEME" xfId="385"/>
    <cellStyle name="40% - Акцент3 9" xfId="386"/>
    <cellStyle name="40% - Акцент3 9 2" xfId="387"/>
    <cellStyle name="40% - Акцент3 9_BALANCE.WARM.2011YEAR.NEW.UPDATE.SCHEME" xfId="388"/>
    <cellStyle name="40% - Акцент4 2" xfId="389"/>
    <cellStyle name="40% - Акцент4 2 2" xfId="390"/>
    <cellStyle name="40% - Акцент4 2_BALANCE.WARM.2011YEAR.NEW.UPDATE.SCHEME" xfId="391"/>
    <cellStyle name="40% - Акцент4 3" xfId="392"/>
    <cellStyle name="40% - Акцент4 3 2" xfId="393"/>
    <cellStyle name="40% - Акцент4 3_BALANCE.WARM.2011YEAR.NEW.UPDATE.SCHEME" xfId="394"/>
    <cellStyle name="40% - Акцент4 4" xfId="395"/>
    <cellStyle name="40% - Акцент4 4 2" xfId="396"/>
    <cellStyle name="40% - Акцент4 4_BALANCE.WARM.2011YEAR.NEW.UPDATE.SCHEME" xfId="397"/>
    <cellStyle name="40% - Акцент4 5" xfId="398"/>
    <cellStyle name="40% - Акцент4 5 2" xfId="399"/>
    <cellStyle name="40% - Акцент4 5_BALANCE.WARM.2011YEAR.NEW.UPDATE.SCHEME" xfId="400"/>
    <cellStyle name="40% - Акцент4 6" xfId="401"/>
    <cellStyle name="40% - Акцент4 6 2" xfId="402"/>
    <cellStyle name="40% - Акцент4 6_BALANCE.WARM.2011YEAR.NEW.UPDATE.SCHEME" xfId="403"/>
    <cellStyle name="40% - Акцент4 7" xfId="404"/>
    <cellStyle name="40% - Акцент4 7 2" xfId="405"/>
    <cellStyle name="40% - Акцент4 7_BALANCE.WARM.2011YEAR.NEW.UPDATE.SCHEME" xfId="406"/>
    <cellStyle name="40% - Акцент4 8" xfId="407"/>
    <cellStyle name="40% - Акцент4 8 2" xfId="408"/>
    <cellStyle name="40% - Акцент4 8_BALANCE.WARM.2011YEAR.NEW.UPDATE.SCHEME" xfId="409"/>
    <cellStyle name="40% - Акцент4 9" xfId="410"/>
    <cellStyle name="40% - Акцент4 9 2" xfId="411"/>
    <cellStyle name="40% - Акцент4 9_BALANCE.WARM.2011YEAR.NEW.UPDATE.SCHEME" xfId="412"/>
    <cellStyle name="40% - Акцент5 2" xfId="413"/>
    <cellStyle name="40% - Акцент5 2 2" xfId="414"/>
    <cellStyle name="40% - Акцент5 2_BALANCE.WARM.2011YEAR.NEW.UPDATE.SCHEME" xfId="415"/>
    <cellStyle name="40% - Акцент5 3" xfId="416"/>
    <cellStyle name="40% - Акцент5 3 2" xfId="417"/>
    <cellStyle name="40% - Акцент5 3_BALANCE.WARM.2011YEAR.NEW.UPDATE.SCHEME" xfId="418"/>
    <cellStyle name="40% - Акцент5 4" xfId="419"/>
    <cellStyle name="40% - Акцент5 4 2" xfId="420"/>
    <cellStyle name="40% - Акцент5 4_BALANCE.WARM.2011YEAR.NEW.UPDATE.SCHEME" xfId="421"/>
    <cellStyle name="40% - Акцент5 5" xfId="422"/>
    <cellStyle name="40% - Акцент5 5 2" xfId="423"/>
    <cellStyle name="40% - Акцент5 5_BALANCE.WARM.2011YEAR.NEW.UPDATE.SCHEME" xfId="424"/>
    <cellStyle name="40% - Акцент5 6" xfId="425"/>
    <cellStyle name="40% - Акцент5 6 2" xfId="426"/>
    <cellStyle name="40% - Акцент5 6_BALANCE.WARM.2011YEAR.NEW.UPDATE.SCHEME" xfId="427"/>
    <cellStyle name="40% - Акцент5 7" xfId="428"/>
    <cellStyle name="40% - Акцент5 7 2" xfId="429"/>
    <cellStyle name="40% - Акцент5 7_BALANCE.WARM.2011YEAR.NEW.UPDATE.SCHEME" xfId="430"/>
    <cellStyle name="40% - Акцент5 8" xfId="431"/>
    <cellStyle name="40% - Акцент5 8 2" xfId="432"/>
    <cellStyle name="40% - Акцент5 8_BALANCE.WARM.2011YEAR.NEW.UPDATE.SCHEME" xfId="433"/>
    <cellStyle name="40% - Акцент5 9" xfId="434"/>
    <cellStyle name="40% - Акцент5 9 2" xfId="435"/>
    <cellStyle name="40% - Акцент5 9_BALANCE.WARM.2011YEAR.NEW.UPDATE.SCHEME" xfId="436"/>
    <cellStyle name="40% - Акцент6 2" xfId="437"/>
    <cellStyle name="40% - Акцент6 2 2" xfId="438"/>
    <cellStyle name="40% - Акцент6 2_BALANCE.WARM.2011YEAR.NEW.UPDATE.SCHEME" xfId="439"/>
    <cellStyle name="40% - Акцент6 3" xfId="440"/>
    <cellStyle name="40% - Акцент6 3 2" xfId="441"/>
    <cellStyle name="40% - Акцент6 3_BALANCE.WARM.2011YEAR.NEW.UPDATE.SCHEME" xfId="442"/>
    <cellStyle name="40% - Акцент6 4" xfId="443"/>
    <cellStyle name="40% - Акцент6 4 2" xfId="444"/>
    <cellStyle name="40% - Акцент6 4_BALANCE.WARM.2011YEAR.NEW.UPDATE.SCHEME" xfId="445"/>
    <cellStyle name="40% - Акцент6 5" xfId="446"/>
    <cellStyle name="40% - Акцент6 5 2" xfId="447"/>
    <cellStyle name="40% - Акцент6 5_BALANCE.WARM.2011YEAR.NEW.UPDATE.SCHEME" xfId="448"/>
    <cellStyle name="40% - Акцент6 6" xfId="449"/>
    <cellStyle name="40% - Акцент6 6 2" xfId="450"/>
    <cellStyle name="40% - Акцент6 6_BALANCE.WARM.2011YEAR.NEW.UPDATE.SCHEME" xfId="451"/>
    <cellStyle name="40% - Акцент6 7" xfId="452"/>
    <cellStyle name="40% - Акцент6 7 2" xfId="453"/>
    <cellStyle name="40% - Акцент6 7_BALANCE.WARM.2011YEAR.NEW.UPDATE.SCHEME" xfId="454"/>
    <cellStyle name="40% - Акцент6 8" xfId="455"/>
    <cellStyle name="40% - Акцент6 8 2" xfId="456"/>
    <cellStyle name="40% - Акцент6 8_BALANCE.WARM.2011YEAR.NEW.UPDATE.SCHEME" xfId="457"/>
    <cellStyle name="40% - Акцент6 9" xfId="458"/>
    <cellStyle name="40% - Акцент6 9 2" xfId="459"/>
    <cellStyle name="40% - Акцент6 9_BALANCE.WARM.2011YEAR.NEW.UPDATE.SCHEME" xfId="460"/>
    <cellStyle name="60% - Accent1" xfId="461"/>
    <cellStyle name="60% - Accent2" xfId="462"/>
    <cellStyle name="60% - Accent3" xfId="463"/>
    <cellStyle name="60% - Accent4" xfId="464"/>
    <cellStyle name="60% - Accent5" xfId="465"/>
    <cellStyle name="60% - Accent6" xfId="466"/>
    <cellStyle name="60% - Акцент1 2" xfId="467"/>
    <cellStyle name="60% - Акцент1 2 2" xfId="468"/>
    <cellStyle name="60% - Акцент1 3" xfId="469"/>
    <cellStyle name="60% - Акцент1 3 2" xfId="470"/>
    <cellStyle name="60% - Акцент1 4" xfId="471"/>
    <cellStyle name="60% - Акцент1 4 2" xfId="472"/>
    <cellStyle name="60% - Акцент1 5" xfId="473"/>
    <cellStyle name="60% - Акцент1 5 2" xfId="474"/>
    <cellStyle name="60% - Акцент1 6" xfId="475"/>
    <cellStyle name="60% - Акцент1 6 2" xfId="476"/>
    <cellStyle name="60% - Акцент1 7" xfId="477"/>
    <cellStyle name="60% - Акцент1 7 2" xfId="478"/>
    <cellStyle name="60% - Акцент1 8" xfId="479"/>
    <cellStyle name="60% - Акцент1 8 2" xfId="480"/>
    <cellStyle name="60% - Акцент1 9" xfId="481"/>
    <cellStyle name="60% - Акцент1 9 2" xfId="482"/>
    <cellStyle name="60% - Акцент2 2" xfId="483"/>
    <cellStyle name="60% - Акцент2 2 2" xfId="484"/>
    <cellStyle name="60% - Акцент2 3" xfId="485"/>
    <cellStyle name="60% - Акцент2 3 2" xfId="486"/>
    <cellStyle name="60% - Акцент2 4" xfId="487"/>
    <cellStyle name="60% - Акцент2 4 2" xfId="488"/>
    <cellStyle name="60% - Акцент2 5" xfId="489"/>
    <cellStyle name="60% - Акцент2 5 2" xfId="490"/>
    <cellStyle name="60% - Акцент2 6" xfId="491"/>
    <cellStyle name="60% - Акцент2 6 2" xfId="492"/>
    <cellStyle name="60% - Акцент2 7" xfId="493"/>
    <cellStyle name="60% - Акцент2 7 2" xfId="494"/>
    <cellStyle name="60% - Акцент2 8" xfId="495"/>
    <cellStyle name="60% - Акцент2 8 2" xfId="496"/>
    <cellStyle name="60% - Акцент2 9" xfId="497"/>
    <cellStyle name="60% - Акцент2 9 2" xfId="498"/>
    <cellStyle name="60% - Акцент3 2" xfId="499"/>
    <cellStyle name="60% - Акцент3 2 2" xfId="500"/>
    <cellStyle name="60% - Акцент3 3" xfId="501"/>
    <cellStyle name="60% - Акцент3 3 2" xfId="502"/>
    <cellStyle name="60% - Акцент3 4" xfId="503"/>
    <cellStyle name="60% - Акцент3 4 2" xfId="504"/>
    <cellStyle name="60% - Акцент3 5" xfId="505"/>
    <cellStyle name="60% - Акцент3 5 2" xfId="506"/>
    <cellStyle name="60% - Акцент3 6" xfId="507"/>
    <cellStyle name="60% - Акцент3 6 2" xfId="508"/>
    <cellStyle name="60% - Акцент3 7" xfId="509"/>
    <cellStyle name="60% - Акцент3 7 2" xfId="510"/>
    <cellStyle name="60% - Акцент3 8" xfId="511"/>
    <cellStyle name="60% - Акцент3 8 2" xfId="512"/>
    <cellStyle name="60% - Акцент3 9" xfId="513"/>
    <cellStyle name="60% - Акцент3 9 2" xfId="514"/>
    <cellStyle name="60% - Акцент4 2" xfId="515"/>
    <cellStyle name="60% - Акцент4 2 2" xfId="516"/>
    <cellStyle name="60% - Акцент4 3" xfId="517"/>
    <cellStyle name="60% - Акцент4 3 2" xfId="518"/>
    <cellStyle name="60% - Акцент4 4" xfId="519"/>
    <cellStyle name="60% - Акцент4 4 2" xfId="520"/>
    <cellStyle name="60% - Акцент4 5" xfId="521"/>
    <cellStyle name="60% - Акцент4 5 2" xfId="522"/>
    <cellStyle name="60% - Акцент4 6" xfId="523"/>
    <cellStyle name="60% - Акцент4 6 2" xfId="524"/>
    <cellStyle name="60% - Акцент4 7" xfId="525"/>
    <cellStyle name="60% - Акцент4 7 2" xfId="526"/>
    <cellStyle name="60% - Акцент4 8" xfId="527"/>
    <cellStyle name="60% - Акцент4 8 2" xfId="528"/>
    <cellStyle name="60% - Акцент4 9" xfId="529"/>
    <cellStyle name="60% - Акцент4 9 2" xfId="530"/>
    <cellStyle name="60% - Акцент5 2" xfId="531"/>
    <cellStyle name="60% - Акцент5 2 2" xfId="532"/>
    <cellStyle name="60% - Акцент5 3" xfId="533"/>
    <cellStyle name="60% - Акцент5 3 2" xfId="534"/>
    <cellStyle name="60% - Акцент5 4" xfId="535"/>
    <cellStyle name="60% - Акцент5 4 2" xfId="536"/>
    <cellStyle name="60% - Акцент5 5" xfId="537"/>
    <cellStyle name="60% - Акцент5 5 2" xfId="538"/>
    <cellStyle name="60% - Акцент5 6" xfId="539"/>
    <cellStyle name="60% - Акцент5 6 2" xfId="540"/>
    <cellStyle name="60% - Акцент5 7" xfId="541"/>
    <cellStyle name="60% - Акцент5 7 2" xfId="542"/>
    <cellStyle name="60% - Акцент5 8" xfId="543"/>
    <cellStyle name="60% - Акцент5 8 2" xfId="544"/>
    <cellStyle name="60% - Акцент5 9" xfId="545"/>
    <cellStyle name="60% - Акцент5 9 2" xfId="546"/>
    <cellStyle name="60% - Акцент6 2" xfId="547"/>
    <cellStyle name="60% - Акцент6 2 2" xfId="548"/>
    <cellStyle name="60% - Акцент6 3" xfId="549"/>
    <cellStyle name="60% - Акцент6 3 2" xfId="550"/>
    <cellStyle name="60% - Акцент6 4" xfId="551"/>
    <cellStyle name="60% - Акцент6 4 2" xfId="552"/>
    <cellStyle name="60% - Акцент6 5" xfId="553"/>
    <cellStyle name="60% - Акцент6 5 2" xfId="554"/>
    <cellStyle name="60% - Акцент6 6" xfId="555"/>
    <cellStyle name="60% - Акцент6 6 2" xfId="556"/>
    <cellStyle name="60% - Акцент6 7" xfId="557"/>
    <cellStyle name="60% - Акцент6 7 2" xfId="558"/>
    <cellStyle name="60% - Акцент6 8" xfId="559"/>
    <cellStyle name="60% - Акцент6 8 2" xfId="560"/>
    <cellStyle name="60% - Акцент6 9" xfId="561"/>
    <cellStyle name="60% - Акцент6 9 2" xfId="562"/>
    <cellStyle name="Aaia?iue [0]_?anoiau" xfId="563"/>
    <cellStyle name="Aaia?iue_?anoiau" xfId="564"/>
    <cellStyle name="Accent1" xfId="565"/>
    <cellStyle name="Accent2" xfId="566"/>
    <cellStyle name="Accent3" xfId="567"/>
    <cellStyle name="Accent4" xfId="568"/>
    <cellStyle name="Accent5" xfId="569"/>
    <cellStyle name="Accent6" xfId="570"/>
    <cellStyle name="Ăčďĺđńńűëęŕ" xfId="571"/>
    <cellStyle name="Ăčďĺđńńűëęŕ 2" xfId="1681"/>
    <cellStyle name="Aeia?nnueea" xfId="572"/>
    <cellStyle name="AFE" xfId="573"/>
    <cellStyle name="AFE 2" xfId="574"/>
    <cellStyle name="AFE_Копия ТНХ - ПОФ 2010 г version2 УКС от 30.07.2009" xfId="575"/>
    <cellStyle name="Áĺççŕůčňíűé" xfId="576"/>
    <cellStyle name="Äĺíĺćíűé [0]_(ňŕá 3č)" xfId="577"/>
    <cellStyle name="Äĺíĺćíűé_(ňŕá 3č)" xfId="578"/>
    <cellStyle name="Bad" xfId="579"/>
    <cellStyle name="Calc Currency (0)" xfId="580"/>
    <cellStyle name="Calc Currency (0) 2" xfId="1682"/>
    <cellStyle name="Calculation" xfId="581"/>
    <cellStyle name="Check Cell" xfId="582"/>
    <cellStyle name="Comma [0]_0_Cash" xfId="583"/>
    <cellStyle name="Comma_0_Cash" xfId="584"/>
    <cellStyle name="Comma0" xfId="585"/>
    <cellStyle name="Comma0 2" xfId="1683"/>
    <cellStyle name="Çŕůčňíűé" xfId="586"/>
    <cellStyle name="Currency [0]" xfId="587"/>
    <cellStyle name="Currency [0] 2" xfId="588"/>
    <cellStyle name="Currency [0] 2 2" xfId="589"/>
    <cellStyle name="Currency [0] 2 3" xfId="590"/>
    <cellStyle name="Currency [0] 2 4" xfId="591"/>
    <cellStyle name="Currency [0] 2 5" xfId="592"/>
    <cellStyle name="Currency [0] 2 6" xfId="593"/>
    <cellStyle name="Currency [0] 2 7" xfId="594"/>
    <cellStyle name="Currency [0] 2 8" xfId="595"/>
    <cellStyle name="Currency [0] 3" xfId="596"/>
    <cellStyle name="Currency [0] 3 2" xfId="597"/>
    <cellStyle name="Currency [0] 3 3" xfId="598"/>
    <cellStyle name="Currency [0] 3 4" xfId="599"/>
    <cellStyle name="Currency [0] 3 5" xfId="600"/>
    <cellStyle name="Currency [0] 3 6" xfId="601"/>
    <cellStyle name="Currency [0] 3 7" xfId="602"/>
    <cellStyle name="Currency [0] 3 8" xfId="603"/>
    <cellStyle name="Currency [0] 4" xfId="604"/>
    <cellStyle name="Currency [0] 4 2" xfId="605"/>
    <cellStyle name="Currency [0] 4 3" xfId="606"/>
    <cellStyle name="Currency [0] 4 4" xfId="607"/>
    <cellStyle name="Currency [0] 4 5" xfId="608"/>
    <cellStyle name="Currency [0] 4 6" xfId="609"/>
    <cellStyle name="Currency [0] 4 7" xfId="610"/>
    <cellStyle name="Currency [0] 4 8" xfId="611"/>
    <cellStyle name="Currency [0] 5" xfId="612"/>
    <cellStyle name="Currency [0] 5 2" xfId="613"/>
    <cellStyle name="Currency [0] 5 3" xfId="614"/>
    <cellStyle name="Currency [0] 5 4" xfId="615"/>
    <cellStyle name="Currency [0] 5 5" xfId="616"/>
    <cellStyle name="Currency [0] 5 6" xfId="617"/>
    <cellStyle name="Currency [0] 5 7" xfId="618"/>
    <cellStyle name="Currency [0] 5 8" xfId="619"/>
    <cellStyle name="Currency [0] 6" xfId="620"/>
    <cellStyle name="Currency [0] 6 2" xfId="621"/>
    <cellStyle name="Currency [0] 7" xfId="622"/>
    <cellStyle name="Currency [0] 7 2" xfId="623"/>
    <cellStyle name="Currency [0] 8" xfId="624"/>
    <cellStyle name="Currency [0] 8 2" xfId="625"/>
    <cellStyle name="Currency [0]_0_Cash" xfId="626"/>
    <cellStyle name="Currency_0_Cash" xfId="627"/>
    <cellStyle name="Currency0" xfId="628"/>
    <cellStyle name="Date" xfId="629"/>
    <cellStyle name="Date 2" xfId="1684"/>
    <cellStyle name="Dates" xfId="630"/>
    <cellStyle name="E-mail" xfId="631"/>
    <cellStyle name="Euro" xfId="632"/>
    <cellStyle name="Euro 2" xfId="1685"/>
    <cellStyle name="Explanatory Text" xfId="633"/>
    <cellStyle name="F2" xfId="634"/>
    <cellStyle name="F3" xfId="635"/>
    <cellStyle name="F4" xfId="636"/>
    <cellStyle name="F5" xfId="637"/>
    <cellStyle name="F6" xfId="638"/>
    <cellStyle name="F7" xfId="639"/>
    <cellStyle name="F8" xfId="640"/>
    <cellStyle name="Fixed" xfId="641"/>
    <cellStyle name="Fixed 2" xfId="1686"/>
    <cellStyle name="Followed Hyperlink_Draft-forms" xfId="642"/>
    <cellStyle name="Good" xfId="643"/>
    <cellStyle name="Header1" xfId="644"/>
    <cellStyle name="Header2" xfId="645"/>
    <cellStyle name="Heading" xfId="646"/>
    <cellStyle name="Heading 1" xfId="647"/>
    <cellStyle name="Heading 1 2" xfId="1687"/>
    <cellStyle name="Heading 2" xfId="648"/>
    <cellStyle name="Heading 2 2" xfId="1688"/>
    <cellStyle name="Heading 3" xfId="649"/>
    <cellStyle name="Heading 4" xfId="650"/>
    <cellStyle name="Heading2" xfId="651"/>
    <cellStyle name="Hyperlink_Tier 1" xfId="652"/>
    <cellStyle name="Iau?iue_?anoiau" xfId="653"/>
    <cellStyle name="Îáű÷íűé__FES" xfId="654"/>
    <cellStyle name="Îňęđűâŕâřŕ˙ń˙ ăčďĺđńńűëęŕ" xfId="655"/>
    <cellStyle name="Îňęđűâŕâřŕ˙ń˙ ăčďĺđńńűëęŕ 2" xfId="1689"/>
    <cellStyle name="Input" xfId="656"/>
    <cellStyle name="Inputs" xfId="657"/>
    <cellStyle name="Inputs (const)" xfId="658"/>
    <cellStyle name="Inputs Co" xfId="659"/>
    <cellStyle name="Inputs_BALANCE.WARM.2011YEAR.NEW.UPDATE.SCHEME" xfId="660"/>
    <cellStyle name="Ioe?uaaaoayny aeia?nnueea" xfId="661"/>
    <cellStyle name="ISO" xfId="662"/>
    <cellStyle name="ISO 2" xfId="1690"/>
    <cellStyle name="Komma [0]_laroux" xfId="663"/>
    <cellStyle name="Komma_laroux" xfId="664"/>
    <cellStyle name="KOP" xfId="665"/>
    <cellStyle name="KOP2" xfId="666"/>
    <cellStyle name="KOPP" xfId="667"/>
    <cellStyle name="Linked Cell" xfId="668"/>
    <cellStyle name="Neutral" xfId="669"/>
    <cellStyle name="normal" xfId="670"/>
    <cellStyle name="Normal 2" xfId="671"/>
    <cellStyle name="normal 3" xfId="672"/>
    <cellStyle name="normal 4" xfId="673"/>
    <cellStyle name="normal 5" xfId="674"/>
    <cellStyle name="normal 6" xfId="675"/>
    <cellStyle name="normal 7" xfId="676"/>
    <cellStyle name="normal 8" xfId="677"/>
    <cellStyle name="normal 9" xfId="678"/>
    <cellStyle name="Normal_#10-Headcount" xfId="679"/>
    <cellStyle name="Normal1" xfId="680"/>
    <cellStyle name="normбlnм_laroux" xfId="681"/>
    <cellStyle name="Note" xfId="682"/>
    <cellStyle name="Nun??c [0]_a drainl" xfId="683"/>
    <cellStyle name="Nun??c_a drainl" xfId="684"/>
    <cellStyle name="Ňűń˙÷č [0]_â đŕáîňĺ" xfId="685"/>
    <cellStyle name="Ňűń˙÷č_â đŕáîňĺ" xfId="686"/>
    <cellStyle name="Ôčíŕíńîâűé [0]_(ňŕá 3č)" xfId="687"/>
    <cellStyle name="Ociriniaue [0]_Di?nicnleuir?" xfId="688"/>
    <cellStyle name="Ôčíŕíńîâűé_(ňŕá 3č)" xfId="689"/>
    <cellStyle name="Ociriniaue_Di?nicnleuir?" xfId="690"/>
    <cellStyle name="Oeiainiaue [0]_?anoiau" xfId="691"/>
    <cellStyle name="Oeiainiaue_?anoiau" xfId="692"/>
    <cellStyle name="Ouny?e [0]_?anoiau" xfId="693"/>
    <cellStyle name="Ouny?e_?anoiau" xfId="694"/>
    <cellStyle name="Output" xfId="695"/>
    <cellStyle name="p/n" xfId="696"/>
    <cellStyle name="p/n 2" xfId="1691"/>
    <cellStyle name="Paaotsikko" xfId="697"/>
    <cellStyle name="Paaotsikko 2" xfId="1692"/>
    <cellStyle name="Price_Body" xfId="698"/>
    <cellStyle name="PSChar" xfId="1693"/>
    <cellStyle name="PSHeading" xfId="1694"/>
    <cellStyle name="Pддotsikko" xfId="699"/>
    <cellStyle name="Pддotsikko 2" xfId="1695"/>
    <cellStyle name="REGEL" xfId="700"/>
    <cellStyle name="SAPBEXaggData" xfId="701"/>
    <cellStyle name="SAPBEXaggDataEmph" xfId="702"/>
    <cellStyle name="SAPBEXaggItem" xfId="703"/>
    <cellStyle name="SAPBEXaggItemX" xfId="704"/>
    <cellStyle name="SAPBEXchaText" xfId="705"/>
    <cellStyle name="SAPBEXexcBad7" xfId="706"/>
    <cellStyle name="SAPBEXexcBad8" xfId="707"/>
    <cellStyle name="SAPBEXexcBad9" xfId="708"/>
    <cellStyle name="SAPBEXexcCritical4" xfId="709"/>
    <cellStyle name="SAPBEXexcCritical5" xfId="710"/>
    <cellStyle name="SAPBEXexcCritical6" xfId="711"/>
    <cellStyle name="SAPBEXexcGood1" xfId="712"/>
    <cellStyle name="SAPBEXexcGood2" xfId="713"/>
    <cellStyle name="SAPBEXexcGood3" xfId="714"/>
    <cellStyle name="SAPBEXfilterDrill" xfId="715"/>
    <cellStyle name="SAPBEXfilterItem" xfId="716"/>
    <cellStyle name="SAPBEXfilterText" xfId="717"/>
    <cellStyle name="SAPBEXformats" xfId="718"/>
    <cellStyle name="SAPBEXheaderItem" xfId="719"/>
    <cellStyle name="SAPBEXheaderText" xfId="720"/>
    <cellStyle name="SAPBEXHLevel0" xfId="721"/>
    <cellStyle name="SAPBEXHLevel0X" xfId="722"/>
    <cellStyle name="SAPBEXHLevel1" xfId="723"/>
    <cellStyle name="SAPBEXHLevel1X" xfId="724"/>
    <cellStyle name="SAPBEXHLevel2" xfId="725"/>
    <cellStyle name="SAPBEXHLevel2X" xfId="726"/>
    <cellStyle name="SAPBEXHLevel3" xfId="727"/>
    <cellStyle name="SAPBEXHLevel3X" xfId="728"/>
    <cellStyle name="SAPBEXinputData" xfId="729"/>
    <cellStyle name="SAPBEXresData" xfId="730"/>
    <cellStyle name="SAPBEXresDataEmph" xfId="731"/>
    <cellStyle name="SAPBEXresItem" xfId="732"/>
    <cellStyle name="SAPBEXresItemX" xfId="733"/>
    <cellStyle name="SAPBEXstdData" xfId="734"/>
    <cellStyle name="SAPBEXstdDataEmph" xfId="735"/>
    <cellStyle name="SAPBEXstdItem" xfId="736"/>
    <cellStyle name="SAPBEXstdItemX" xfId="737"/>
    <cellStyle name="SAPBEXtitle" xfId="738"/>
    <cellStyle name="SAPBEXundefined" xfId="739"/>
    <cellStyle name="Standaard_laroux" xfId="740"/>
    <cellStyle name="Style 1" xfId="741"/>
    <cellStyle name="Table Heading" xfId="742"/>
    <cellStyle name="Title" xfId="743"/>
    <cellStyle name="Total" xfId="744"/>
    <cellStyle name="Total 2" xfId="1696"/>
    <cellStyle name="Valiotsikko" xfId="745"/>
    <cellStyle name="Valiotsikko 2" xfId="1697"/>
    <cellStyle name="Valuta [0]_laroux" xfId="746"/>
    <cellStyle name="Valuta_laroux" xfId="747"/>
    <cellStyle name="Virgulă_Macheta buget" xfId="748"/>
    <cellStyle name="Vдliotsikko" xfId="749"/>
    <cellStyle name="Vдliotsikko 2" xfId="1698"/>
    <cellStyle name="Warning Text" xfId="750"/>
    <cellStyle name="Акцент1 2" xfId="751"/>
    <cellStyle name="Акцент1 2 2" xfId="752"/>
    <cellStyle name="Акцент1 3" xfId="753"/>
    <cellStyle name="Акцент1 3 2" xfId="754"/>
    <cellStyle name="Акцент1 4" xfId="755"/>
    <cellStyle name="Акцент1 4 2" xfId="756"/>
    <cellStyle name="Акцент1 5" xfId="757"/>
    <cellStyle name="Акцент1 5 2" xfId="758"/>
    <cellStyle name="Акцент1 6" xfId="759"/>
    <cellStyle name="Акцент1 6 2" xfId="760"/>
    <cellStyle name="Акцент1 7" xfId="761"/>
    <cellStyle name="Акцент1 7 2" xfId="762"/>
    <cellStyle name="Акцент1 8" xfId="763"/>
    <cellStyle name="Акцент1 8 2" xfId="764"/>
    <cellStyle name="Акцент1 9" xfId="765"/>
    <cellStyle name="Акцент1 9 2" xfId="766"/>
    <cellStyle name="Акцент2 2" xfId="767"/>
    <cellStyle name="Акцент2 2 2" xfId="768"/>
    <cellStyle name="Акцент2 3" xfId="769"/>
    <cellStyle name="Акцент2 3 2" xfId="770"/>
    <cellStyle name="Акцент2 4" xfId="771"/>
    <cellStyle name="Акцент2 4 2" xfId="772"/>
    <cellStyle name="Акцент2 5" xfId="773"/>
    <cellStyle name="Акцент2 5 2" xfId="774"/>
    <cellStyle name="Акцент2 6" xfId="775"/>
    <cellStyle name="Акцент2 6 2" xfId="776"/>
    <cellStyle name="Акцент2 7" xfId="777"/>
    <cellStyle name="Акцент2 7 2" xfId="778"/>
    <cellStyle name="Акцент2 8" xfId="779"/>
    <cellStyle name="Акцент2 8 2" xfId="780"/>
    <cellStyle name="Акцент2 9" xfId="781"/>
    <cellStyle name="Акцент2 9 2" xfId="782"/>
    <cellStyle name="Акцент3 2" xfId="783"/>
    <cellStyle name="Акцент3 2 2" xfId="784"/>
    <cellStyle name="Акцент3 3" xfId="785"/>
    <cellStyle name="Акцент3 3 2" xfId="786"/>
    <cellStyle name="Акцент3 4" xfId="787"/>
    <cellStyle name="Акцент3 4 2" xfId="788"/>
    <cellStyle name="Акцент3 5" xfId="789"/>
    <cellStyle name="Акцент3 5 2" xfId="790"/>
    <cellStyle name="Акцент3 6" xfId="791"/>
    <cellStyle name="Акцент3 6 2" xfId="792"/>
    <cellStyle name="Акцент3 7" xfId="793"/>
    <cellStyle name="Акцент3 7 2" xfId="794"/>
    <cellStyle name="Акцент3 8" xfId="795"/>
    <cellStyle name="Акцент3 8 2" xfId="796"/>
    <cellStyle name="Акцент3 9" xfId="797"/>
    <cellStyle name="Акцент3 9 2" xfId="798"/>
    <cellStyle name="Акцент4 2" xfId="799"/>
    <cellStyle name="Акцент4 2 2" xfId="800"/>
    <cellStyle name="Акцент4 3" xfId="801"/>
    <cellStyle name="Акцент4 3 2" xfId="802"/>
    <cellStyle name="Акцент4 4" xfId="803"/>
    <cellStyle name="Акцент4 4 2" xfId="804"/>
    <cellStyle name="Акцент4 5" xfId="805"/>
    <cellStyle name="Акцент4 5 2" xfId="806"/>
    <cellStyle name="Акцент4 6" xfId="807"/>
    <cellStyle name="Акцент4 6 2" xfId="808"/>
    <cellStyle name="Акцент4 7" xfId="809"/>
    <cellStyle name="Акцент4 7 2" xfId="810"/>
    <cellStyle name="Акцент4 8" xfId="811"/>
    <cellStyle name="Акцент4 8 2" xfId="812"/>
    <cellStyle name="Акцент4 9" xfId="813"/>
    <cellStyle name="Акцент4 9 2" xfId="814"/>
    <cellStyle name="Акцент5 2" xfId="815"/>
    <cellStyle name="Акцент5 2 2" xfId="816"/>
    <cellStyle name="Акцент5 3" xfId="817"/>
    <cellStyle name="Акцент5 3 2" xfId="818"/>
    <cellStyle name="Акцент5 4" xfId="819"/>
    <cellStyle name="Акцент5 4 2" xfId="820"/>
    <cellStyle name="Акцент5 5" xfId="821"/>
    <cellStyle name="Акцент5 5 2" xfId="822"/>
    <cellStyle name="Акцент5 6" xfId="823"/>
    <cellStyle name="Акцент5 6 2" xfId="824"/>
    <cellStyle name="Акцент5 7" xfId="825"/>
    <cellStyle name="Акцент5 7 2" xfId="826"/>
    <cellStyle name="Акцент5 8" xfId="827"/>
    <cellStyle name="Акцент5 8 2" xfId="828"/>
    <cellStyle name="Акцент5 9" xfId="829"/>
    <cellStyle name="Акцент5 9 2" xfId="830"/>
    <cellStyle name="Акцент6 2" xfId="831"/>
    <cellStyle name="Акцент6 2 2" xfId="832"/>
    <cellStyle name="Акцент6 3" xfId="833"/>
    <cellStyle name="Акцент6 3 2" xfId="834"/>
    <cellStyle name="Акцент6 4" xfId="835"/>
    <cellStyle name="Акцент6 4 2" xfId="836"/>
    <cellStyle name="Акцент6 5" xfId="837"/>
    <cellStyle name="Акцент6 5 2" xfId="838"/>
    <cellStyle name="Акцент6 6" xfId="839"/>
    <cellStyle name="Акцент6 6 2" xfId="840"/>
    <cellStyle name="Акцент6 7" xfId="841"/>
    <cellStyle name="Акцент6 7 2" xfId="842"/>
    <cellStyle name="Акцент6 8" xfId="843"/>
    <cellStyle name="Акцент6 8 2" xfId="844"/>
    <cellStyle name="Акцент6 9" xfId="845"/>
    <cellStyle name="Акцент6 9 2" xfId="846"/>
    <cellStyle name="Беззащитный" xfId="847"/>
    <cellStyle name="Ввод  2" xfId="848"/>
    <cellStyle name="Ввод  2 2" xfId="849"/>
    <cellStyle name="Ввод  2_OREP.KU.2011.PLAN(v1.2)" xfId="850"/>
    <cellStyle name="Ввод  3" xfId="851"/>
    <cellStyle name="Ввод  3 2" xfId="852"/>
    <cellStyle name="Ввод  3_OREP.KU.2011.PLAN(v1.2)" xfId="853"/>
    <cellStyle name="Ввод  4" xfId="854"/>
    <cellStyle name="Ввод  4 2" xfId="855"/>
    <cellStyle name="Ввод  4_OREP.KU.2011.PLAN(v1.2)" xfId="856"/>
    <cellStyle name="Ввод  5" xfId="857"/>
    <cellStyle name="Ввод  5 2" xfId="858"/>
    <cellStyle name="Ввод  5_OREP.KU.2011.PLAN(v1.2)" xfId="859"/>
    <cellStyle name="Ввод  6" xfId="860"/>
    <cellStyle name="Ввод  6 2" xfId="861"/>
    <cellStyle name="Ввод  6_OREP.KU.2011.PLAN(v1.2)" xfId="862"/>
    <cellStyle name="Ввод  7" xfId="863"/>
    <cellStyle name="Ввод  7 2" xfId="864"/>
    <cellStyle name="Ввод  7_OREP.KU.2011.PLAN(v1.2)" xfId="865"/>
    <cellStyle name="Ввод  8" xfId="866"/>
    <cellStyle name="Ввод  8 2" xfId="867"/>
    <cellStyle name="Ввод  8_OREP.KU.2011.PLAN(v1.2)" xfId="868"/>
    <cellStyle name="Ввод  9" xfId="869"/>
    <cellStyle name="Ввод  9 2" xfId="870"/>
    <cellStyle name="Ввод  9_OREP.KU.2011.PLAN(v1.2)" xfId="871"/>
    <cellStyle name="Вывод 2" xfId="872"/>
    <cellStyle name="Вывод 2 2" xfId="873"/>
    <cellStyle name="Вывод 2_OREP.KU.2011.PLAN(v1.2)" xfId="874"/>
    <cellStyle name="Вывод 3" xfId="875"/>
    <cellStyle name="Вывод 3 2" xfId="876"/>
    <cellStyle name="Вывод 3_OREP.KU.2011.PLAN(v1.2)" xfId="877"/>
    <cellStyle name="Вывод 4" xfId="878"/>
    <cellStyle name="Вывод 4 2" xfId="879"/>
    <cellStyle name="Вывод 4_OREP.KU.2011.PLAN(v1.2)" xfId="880"/>
    <cellStyle name="Вывод 5" xfId="881"/>
    <cellStyle name="Вывод 5 2" xfId="882"/>
    <cellStyle name="Вывод 5_OREP.KU.2011.PLAN(v1.2)" xfId="883"/>
    <cellStyle name="Вывод 6" xfId="884"/>
    <cellStyle name="Вывод 6 2" xfId="885"/>
    <cellStyle name="Вывод 6_OREP.KU.2011.PLAN(v1.2)" xfId="886"/>
    <cellStyle name="Вывод 7" xfId="887"/>
    <cellStyle name="Вывод 7 2" xfId="888"/>
    <cellStyle name="Вывод 7_OREP.KU.2011.PLAN(v1.2)" xfId="889"/>
    <cellStyle name="Вывод 8" xfId="890"/>
    <cellStyle name="Вывод 8 2" xfId="891"/>
    <cellStyle name="Вывод 8_OREP.KU.2011.PLAN(v1.2)" xfId="892"/>
    <cellStyle name="Вывод 9" xfId="893"/>
    <cellStyle name="Вывод 9 2" xfId="894"/>
    <cellStyle name="Вывод 9_OREP.KU.2011.PLAN(v1.2)" xfId="895"/>
    <cellStyle name="Вычисление 2" xfId="896"/>
    <cellStyle name="Вычисление 2 2" xfId="897"/>
    <cellStyle name="Вычисление 2_OREP.KU.2011.PLAN(v1.2)" xfId="898"/>
    <cellStyle name="Вычисление 3" xfId="899"/>
    <cellStyle name="Вычисление 3 2" xfId="900"/>
    <cellStyle name="Вычисление 3_OREP.KU.2011.PLAN(v1.2)" xfId="901"/>
    <cellStyle name="Вычисление 4" xfId="902"/>
    <cellStyle name="Вычисление 4 2" xfId="903"/>
    <cellStyle name="Вычисление 4_OREP.KU.2011.PLAN(v1.2)" xfId="904"/>
    <cellStyle name="Вычисление 5" xfId="905"/>
    <cellStyle name="Вычисление 5 2" xfId="906"/>
    <cellStyle name="Вычисление 5_OREP.KU.2011.PLAN(v1.2)" xfId="907"/>
    <cellStyle name="Вычисление 6" xfId="908"/>
    <cellStyle name="Вычисление 6 2" xfId="909"/>
    <cellStyle name="Вычисление 6_OREP.KU.2011.PLAN(v1.2)" xfId="910"/>
    <cellStyle name="Вычисление 7" xfId="911"/>
    <cellStyle name="Вычисление 7 2" xfId="912"/>
    <cellStyle name="Вычисление 7_OREP.KU.2011.PLAN(v1.2)" xfId="913"/>
    <cellStyle name="Вычисление 8" xfId="914"/>
    <cellStyle name="Вычисление 8 2" xfId="915"/>
    <cellStyle name="Вычисление 8_OREP.KU.2011.PLAN(v1.2)" xfId="916"/>
    <cellStyle name="Вычисление 9" xfId="917"/>
    <cellStyle name="Вычисление 9 2" xfId="918"/>
    <cellStyle name="Вычисление 9_OREP.KU.2011.PLAN(v1.2)" xfId="919"/>
    <cellStyle name="Гиперссылка 2" xfId="920"/>
    <cellStyle name="Гиперссылка 3" xfId="921"/>
    <cellStyle name="ДАТА" xfId="922"/>
    <cellStyle name="ДАТА 2" xfId="923"/>
    <cellStyle name="ДАТА 3" xfId="924"/>
    <cellStyle name="ДАТА 4" xfId="925"/>
    <cellStyle name="ДАТА 5" xfId="926"/>
    <cellStyle name="ДАТА 6" xfId="927"/>
    <cellStyle name="ДАТА 7" xfId="928"/>
    <cellStyle name="ДАТА 8" xfId="929"/>
    <cellStyle name="ДАТА_1" xfId="930"/>
    <cellStyle name="Денежный" xfId="931" builtinId="4"/>
    <cellStyle name="Денежный 2" xfId="932"/>
    <cellStyle name="Заголовок" xfId="933"/>
    <cellStyle name="Заголовок 1 2" xfId="934"/>
    <cellStyle name="Заголовок 1 2 2" xfId="935"/>
    <cellStyle name="Заголовок 1 2_OREP.KU.2011.PLAN(v1.2)" xfId="936"/>
    <cellStyle name="Заголовок 1 3" xfId="937"/>
    <cellStyle name="Заголовок 1 3 2" xfId="938"/>
    <cellStyle name="Заголовок 1 3_OREP.KU.2011.PLAN(v1.2)" xfId="939"/>
    <cellStyle name="Заголовок 1 4" xfId="940"/>
    <cellStyle name="Заголовок 1 4 2" xfId="941"/>
    <cellStyle name="Заголовок 1 4_OREP.KU.2011.PLAN(v1.2)" xfId="942"/>
    <cellStyle name="Заголовок 1 5" xfId="943"/>
    <cellStyle name="Заголовок 1 5 2" xfId="944"/>
    <cellStyle name="Заголовок 1 5_OREP.KU.2011.PLAN(v1.2)" xfId="945"/>
    <cellStyle name="Заголовок 1 6" xfId="946"/>
    <cellStyle name="Заголовок 1 6 2" xfId="947"/>
    <cellStyle name="Заголовок 1 6_OREP.KU.2011.PLAN(v1.2)" xfId="948"/>
    <cellStyle name="Заголовок 1 7" xfId="949"/>
    <cellStyle name="Заголовок 1 7 2" xfId="950"/>
    <cellStyle name="Заголовок 1 7_OREP.KU.2011.PLAN(v1.2)" xfId="951"/>
    <cellStyle name="Заголовок 1 8" xfId="952"/>
    <cellStyle name="Заголовок 1 8 2" xfId="953"/>
    <cellStyle name="Заголовок 1 8_OREP.KU.2011.PLAN(v1.2)" xfId="954"/>
    <cellStyle name="Заголовок 1 9" xfId="955"/>
    <cellStyle name="Заголовок 1 9 2" xfId="956"/>
    <cellStyle name="Заголовок 1 9_OREP.KU.2011.PLAN(v1.2)" xfId="957"/>
    <cellStyle name="Заголовок 2 2" xfId="958"/>
    <cellStyle name="Заголовок 2 2 2" xfId="959"/>
    <cellStyle name="Заголовок 2 2_OREP.KU.2011.PLAN(v1.2)" xfId="960"/>
    <cellStyle name="Заголовок 2 3" xfId="961"/>
    <cellStyle name="Заголовок 2 3 2" xfId="962"/>
    <cellStyle name="Заголовок 2 3_OREP.KU.2011.PLAN(v1.2)" xfId="963"/>
    <cellStyle name="Заголовок 2 4" xfId="964"/>
    <cellStyle name="Заголовок 2 4 2" xfId="965"/>
    <cellStyle name="Заголовок 2 4_OREP.KU.2011.PLAN(v1.2)" xfId="966"/>
    <cellStyle name="Заголовок 2 5" xfId="967"/>
    <cellStyle name="Заголовок 2 5 2" xfId="968"/>
    <cellStyle name="Заголовок 2 5_OREP.KU.2011.PLAN(v1.2)" xfId="969"/>
    <cellStyle name="Заголовок 2 6" xfId="970"/>
    <cellStyle name="Заголовок 2 6 2" xfId="971"/>
    <cellStyle name="Заголовок 2 6_OREP.KU.2011.PLAN(v1.2)" xfId="972"/>
    <cellStyle name="Заголовок 2 7" xfId="973"/>
    <cellStyle name="Заголовок 2 7 2" xfId="974"/>
    <cellStyle name="Заголовок 2 7_OREP.KU.2011.PLAN(v1.2)" xfId="975"/>
    <cellStyle name="Заголовок 2 8" xfId="976"/>
    <cellStyle name="Заголовок 2 8 2" xfId="977"/>
    <cellStyle name="Заголовок 2 8_OREP.KU.2011.PLAN(v1.2)" xfId="978"/>
    <cellStyle name="Заголовок 2 9" xfId="979"/>
    <cellStyle name="Заголовок 2 9 2" xfId="980"/>
    <cellStyle name="Заголовок 2 9_OREP.KU.2011.PLAN(v1.2)" xfId="981"/>
    <cellStyle name="Заголовок 3 2" xfId="982"/>
    <cellStyle name="Заголовок 3 2 2" xfId="983"/>
    <cellStyle name="Заголовок 3 2_OREP.KU.2011.PLAN(v1.2)" xfId="984"/>
    <cellStyle name="Заголовок 3 3" xfId="985"/>
    <cellStyle name="Заголовок 3 3 2" xfId="986"/>
    <cellStyle name="Заголовок 3 3_OREP.KU.2011.PLAN(v1.2)" xfId="987"/>
    <cellStyle name="Заголовок 3 4" xfId="988"/>
    <cellStyle name="Заголовок 3 4 2" xfId="989"/>
    <cellStyle name="Заголовок 3 4_OREP.KU.2011.PLAN(v1.2)" xfId="990"/>
    <cellStyle name="Заголовок 3 5" xfId="991"/>
    <cellStyle name="Заголовок 3 5 2" xfId="992"/>
    <cellStyle name="Заголовок 3 5_OREP.KU.2011.PLAN(v1.2)" xfId="993"/>
    <cellStyle name="Заголовок 3 6" xfId="994"/>
    <cellStyle name="Заголовок 3 6 2" xfId="995"/>
    <cellStyle name="Заголовок 3 6_OREP.KU.2011.PLAN(v1.2)" xfId="996"/>
    <cellStyle name="Заголовок 3 7" xfId="997"/>
    <cellStyle name="Заголовок 3 7 2" xfId="998"/>
    <cellStyle name="Заголовок 3 7_OREP.KU.2011.PLAN(v1.2)" xfId="999"/>
    <cellStyle name="Заголовок 3 8" xfId="1000"/>
    <cellStyle name="Заголовок 3 8 2" xfId="1001"/>
    <cellStyle name="Заголовок 3 8_OREP.KU.2011.PLAN(v1.2)" xfId="1002"/>
    <cellStyle name="Заголовок 3 9" xfId="1003"/>
    <cellStyle name="Заголовок 3 9 2" xfId="1004"/>
    <cellStyle name="Заголовок 3 9_OREP.KU.2011.PLAN(v1.2)" xfId="1005"/>
    <cellStyle name="Заголовок 4 2" xfId="1006"/>
    <cellStyle name="Заголовок 4 2 2" xfId="1007"/>
    <cellStyle name="Заголовок 4 3" xfId="1008"/>
    <cellStyle name="Заголовок 4 3 2" xfId="1009"/>
    <cellStyle name="Заголовок 4 4" xfId="1010"/>
    <cellStyle name="Заголовок 4 4 2" xfId="1011"/>
    <cellStyle name="Заголовок 4 5" xfId="1012"/>
    <cellStyle name="Заголовок 4 5 2" xfId="1013"/>
    <cellStyle name="Заголовок 4 6" xfId="1014"/>
    <cellStyle name="Заголовок 4 6 2" xfId="1015"/>
    <cellStyle name="Заголовок 4 7" xfId="1016"/>
    <cellStyle name="Заголовок 4 7 2" xfId="1017"/>
    <cellStyle name="Заголовок 4 8" xfId="1018"/>
    <cellStyle name="Заголовок 4 8 2" xfId="1019"/>
    <cellStyle name="Заголовок 4 9" xfId="1020"/>
    <cellStyle name="Заголовок 4 9 2" xfId="1021"/>
    <cellStyle name="Заголовок 5" xfId="1022"/>
    <cellStyle name="ЗАГОЛОВОК1" xfId="1023"/>
    <cellStyle name="ЗАГОЛОВОК2" xfId="1024"/>
    <cellStyle name="ЗаголовокСтолбца" xfId="1025"/>
    <cellStyle name="Защитный" xfId="1026"/>
    <cellStyle name="Значение" xfId="1027"/>
    <cellStyle name="Зоголовок" xfId="1028"/>
    <cellStyle name="Итог 2" xfId="1029"/>
    <cellStyle name="Итог 2 2" xfId="1030"/>
    <cellStyle name="Итог 2_OREP.KU.2011.PLAN(v1.2)" xfId="1031"/>
    <cellStyle name="Итог 3" xfId="1032"/>
    <cellStyle name="Итог 3 2" xfId="1033"/>
    <cellStyle name="Итог 3_OREP.KU.2011.PLAN(v1.2)" xfId="1034"/>
    <cellStyle name="Итог 4" xfId="1035"/>
    <cellStyle name="Итог 4 2" xfId="1036"/>
    <cellStyle name="Итог 4_OREP.KU.2011.PLAN(v1.2)" xfId="1037"/>
    <cellStyle name="Итог 5" xfId="1038"/>
    <cellStyle name="Итог 5 2" xfId="1039"/>
    <cellStyle name="Итог 5_OREP.KU.2011.PLAN(v1.2)" xfId="1040"/>
    <cellStyle name="Итог 6" xfId="1041"/>
    <cellStyle name="Итог 6 2" xfId="1042"/>
    <cellStyle name="Итог 6_OREP.KU.2011.PLAN(v1.2)" xfId="1043"/>
    <cellStyle name="Итог 7" xfId="1044"/>
    <cellStyle name="Итог 7 2" xfId="1045"/>
    <cellStyle name="Итог 7_OREP.KU.2011.PLAN(v1.2)" xfId="1046"/>
    <cellStyle name="Итог 8" xfId="1047"/>
    <cellStyle name="Итог 8 2" xfId="1048"/>
    <cellStyle name="Итог 8_OREP.KU.2011.PLAN(v1.2)" xfId="1049"/>
    <cellStyle name="Итог 9" xfId="1050"/>
    <cellStyle name="Итог 9 2" xfId="1051"/>
    <cellStyle name="Итог 9_OREP.KU.2011.PLAN(v1.2)" xfId="1052"/>
    <cellStyle name="Итого" xfId="1053"/>
    <cellStyle name="ИТОГОВЫЙ" xfId="1054"/>
    <cellStyle name="ИТОГОВЫЙ 2" xfId="1055"/>
    <cellStyle name="ИТОГОВЫЙ 3" xfId="1056"/>
    <cellStyle name="ИТОГОВЫЙ 4" xfId="1057"/>
    <cellStyle name="ИТОГОВЫЙ 5" xfId="1058"/>
    <cellStyle name="ИТОГОВЫЙ 6" xfId="1059"/>
    <cellStyle name="ИТОГОВЫЙ 7" xfId="1060"/>
    <cellStyle name="ИТОГОВЫЙ 8" xfId="1061"/>
    <cellStyle name="ИТОГОВЫЙ_1" xfId="1062"/>
    <cellStyle name="Контрольная ячейка 2" xfId="1063"/>
    <cellStyle name="Контрольная ячейка 2 2" xfId="1064"/>
    <cellStyle name="Контрольная ячейка 2_OREP.KU.2011.PLAN(v1.2)" xfId="1065"/>
    <cellStyle name="Контрольная ячейка 3" xfId="1066"/>
    <cellStyle name="Контрольная ячейка 3 2" xfId="1067"/>
    <cellStyle name="Контрольная ячейка 3_OREP.KU.2011.PLAN(v1.2)" xfId="1068"/>
    <cellStyle name="Контрольная ячейка 4" xfId="1069"/>
    <cellStyle name="Контрольная ячейка 4 2" xfId="1070"/>
    <cellStyle name="Контрольная ячейка 4_OREP.KU.2011.PLAN(v1.2)" xfId="1071"/>
    <cellStyle name="Контрольная ячейка 5" xfId="1072"/>
    <cellStyle name="Контрольная ячейка 5 2" xfId="1073"/>
    <cellStyle name="Контрольная ячейка 5_OREP.KU.2011.PLAN(v1.2)" xfId="1074"/>
    <cellStyle name="Контрольная ячейка 6" xfId="1075"/>
    <cellStyle name="Контрольная ячейка 6 2" xfId="1076"/>
    <cellStyle name="Контрольная ячейка 6_OREP.KU.2011.PLAN(v1.2)" xfId="1077"/>
    <cellStyle name="Контрольная ячейка 7" xfId="1078"/>
    <cellStyle name="Контрольная ячейка 7 2" xfId="1079"/>
    <cellStyle name="Контрольная ячейка 7_OREP.KU.2011.PLAN(v1.2)" xfId="1080"/>
    <cellStyle name="Контрольная ячейка 8" xfId="1081"/>
    <cellStyle name="Контрольная ячейка 8 2" xfId="1082"/>
    <cellStyle name="Контрольная ячейка 8_OREP.KU.2011.PLAN(v1.2)" xfId="1083"/>
    <cellStyle name="Контрольная ячейка 9" xfId="1084"/>
    <cellStyle name="Контрольная ячейка 9 2" xfId="1085"/>
    <cellStyle name="Контрольная ячейка 9_OREP.KU.2011.PLAN(v1.2)" xfId="1086"/>
    <cellStyle name="Мбычный_Регламент 2000 проект1" xfId="1087"/>
    <cellStyle name="Мой заголовок" xfId="1135"/>
    <cellStyle name="Мой заголовок листа" xfId="1136"/>
    <cellStyle name="Мои наименования показателей" xfId="1088"/>
    <cellStyle name="Мои наименования показателей 2" xfId="1089"/>
    <cellStyle name="Мои наименования показателей 2 2" xfId="1090"/>
    <cellStyle name="Мои наименования показателей 2 3" xfId="1091"/>
    <cellStyle name="Мои наименования показателей 2 4" xfId="1092"/>
    <cellStyle name="Мои наименования показателей 2 5" xfId="1093"/>
    <cellStyle name="Мои наименования показателей 2 6" xfId="1094"/>
    <cellStyle name="Мои наименования показателей 2 7" xfId="1095"/>
    <cellStyle name="Мои наименования показателей 2 8" xfId="1096"/>
    <cellStyle name="Мои наименования показателей 2_1" xfId="1097"/>
    <cellStyle name="Мои наименования показателей 3" xfId="1098"/>
    <cellStyle name="Мои наименования показателей 3 2" xfId="1099"/>
    <cellStyle name="Мои наименования показателей 3 3" xfId="1100"/>
    <cellStyle name="Мои наименования показателей 3 4" xfId="1101"/>
    <cellStyle name="Мои наименования показателей 3 5" xfId="1102"/>
    <cellStyle name="Мои наименования показателей 3 6" xfId="1103"/>
    <cellStyle name="Мои наименования показателей 3 7" xfId="1104"/>
    <cellStyle name="Мои наименования показателей 3 8" xfId="1105"/>
    <cellStyle name="Мои наименования показателей 3_1" xfId="1106"/>
    <cellStyle name="Мои наименования показателей 4" xfId="1107"/>
    <cellStyle name="Мои наименования показателей 4 2" xfId="1108"/>
    <cellStyle name="Мои наименования показателей 4 3" xfId="1109"/>
    <cellStyle name="Мои наименования показателей 4 4" xfId="1110"/>
    <cellStyle name="Мои наименования показателей 4 5" xfId="1111"/>
    <cellStyle name="Мои наименования показателей 4 6" xfId="1112"/>
    <cellStyle name="Мои наименования показателей 4 7" xfId="1113"/>
    <cellStyle name="Мои наименования показателей 4 8" xfId="1114"/>
    <cellStyle name="Мои наименования показателей 4_1" xfId="1115"/>
    <cellStyle name="Мои наименования показателей 5" xfId="1116"/>
    <cellStyle name="Мои наименования показателей 5 2" xfId="1117"/>
    <cellStyle name="Мои наименования показателей 5 3" xfId="1118"/>
    <cellStyle name="Мои наименования показателей 5 4" xfId="1119"/>
    <cellStyle name="Мои наименования показателей 5 5" xfId="1120"/>
    <cellStyle name="Мои наименования показателей 5 6" xfId="1121"/>
    <cellStyle name="Мои наименования показателей 5 7" xfId="1122"/>
    <cellStyle name="Мои наименования показателей 5 8" xfId="1123"/>
    <cellStyle name="Мои наименования показателей 5_1" xfId="1124"/>
    <cellStyle name="Мои наименования показателей 6" xfId="1125"/>
    <cellStyle name="Мои наименования показателей 6 2" xfId="1126"/>
    <cellStyle name="Мои наименования показателей 6_TSET.NET.2.02" xfId="1127"/>
    <cellStyle name="Мои наименования показателей 7" xfId="1128"/>
    <cellStyle name="Мои наименования показателей 7 2" xfId="1129"/>
    <cellStyle name="Мои наименования показателей 7_TSET.NET.2.02" xfId="1130"/>
    <cellStyle name="Мои наименования показателей 8" xfId="1131"/>
    <cellStyle name="Мои наименования показателей 8 2" xfId="1132"/>
    <cellStyle name="Мои наименования показателей 8_TSET.NET.2.02" xfId="1133"/>
    <cellStyle name="Мои наименования показателей_46TE.RT(v1.0)" xfId="1134"/>
    <cellStyle name="назв фил" xfId="1137"/>
    <cellStyle name="Название 2" xfId="1138"/>
    <cellStyle name="Название 2 2" xfId="1139"/>
    <cellStyle name="Название 3" xfId="1140"/>
    <cellStyle name="Название 3 2" xfId="1141"/>
    <cellStyle name="Название 4" xfId="1142"/>
    <cellStyle name="Название 4 2" xfId="1143"/>
    <cellStyle name="Название 5" xfId="1144"/>
    <cellStyle name="Название 5 2" xfId="1145"/>
    <cellStyle name="Название 6" xfId="1146"/>
    <cellStyle name="Название 6 2" xfId="1147"/>
    <cellStyle name="Название 7" xfId="1148"/>
    <cellStyle name="Название 7 2" xfId="1149"/>
    <cellStyle name="Название 8" xfId="1150"/>
    <cellStyle name="Название 8 2" xfId="1151"/>
    <cellStyle name="Название 9" xfId="1152"/>
    <cellStyle name="Название 9 2" xfId="1153"/>
    <cellStyle name="Нейтральный 2" xfId="1154"/>
    <cellStyle name="Нейтральный 2 2" xfId="1155"/>
    <cellStyle name="Нейтральный 3" xfId="1156"/>
    <cellStyle name="Нейтральный 3 2" xfId="1157"/>
    <cellStyle name="Нейтральный 4" xfId="1158"/>
    <cellStyle name="Нейтральный 4 2" xfId="1159"/>
    <cellStyle name="Нейтральный 5" xfId="1160"/>
    <cellStyle name="Нейтральный 5 2" xfId="1161"/>
    <cellStyle name="Нейтральный 6" xfId="1162"/>
    <cellStyle name="Нейтральный 6 2" xfId="1163"/>
    <cellStyle name="Нейтральный 7" xfId="1164"/>
    <cellStyle name="Нейтральный 7 2" xfId="1165"/>
    <cellStyle name="Нейтральный 8" xfId="1166"/>
    <cellStyle name="Нейтральный 8 2" xfId="1167"/>
    <cellStyle name="Нейтральный 9" xfId="1168"/>
    <cellStyle name="Нейтральный 9 2" xfId="1169"/>
    <cellStyle name="Обычный" xfId="0" builtinId="0"/>
    <cellStyle name="Обычный 10" xfId="1170"/>
    <cellStyle name="Обычный 11" xfId="1171"/>
    <cellStyle name="Обычный 12" xfId="1172"/>
    <cellStyle name="Обычный 12 2" xfId="1173"/>
    <cellStyle name="Обычный 13" xfId="1699"/>
    <cellStyle name="Обычный 13 2" xfId="1700"/>
    <cellStyle name="Обычный 14" xfId="1174"/>
    <cellStyle name="Обычный 14 2" xfId="1436"/>
    <cellStyle name="Обычный 15" xfId="1701"/>
    <cellStyle name="Обычный 2" xfId="1175"/>
    <cellStyle name="Обычный 2 2" xfId="1176"/>
    <cellStyle name="Обычный 2 2 10" xfId="1177"/>
    <cellStyle name="Обычный 2 2 2" xfId="1178"/>
    <cellStyle name="Обычный 2 2 2 2" xfId="1179"/>
    <cellStyle name="Обычный 2 2 2 2 2" xfId="1430"/>
    <cellStyle name="Обычный 2 2 2 3" xfId="1431"/>
    <cellStyle name="Обычный 2 2 2_23.04.12 на 2013 г РЭС Таблицы по передаче эл. энергии " xfId="1702"/>
    <cellStyle name="Обычный 2 2 3" xfId="1703"/>
    <cellStyle name="Обычный 2 2_BALANCE.WARM.2011YEAR.NEW.UPDATE.SCHEME" xfId="1180"/>
    <cellStyle name="Обычный 2 3" xfId="1181"/>
    <cellStyle name="Обычный 2 3 2" xfId="1182"/>
    <cellStyle name="Обычный 2 3 3" xfId="1434"/>
    <cellStyle name="Обычный 2 3_23.04.12 на 2013 г РЭС Таблицы по передаче эл. энергии " xfId="1704"/>
    <cellStyle name="Обычный 2 4" xfId="1183"/>
    <cellStyle name="Обычный 2 4 2" xfId="1184"/>
    <cellStyle name="Обычный 2 4_BALANCE.WARM.2011YEAR.NEW.UPDATE.SCHEME" xfId="1185"/>
    <cellStyle name="Обычный 2 5" xfId="1186"/>
    <cellStyle name="Обычный 2 5 2" xfId="1187"/>
    <cellStyle name="Обычный 2 5_BALANCE.WARM.2011YEAR.NEW.UPDATE.SCHEME" xfId="1188"/>
    <cellStyle name="Обычный 2 6" xfId="1189"/>
    <cellStyle name="Обычный 2 6 2" xfId="1190"/>
    <cellStyle name="Обычный 2 6_BALANCE.WARM.2011YEAR.NEW.UPDATE.SCHEME" xfId="1191"/>
    <cellStyle name="Обычный 2 7" xfId="1192"/>
    <cellStyle name="Обычный 2 8" xfId="1705"/>
    <cellStyle name="Обычный 2_1" xfId="1193"/>
    <cellStyle name="Обычный 2_НВВ - сети долгосрочный (15.07) - передано на оформление 2" xfId="1194"/>
    <cellStyle name="Обычный 2_НВВ - сети долгосрочный (15.07) - передано на оформление 2 2" xfId="1195"/>
    <cellStyle name="Обычный 3" xfId="1196"/>
    <cellStyle name="Обычный 3 2" xfId="1197"/>
    <cellStyle name="Обычный 3 3" xfId="1198"/>
    <cellStyle name="Обычный 3_17.11.10_ТАРИФ ТЕПЛО 2010г_СамРЭК" xfId="1706"/>
    <cellStyle name="Обычный 4" xfId="1199"/>
    <cellStyle name="Обычный 4 2" xfId="1200"/>
    <cellStyle name="Обычный 4_EE.20.MET.SVOD.2.73_v0.1" xfId="1201"/>
    <cellStyle name="Обычный 5" xfId="1202"/>
    <cellStyle name="Обычный 5 2" xfId="1203"/>
    <cellStyle name="Обычный 5_17.11.10_ТАРИФ ТЕПЛО 2010г_СамРЭК" xfId="1707"/>
    <cellStyle name="Обычный 6" xfId="1204"/>
    <cellStyle name="Обычный 7" xfId="1205"/>
    <cellStyle name="Обычный 8" xfId="1206"/>
    <cellStyle name="Обычный 8 2" xfId="1432"/>
    <cellStyle name="Обычный 8 2 2" xfId="1435"/>
    <cellStyle name="Обычный 9" xfId="1207"/>
    <cellStyle name="Обычный_двухставочн хворостянка 2" xfId="1208"/>
    <cellStyle name="Обычный_др. р 2" xfId="1209"/>
    <cellStyle name="Обычный_Общехозяйственные расходы СМВ" xfId="1210"/>
    <cellStyle name="Обычный_Приложения к договору" xfId="1211"/>
    <cellStyle name="Обычный_Сведения об отпуске (передаче) электроэнергии потребителям распределительными сетевыми организациями" xfId="1212"/>
    <cellStyle name="Обычный_тарифы на 2002г с 1-01" xfId="1428"/>
    <cellStyle name="Обычный_тарифы на 2002г с 1-01 2" xfId="1213"/>
    <cellStyle name="Обычный_Тепло" xfId="1214"/>
    <cellStyle name="Обычный_Тепло Самарское РНУ 2010 г." xfId="1215"/>
    <cellStyle name="Обычный_Факт.кальк.САМЕКО(11мес) (2)" xfId="1216"/>
    <cellStyle name="Обычный_Факт.кальк.САМЕКО(11мес) (2) 2" xfId="1217"/>
    <cellStyle name="Обычный_Эксперт Прометей" xfId="1218"/>
    <cellStyle name="Обычнын_Ф2.тыс.руб" xfId="1219"/>
    <cellStyle name="Плохой 2" xfId="1220"/>
    <cellStyle name="Плохой 2 2" xfId="1221"/>
    <cellStyle name="Плохой 3" xfId="1222"/>
    <cellStyle name="Плохой 3 2" xfId="1223"/>
    <cellStyle name="Плохой 4" xfId="1224"/>
    <cellStyle name="Плохой 4 2" xfId="1225"/>
    <cellStyle name="Плохой 5" xfId="1226"/>
    <cellStyle name="Плохой 5 2" xfId="1227"/>
    <cellStyle name="Плохой 6" xfId="1228"/>
    <cellStyle name="Плохой 6 2" xfId="1229"/>
    <cellStyle name="Плохой 7" xfId="1230"/>
    <cellStyle name="Плохой 7 2" xfId="1231"/>
    <cellStyle name="Плохой 8" xfId="1232"/>
    <cellStyle name="Плохой 8 2" xfId="1233"/>
    <cellStyle name="Плохой 9" xfId="1234"/>
    <cellStyle name="Плохой 9 2" xfId="1235"/>
    <cellStyle name="По центру с переносом" xfId="1236"/>
    <cellStyle name="По ширине с переносом" xfId="1237"/>
    <cellStyle name="Поле ввода" xfId="1238"/>
    <cellStyle name="Пояснение 2" xfId="1239"/>
    <cellStyle name="Пояснение 2 2" xfId="1240"/>
    <cellStyle name="Пояснение 3" xfId="1241"/>
    <cellStyle name="Пояснение 3 2" xfId="1242"/>
    <cellStyle name="Пояснение 4" xfId="1243"/>
    <cellStyle name="Пояснение 4 2" xfId="1244"/>
    <cellStyle name="Пояснение 5" xfId="1245"/>
    <cellStyle name="Пояснение 5 2" xfId="1246"/>
    <cellStyle name="Пояснение 6" xfId="1247"/>
    <cellStyle name="Пояснение 6 2" xfId="1248"/>
    <cellStyle name="Пояснение 7" xfId="1249"/>
    <cellStyle name="Пояснение 7 2" xfId="1250"/>
    <cellStyle name="Пояснение 8" xfId="1251"/>
    <cellStyle name="Пояснение 8 2" xfId="1252"/>
    <cellStyle name="Пояснение 9" xfId="1253"/>
    <cellStyle name="Пояснение 9 2" xfId="1254"/>
    <cellStyle name="Примечание 10" xfId="1255"/>
    <cellStyle name="Примечание 10 2" xfId="1256"/>
    <cellStyle name="Примечание 10_OREP.KU.2011.PLAN(v1.2)" xfId="1257"/>
    <cellStyle name="Примечание 11" xfId="1258"/>
    <cellStyle name="Примечание 11 2" xfId="1259"/>
    <cellStyle name="Примечание 11_OREP.KU.2011.PLAN(v1.2)" xfId="1260"/>
    <cellStyle name="Примечание 12" xfId="1261"/>
    <cellStyle name="Примечание 12 2" xfId="1262"/>
    <cellStyle name="Примечание 12_OREP.KU.2011.PLAN(v1.2)" xfId="1263"/>
    <cellStyle name="Примечание 2" xfId="1264"/>
    <cellStyle name="Примечание 2 2" xfId="1265"/>
    <cellStyle name="Примечание 2 3" xfId="1266"/>
    <cellStyle name="Примечание 2 4" xfId="1267"/>
    <cellStyle name="Примечание 2 5" xfId="1268"/>
    <cellStyle name="Примечание 2 6" xfId="1269"/>
    <cellStyle name="Примечание 2 7" xfId="1270"/>
    <cellStyle name="Примечание 2 8" xfId="1271"/>
    <cellStyle name="Примечание 2_OREP.KU.2011.PLAN(v1.0)" xfId="1272"/>
    <cellStyle name="Примечание 3" xfId="1273"/>
    <cellStyle name="Примечание 3 2" xfId="1274"/>
    <cellStyle name="Примечание 3 3" xfId="1275"/>
    <cellStyle name="Примечание 3 4" xfId="1276"/>
    <cellStyle name="Примечание 3 5" xfId="1277"/>
    <cellStyle name="Примечание 3 6" xfId="1278"/>
    <cellStyle name="Примечание 3 7" xfId="1279"/>
    <cellStyle name="Примечание 3 8" xfId="1280"/>
    <cellStyle name="Примечание 3_OREP.KU.2011.PLAN(v1.0)" xfId="1281"/>
    <cellStyle name="Примечание 4" xfId="1282"/>
    <cellStyle name="Примечание 4 2" xfId="1283"/>
    <cellStyle name="Примечание 4 3" xfId="1284"/>
    <cellStyle name="Примечание 4 4" xfId="1285"/>
    <cellStyle name="Примечание 4 5" xfId="1286"/>
    <cellStyle name="Примечание 4 6" xfId="1287"/>
    <cellStyle name="Примечание 4 7" xfId="1288"/>
    <cellStyle name="Примечание 4 8" xfId="1289"/>
    <cellStyle name="Примечание 4_OREP.KU.2011.PLAN(v1.0)" xfId="1290"/>
    <cellStyle name="Примечание 5" xfId="1291"/>
    <cellStyle name="Примечание 5 2" xfId="1292"/>
    <cellStyle name="Примечание 5 3" xfId="1293"/>
    <cellStyle name="Примечание 5 4" xfId="1294"/>
    <cellStyle name="Примечание 5 5" xfId="1295"/>
    <cellStyle name="Примечание 5 6" xfId="1296"/>
    <cellStyle name="Примечание 5 7" xfId="1297"/>
    <cellStyle name="Примечание 5 8" xfId="1298"/>
    <cellStyle name="Примечание 5_OREP.KU.2011.PLAN(v1.0)" xfId="1299"/>
    <cellStyle name="Примечание 6" xfId="1300"/>
    <cellStyle name="Примечание 6 2" xfId="1301"/>
    <cellStyle name="Примечание 6_OREP.KU.2011.PLAN(v1.2)" xfId="1302"/>
    <cellStyle name="Примечание 7" xfId="1303"/>
    <cellStyle name="Примечание 7 2" xfId="1304"/>
    <cellStyle name="Примечание 7_OREP.KU.2011.PLAN(v1.2)" xfId="1305"/>
    <cellStyle name="Примечание 8" xfId="1306"/>
    <cellStyle name="Примечание 8 2" xfId="1307"/>
    <cellStyle name="Примечание 8_OREP.KU.2011.PLAN(v1.2)" xfId="1308"/>
    <cellStyle name="Примечание 9" xfId="1309"/>
    <cellStyle name="Примечание 9 2" xfId="1310"/>
    <cellStyle name="Примечание 9_OREP.KU.2011.PLAN(v1.2)" xfId="1311"/>
    <cellStyle name="Процентный 10" xfId="1312"/>
    <cellStyle name="Процентный 2" xfId="1313"/>
    <cellStyle name="Процентный 2 2" xfId="1314"/>
    <cellStyle name="Процентный 2 3" xfId="1315"/>
    <cellStyle name="Процентный 3" xfId="1316"/>
    <cellStyle name="Процентный 4" xfId="1317"/>
    <cellStyle name="Процентный 5" xfId="1318"/>
    <cellStyle name="Процентный 5 2" xfId="1319"/>
    <cellStyle name="Процентный 5 3" xfId="1433"/>
    <cellStyle name="Процентный 9" xfId="1320"/>
    <cellStyle name="Связанная ячейка 2" xfId="1321"/>
    <cellStyle name="Связанная ячейка 2 2" xfId="1322"/>
    <cellStyle name="Связанная ячейка 2_OREP.KU.2011.PLAN(v1.2)" xfId="1323"/>
    <cellStyle name="Связанная ячейка 3" xfId="1324"/>
    <cellStyle name="Связанная ячейка 3 2" xfId="1325"/>
    <cellStyle name="Связанная ячейка 3_OREP.KU.2011.PLAN(v1.2)" xfId="1326"/>
    <cellStyle name="Связанная ячейка 4" xfId="1327"/>
    <cellStyle name="Связанная ячейка 4 2" xfId="1328"/>
    <cellStyle name="Связанная ячейка 4_OREP.KU.2011.PLAN(v1.2)" xfId="1329"/>
    <cellStyle name="Связанная ячейка 5" xfId="1330"/>
    <cellStyle name="Связанная ячейка 5 2" xfId="1331"/>
    <cellStyle name="Связанная ячейка 5_OREP.KU.2011.PLAN(v1.2)" xfId="1332"/>
    <cellStyle name="Связанная ячейка 6" xfId="1333"/>
    <cellStyle name="Связанная ячейка 6 2" xfId="1334"/>
    <cellStyle name="Связанная ячейка 6_OREP.KU.2011.PLAN(v1.2)" xfId="1335"/>
    <cellStyle name="Связанная ячейка 7" xfId="1336"/>
    <cellStyle name="Связанная ячейка 7 2" xfId="1337"/>
    <cellStyle name="Связанная ячейка 7_OREP.KU.2011.PLAN(v1.2)" xfId="1338"/>
    <cellStyle name="Связанная ячейка 8" xfId="1339"/>
    <cellStyle name="Связанная ячейка 8 2" xfId="1340"/>
    <cellStyle name="Связанная ячейка 8_OREP.KU.2011.PLAN(v1.2)" xfId="1341"/>
    <cellStyle name="Связанная ячейка 9" xfId="1342"/>
    <cellStyle name="Связанная ячейка 9 2" xfId="1343"/>
    <cellStyle name="Связанная ячейка 9_OREP.KU.2011.PLAN(v1.2)" xfId="1344"/>
    <cellStyle name="Стиль 1" xfId="1345"/>
    <cellStyle name="Стиль 1 2" xfId="1346"/>
    <cellStyle name="Стиль_названий" xfId="1347"/>
    <cellStyle name="Строка нечётная" xfId="1348"/>
    <cellStyle name="Строка нечётная 2" xfId="1708"/>
    <cellStyle name="Строка чётная" xfId="1349"/>
    <cellStyle name="Строка чётная 2" xfId="1709"/>
    <cellStyle name="ТЕКСТ" xfId="1350"/>
    <cellStyle name="ТЕКСТ 2" xfId="1351"/>
    <cellStyle name="ТЕКСТ 3" xfId="1352"/>
    <cellStyle name="ТЕКСТ 4" xfId="1353"/>
    <cellStyle name="ТЕКСТ 5" xfId="1354"/>
    <cellStyle name="ТЕКСТ 6" xfId="1355"/>
    <cellStyle name="ТЕКСТ 7" xfId="1356"/>
    <cellStyle name="ТЕКСТ 8" xfId="1357"/>
    <cellStyle name="Текст предупреждения 2" xfId="1358"/>
    <cellStyle name="Текст предупреждения 2 2" xfId="1359"/>
    <cellStyle name="Текст предупреждения 3" xfId="1360"/>
    <cellStyle name="Текст предупреждения 3 2" xfId="1361"/>
    <cellStyle name="Текст предупреждения 4" xfId="1362"/>
    <cellStyle name="Текст предупреждения 4 2" xfId="1363"/>
    <cellStyle name="Текст предупреждения 5" xfId="1364"/>
    <cellStyle name="Текст предупреждения 5 2" xfId="1365"/>
    <cellStyle name="Текст предупреждения 6" xfId="1366"/>
    <cellStyle name="Текст предупреждения 6 2" xfId="1367"/>
    <cellStyle name="Текст предупреждения 7" xfId="1368"/>
    <cellStyle name="Текст предупреждения 7 2" xfId="1369"/>
    <cellStyle name="Текст предупреждения 8" xfId="1370"/>
    <cellStyle name="Текст предупреждения 8 2" xfId="1371"/>
    <cellStyle name="Текст предупреждения 9" xfId="1372"/>
    <cellStyle name="Текст предупреждения 9 2" xfId="1373"/>
    <cellStyle name="Текстовый" xfId="1374"/>
    <cellStyle name="Текстовый 2" xfId="1375"/>
    <cellStyle name="Текстовый 3" xfId="1376"/>
    <cellStyle name="Текстовый 4" xfId="1377"/>
    <cellStyle name="Текстовый 5" xfId="1378"/>
    <cellStyle name="Текстовый 6" xfId="1379"/>
    <cellStyle name="Текстовый 7" xfId="1380"/>
    <cellStyle name="Текстовый 8" xfId="1381"/>
    <cellStyle name="Текстовый_1" xfId="1382"/>
    <cellStyle name="Тысячи [0]_22гк" xfId="1383"/>
    <cellStyle name="Тысячи [а]" xfId="1384"/>
    <cellStyle name="Тысячи_22гк" xfId="1385"/>
    <cellStyle name="ФИКСИРОВАННЫЙ" xfId="1386"/>
    <cellStyle name="ФИКСИРОВАННЫЙ 2" xfId="1387"/>
    <cellStyle name="ФИКСИРОВАННЫЙ 3" xfId="1388"/>
    <cellStyle name="ФИКСИРОВАННЫЙ 4" xfId="1389"/>
    <cellStyle name="ФИКСИРОВАННЫЙ 5" xfId="1390"/>
    <cellStyle name="ФИКСИРОВАННЫЙ 6" xfId="1391"/>
    <cellStyle name="ФИКСИРОВАННЫЙ 7" xfId="1392"/>
    <cellStyle name="ФИКСИРОВАННЫЙ 8" xfId="1393"/>
    <cellStyle name="ФИКСИРОВАННЫЙ_1" xfId="1394"/>
    <cellStyle name="Финансовый" xfId="1427" builtinId="3"/>
    <cellStyle name="Финансовый [0] 2" xfId="1710"/>
    <cellStyle name="Финансовый 2" xfId="1395"/>
    <cellStyle name="Финансовый 2 2" xfId="1396"/>
    <cellStyle name="Финансовый 2 2 2" xfId="1711"/>
    <cellStyle name="Финансовый 2 3" xfId="1397"/>
    <cellStyle name="Финансовый 2_BALANCE.WARM.2011YEAR.NEW.UPDATE.SCHEME" xfId="1398"/>
    <cellStyle name="Финансовый 3" xfId="1399"/>
    <cellStyle name="Финансовый 3 2" xfId="1400"/>
    <cellStyle name="Финансовый 4" xfId="1712"/>
    <cellStyle name="Финансовый 5" xfId="1713"/>
    <cellStyle name="Финансовый 5 2" xfId="1401"/>
    <cellStyle name="Финансовый 6" xfId="1402"/>
    <cellStyle name="Финансовый 7" xfId="1714"/>
    <cellStyle name="Формула" xfId="1403"/>
    <cellStyle name="Формула 2" xfId="1404"/>
    <cellStyle name="Формула_A РТ 2009 Рязаньэнерго" xfId="1405"/>
    <cellStyle name="ФормулаВБ" xfId="1406"/>
    <cellStyle name="ФормулаНаКонтроль" xfId="1407"/>
    <cellStyle name="Хороший 2" xfId="1408"/>
    <cellStyle name="Хороший 2 2" xfId="1409"/>
    <cellStyle name="Хороший 3" xfId="1410"/>
    <cellStyle name="Хороший 3 2" xfId="1411"/>
    <cellStyle name="Хороший 4" xfId="1412"/>
    <cellStyle name="Хороший 4 2" xfId="1413"/>
    <cellStyle name="Хороший 5" xfId="1414"/>
    <cellStyle name="Хороший 5 2" xfId="1415"/>
    <cellStyle name="Хороший 6" xfId="1416"/>
    <cellStyle name="Хороший 6 2" xfId="1417"/>
    <cellStyle name="Хороший 7" xfId="1418"/>
    <cellStyle name="Хороший 7 2" xfId="1419"/>
    <cellStyle name="Хороший 8" xfId="1420"/>
    <cellStyle name="Хороший 8 2" xfId="1421"/>
    <cellStyle name="Хороший 9" xfId="1422"/>
    <cellStyle name="Хороший 9 2" xfId="1423"/>
    <cellStyle name="Цифры по центру с десятыми" xfId="1424"/>
    <cellStyle name="Џђћ–…ќ’ќ›‰" xfId="1425"/>
    <cellStyle name="Џђћ–…ќ’ќ›‰ 2" xfId="1715"/>
    <cellStyle name="Џђћ–…ќ’ќ›‰ 3" xfId="1716"/>
    <cellStyle name="Шапка таблицы" xfId="1426"/>
  </cellStyles>
  <dxfs count="0"/>
  <tableStyles count="0" defaultTableStyle="TableStyleMedium9" defaultPivotStyle="PivotStyleLight16"/>
  <colors>
    <mruColors>
      <color rgb="FFCCFF33"/>
      <color rgb="FFCCFFCC"/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externalLink" Target="externalLinks/externalLink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externalLink" Target="externalLinks/externalLink2.xml"/><Relationship Id="rId133" Type="http://schemas.openxmlformats.org/officeDocument/2006/relationships/styles" Target="styles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externalLink" Target="externalLinks/externalLink13.xml"/><Relationship Id="rId128" Type="http://schemas.openxmlformats.org/officeDocument/2006/relationships/externalLink" Target="externalLinks/externalLink18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13" Type="http://schemas.openxmlformats.org/officeDocument/2006/relationships/externalLink" Target="externalLinks/externalLink3.xml"/><Relationship Id="rId118" Type="http://schemas.openxmlformats.org/officeDocument/2006/relationships/externalLink" Target="externalLinks/externalLink8.xml"/><Relationship Id="rId126" Type="http://schemas.openxmlformats.org/officeDocument/2006/relationships/externalLink" Target="externalLinks/externalLink16.xml"/><Relationship Id="rId134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externalLink" Target="externalLinks/externalLink1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16" Type="http://schemas.openxmlformats.org/officeDocument/2006/relationships/externalLink" Target="externalLinks/externalLink6.xml"/><Relationship Id="rId124" Type="http://schemas.openxmlformats.org/officeDocument/2006/relationships/externalLink" Target="externalLinks/externalLink14.xml"/><Relationship Id="rId129" Type="http://schemas.openxmlformats.org/officeDocument/2006/relationships/externalLink" Target="externalLinks/externalLink1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externalLink" Target="externalLinks/externalLink1.xml"/><Relationship Id="rId13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externalLink" Target="externalLinks/externalLink4.xml"/><Relationship Id="rId119" Type="http://schemas.openxmlformats.org/officeDocument/2006/relationships/externalLink" Target="externalLinks/externalLink9.xml"/><Relationship Id="rId127" Type="http://schemas.openxmlformats.org/officeDocument/2006/relationships/externalLink" Target="externalLinks/externalLink1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externalLink" Target="externalLinks/externalLink12.xml"/><Relationship Id="rId130" Type="http://schemas.openxmlformats.org/officeDocument/2006/relationships/externalLink" Target="externalLinks/externalLink20.xml"/><Relationship Id="rId135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externalLink" Target="externalLinks/externalLink10.xml"/><Relationship Id="rId125" Type="http://schemas.openxmlformats.org/officeDocument/2006/relationships/externalLink" Target="externalLinks/externalLink1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externalLink" Target="externalLinks/externalLink5.xml"/><Relationship Id="rId131" Type="http://schemas.openxmlformats.org/officeDocument/2006/relationships/externalLink" Target="externalLinks/externalLink21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BUDGETU2/B(34)96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2042/Application%20Data/Microsoft/Excel/&#1085;&#1072;%20&#1087;&#1086;&#1076;&#1087;&#1080;&#1089;&#1100;%2028.04.14/&#1044;&#1086;&#1082;&#1091;&#1084;&#1077;&#1085;&#1090;&#1099;%20&#1087;&#1086;%20&#1080;&#1079;&#1074;&#1077;&#1097;.27.05.2013&#1075;/27.05.13%20&#1057;&#1090;&#1088;-&#1088;&#1072;%20&#1055;1%2030%202014&#1075;.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5;&#1086;&#1083;&#1100;&#1079;&#1086;&#1074;&#1072;&#1090;&#1077;&#1083;&#1100;/AppData/Roaming/Microsoft/Excel/++++FORMA.5.2.63_&#1040;&#1054;_&#1056;&#1050;&#1062;_&#1055;&#1088;&#1086;&#1075;&#1088;&#1077;&#1089;&#1089;_12&#1084;&#1077;&#1089;._2018&#1082;&#1086;&#1088;&#1088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2;&#1086;&#1089;&#1089;&#1090;&#1072;&#1085;&#1086;&#1074;&#1083;&#1077;&#1085;&#1085;&#1072;&#1103;_&#1074;&#1085;&#1077;&#1096;&#1085;&#1103;&#1103;_&#1089;&#1089;&#1099;&#1083;&#1082;&#1072;1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2042/Local%20Settings/Temporary%20Internet%20Files/Content.Outlook/EWZIIWB8/&#1040;&#1082;&#1090;&#1080;&#1074;&#1099;%202011-2013&#1075;&#1075;%20&#1092;&#1072;&#1082;&#1090;%20(2)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5;&#1086;&#1083;&#1100;&#1079;&#1086;&#1074;&#1072;&#1090;&#1077;&#1083;&#1100;/Contacts/Downloads/&#1057;&#1086;&#1075;&#1083;&#1072;&#1089;&#1086;&#1074;&#1072;&#1085;&#1080;&#1077;%20&#1086;&#1073;.2016/15.04.15&#1057;&#1072;&#1084;&#1072;&#1088;&#1072;&#1101;&#1085;&#1077;&#1088;&#1075;&#1086;%20&#1057;&#1090;&#1088;&#1091;&#1082;&#1090;&#1091;&#1088;&#1072;%20&#1087;&#1086;&#1083;%20&#1086;&#1090;&#1087;%202016&#1075;%2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5;&#1086;&#1083;&#1100;&#1079;&#1086;&#1074;&#1072;&#1090;&#1077;&#1083;&#1100;/Contacts/Downloads/&#1057;&#1086;&#1075;&#1083;&#1072;&#1089;&#1086;&#1074;&#1072;&#1085;&#1080;&#1077;%20&#1086;&#1073;.2016/&#1057;&#1072;&#1084;&#1072;&#1088;&#1072;&#1101;&#1085;&#1077;&#1088;&#1075;&#1086;%20&#1057;&#1090;&#1088;&#1091;&#1082;&#1090;&#1091;&#1088;&#1072;%20&#1087;&#1086;&#1083;%20&#1086;&#1090;&#1087;%202016&#1075;%20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3;&#1053;&#1055;&#1056;&#1050;%20&#1062;&#1077;&#1085;&#1090;&#1088;%20&#1062;&#1057;&#1050;&#1041;-&#1055;&#1088;&#1086;&#1075;&#1088;&#1077;&#1089;&#1089;/&#1062;&#1057;&#1050;&#1041;%202012&#1075;.&#1058;&#1072;&#1073;&#1083;&#1080;&#1094;&#1099;%20&#1087;&#1086;%20&#1087;&#1077;&#1088;&#1077;&#1076;&#1072;&#1095;&#1077;%20&#1101;&#1083;.&#1101;&#1085;&#1077;&#1088;&#1075;&#1080;&#1080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3;&#1053;&#1055;&#1056;&#1050;%20&#1062;&#1077;&#1085;&#1090;&#1088;%20&#1062;&#1057;&#1050;&#1041;-&#1055;&#1088;&#1086;&#1075;&#1088;&#1077;&#1089;&#1089;/&#1057;&#1090;&#1088;&#1091;&#1082;&#1090;&#1091;&#1088;&#1072;%20&#1087;&#1086;&#1083;&#1077;&#1079;%20&#1086;&#1090;&#1087;&#1091;&#1089;&#1082;&#1072;_&#1085;&#1072;%202012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4;&#1086;&#1082;&#1091;&#1084;&#1077;&#1085;&#1090;&#1099;%20&#1076;&#1083;&#1103;%20&#1088;&#1077;&#1077;&#1089;&#1090;&#1088;&#1072;%20&#1080;%20&#1090;&#1072;&#1088;&#1080;&#1092;&#1072;%20&#1101;&#1101;/&#1058;&#1072;&#1088;&#1080;&#1092;/&#1058;&#1072;&#1088;&#1080;&#1092;%202012%20&#1075;/&#1045;&#1076;.2012-2015&#1075;&#1075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2042/Application%20Data/Microsoft/Excel/&#1085;&#1072;%20&#1087;&#1086;&#1076;&#1087;&#1080;&#1089;&#1100;%2028.04.14/&#1062;&#1057;&#1050;&#1041;%202012&#1075;.&#1058;&#1072;&#1073;&#1083;&#1080;&#1094;&#1099;%20&#1087;&#1086;%20&#1087;&#1077;&#1088;&#1077;&#1076;&#1072;&#1095;&#1077;%20&#1101;&#1083;.&#1101;&#1085;&#1077;&#1088;&#1075;&#1080;&#108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TEMP\BUDGETU2\B(34)96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2042/Application%20Data/Microsoft/Excel/&#1085;&#1072;%20&#1087;&#1086;&#1076;&#1087;&#1080;&#1089;&#1100;%2028.04.14/&#1080;&#1102;&#1085;&#1100;%20&#1062;&#1057;&#1050;&#1041;%202012&#1075;.&#1058;&#1072;&#1073;&#1083;&#1080;&#1094;&#1099;%20&#1087;&#1086;%20&#1087;&#1077;&#1088;&#1077;&#1076;&#1072;&#1095;&#1077;%20&#1101;&#1083;.&#1101;&#1085;&#1077;&#1088;&#1075;&#1080;&#1080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3;&#1053;&#1055;&#1056;&#1050;%20&#1062;&#1077;&#1085;&#1090;&#1088;%20&#1062;&#1057;&#1050;&#1041;-&#1055;&#1088;&#1086;&#1075;&#1088;&#1077;&#1089;&#1089;/2015%20&#1075;.%20&#1056;&#1072;&#1089;&#1095;&#1077;&#1090;%20&#1053;&#1042;&#1042;%20&#1062;&#1057;&#1050;&#1041;%20&#1055;&#1088;&#1086;&#1075;&#1088;&#1077;&#1089;&#1089;/2015%20&#1075;.&#1051;&#1054;&#1062;%20&#1050;&#1054;&#1057;&#1052;&#1054;&#1057;/25.09.14%20&#1075;.&#1055;&#1088;&#1086;&#1075;&#1088;&#1077;&#1089;&#1089;%202015&#1075;.&#1058;&#1072;&#1073;&#1083;&#1080;&#1094;&#1099;%20&#1101;&#1083;.&#1101;&#1085;.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ritonova\&#1074;&#1093;&#1086;&#1076;&#1103;&#1097;&#1080;&#1077;\WINDOWS\TEMP\BUDGETU2\B(34)96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2042/&#1052;&#1086;&#1080;%20&#1076;&#1086;&#1082;&#1091;&#1084;&#1077;&#1085;&#1090;&#1099;/&#1053;&#1086;&#1074;&#1072;&#1103;%20&#1087;&#1072;&#1087;&#1082;&#1072;%20(2)/&#1069;&#1083;&#1077;&#1082;&#1090;&#1088;&#1080;&#1082;&#1072;/&#1055;&#1088;&#1080;&#1082;&#1072;&#1079;&#1099;%20&#1052;&#1069;%20&#1080;%20&#1046;&#1050;&#1061;%202011-2012/&#1044;&#1086;&#1083;&#1075;&#1086;&#1089;&#1090;&#1088;&#1086;&#1081;%20&#1092;&#1086;&#1088;&#1084;&#1072;&#1090;%20&#1060;&#1057;&#1058;%20&#1059;&#1083;&#1100;&#1103;&#1085;&#1086;&#1074;&#1089;&#1082;/KOTEL.CALC.NVV.NET.2.73(v4.0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TR-BEREZOVSKY\Documents%20and%20Settings\56465\&#1056;&#1072;&#1073;&#1086;&#1095;&#1080;&#1081;%20&#1089;&#1090;&#1086;&#1083;\&#1040;&#1042;&#1048;&#1040;\&#1053;&#1059;&#1056;\&#1040;&#1074;&#1080;&#1072;&#1089;&#1087;&#1077;&#1094;&#1084;&#1086;&#1085;&#1090;&#1072;&#1078;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5;&#1086;&#1083;&#1100;&#1079;&#1086;&#1074;&#1072;&#1090;&#1077;&#1083;&#1100;/Desktop/&#1070;&#1075;-&#1057;&#1077;&#1090;&#1080;/&#1074;&#1086;&#1076;&#1072;%20&#1080;%20&#1090;&#1077;&#1087;&#1083;&#1086;/&#1070;&#1075;_&#1089;&#1077;&#1090;&#1080;_2017%20(2)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1040;&#1076;&#1084;&#1080;&#1085;&#1080;&#1089;&#1090;&#1088;&#1072;&#1090;&#1086;&#1088;/&#1042;&#1089;&#1105;%20&#1095;&#1090;&#1086;%20&#1077;&#1089;&#1090;&#1100;/&#1056;&#1040;&#1041;&#1054;&#1058;&#1040;/&#1042;&#1041;&#1052;%20&#1090;&#1077;&#1087;&#1083;&#1086;/Documents%20and%20Settings/nagimova/&#1052;&#1086;&#1080;%20&#1076;&#1086;&#1082;&#1091;&#1084;&#1077;&#1085;&#1090;&#1099;/&#1058;&#1072;&#1088;&#1080;&#1092;&#1099;/&#1058;&#1040;&#1056;&#1048;&#1060;_&#1058;&#1045;&#1055;&#1051;&#1054;_&#1101;&#1082;&#1089;&#1087;&#1077;&#1088;&#1080;&#1084;&#1077;&#1085;&#1090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roch\Backup\&#1044;&#1077;&#1083;&#1072;\2016\2016\&#1058;&#1072;&#1088;&#1080;&#1092;&#1099;\&#1040;&#1042;&#1048;&#1040;&#1057;&#1055;&#1045;&#1062;&#1052;&#1054;&#1053;&#1058;&#1040;&#1046;\&#1040;&#1074;&#1080;&#1072;&#1089;&#1087;&#1077;&#1094;&#1084;&#1086;&#1085;&#1090;&#1072;&#1078;&#1058;&#1072;&#1088;&#1080;&#1092;&#1058;&#1077;&#1087;&#1083;&#1086;2014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1040;&#1076;&#1084;&#1080;&#1085;&#1080;&#1089;&#1090;&#1088;&#1072;&#1090;&#1086;&#1088;/&#1042;&#1089;&#1105;%20&#1095;&#1090;&#1086;%20&#1077;&#1089;&#1090;&#1100;/&#1056;&#1040;&#1041;&#1054;&#1058;&#1040;/&#1056;&#1069;&#1057;%20&#1085;&#1072;%202013/23.04.12%20&#1085;&#1072;%202013%20&#1075;%20&#1056;&#1069;&#1057;%20&#1058;&#1072;&#1073;&#1083;&#1080;&#1094;&#1099;%20&#1087;&#1086;%20&#1087;&#1077;&#1088;&#1077;&#1076;&#1072;&#1095;&#1077;%20&#1101;&#1083;.%20&#1101;&#1085;&#1077;&#1088;&#1075;&#1080;&#1080;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"/>
    </sheetNames>
    <sheetDataSet>
      <sheetData sheetId="0" refreshError="1">
        <row r="5">
          <cell r="B5" t="str">
            <v>Выпуск проката на сторону</v>
          </cell>
        </row>
        <row r="8">
          <cell r="B8" t="str">
            <v>Валовая прибыль</v>
          </cell>
        </row>
        <row r="9">
          <cell r="B9" t="str">
            <v xml:space="preserve">Затраты на производство товарной продукции </v>
          </cell>
        </row>
        <row r="10">
          <cell r="B10" t="str">
            <v xml:space="preserve">Выручка, затраты, прибыль от реализации продукции ( работ, услуг ) </v>
          </cell>
        </row>
        <row r="11">
          <cell r="B11" t="str">
            <v>Выручка, затраты, прибыль от прочей реализации продукции                                                            ( работ, услуг )</v>
          </cell>
        </row>
        <row r="13">
          <cell r="B13" t="str">
            <v>Себестоимость товарной и реализованной продукции</v>
          </cell>
        </row>
        <row r="14">
          <cell r="B14" t="str">
            <v>Прибыль товарной и реализованной продукции</v>
          </cell>
        </row>
        <row r="16">
          <cell r="B16" t="str">
            <v>Затраты на 1 руб. товарной и реализованной продукции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Ед.котл.тарифы 1и 2п-е 12г."/>
      <sheetName val="П1.30 -2014г., 1 и 2 п-е"/>
      <sheetName val="стр-ра пол.отп.1 полугод.2014г."/>
      <sheetName val="стр-ра пол.отп.2 полугод.2014г."/>
      <sheetName val="стр-ра пол.отп. 2014г."/>
      <sheetName val="Прилож.1-2012г. мощность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3">
          <cell r="B23">
            <v>133980</v>
          </cell>
          <cell r="D23">
            <v>485.92</v>
          </cell>
          <cell r="E23">
            <v>983.69999999999993</v>
          </cell>
          <cell r="F23">
            <v>464.38</v>
          </cell>
        </row>
      </sheetData>
      <sheetData sheetId="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НВВ на содержание"/>
      <sheetName val="Комментарии"/>
      <sheetName val="Проверка"/>
      <sheetName val="TEHSHEET"/>
      <sheetName val="AllSheetsInThisWorkbook"/>
      <sheetName val="modList00"/>
      <sheetName val="modInstruction"/>
      <sheetName val="modList01"/>
      <sheetName val="modListComs"/>
      <sheetName val="REESTR_ORG"/>
      <sheetName val="REESTR_MO"/>
      <sheetName val="modfrmReestr"/>
      <sheetName val="modfrmCheckUpdates"/>
      <sheetName val="modReestr"/>
      <sheetName val="modListProv"/>
      <sheetName val="modHyp"/>
      <sheetName val="modInfo"/>
      <sheetName val="modUpdTemplMain"/>
    </sheetNames>
    <sheetDataSet>
      <sheetData sheetId="0"/>
      <sheetData sheetId="1"/>
      <sheetData sheetId="2"/>
      <sheetData sheetId="3">
        <row r="17">
          <cell r="H17">
            <v>2906.612406378471</v>
          </cell>
        </row>
        <row r="117">
          <cell r="H117">
            <v>12468.285</v>
          </cell>
        </row>
        <row r="122">
          <cell r="H122">
            <v>8866.764000000001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тр-ра пол.отп. 2012г.01.11.11"/>
      <sheetName val="П1.30 -01.11.11г."/>
      <sheetName val="стр-ра пол.отп.2012г.1 полугод."/>
      <sheetName val="П1.30 -2012г.1 полугод."/>
      <sheetName val="стр-ра пол.отп.2012г.2 полугод."/>
      <sheetName val="П1.30 - 2012г.2полугод "/>
      <sheetName val="Ед.котл.тарифы 1и 2п-е 12г."/>
      <sheetName val="П1.30 -2014г., 1 и 2 п-е"/>
      <sheetName val="стр-ра пол.отп.1 полугод.2014г."/>
      <sheetName val="стр-ра пол.отп.2 полугод.2014г."/>
      <sheetName val="стр-ра пол.отп. 2014г."/>
      <sheetName val="Прилож.1-2012г. мощность"/>
    </sheetNames>
    <sheetDataSet>
      <sheetData sheetId="0"/>
      <sheetData sheetId="1">
        <row r="22">
          <cell r="C22">
            <v>9420</v>
          </cell>
          <cell r="D22">
            <v>1.0900000000000001</v>
          </cell>
        </row>
      </sheetData>
      <sheetData sheetId="2"/>
      <sheetData sheetId="3">
        <row r="14">
          <cell r="C14">
            <v>258.28800000000001</v>
          </cell>
        </row>
        <row r="22">
          <cell r="C22">
            <v>4520</v>
          </cell>
        </row>
        <row r="24">
          <cell r="C24">
            <v>423.916</v>
          </cell>
        </row>
        <row r="26">
          <cell r="C26">
            <v>349</v>
          </cell>
        </row>
        <row r="28">
          <cell r="C28">
            <v>271.26400000000001</v>
          </cell>
        </row>
      </sheetData>
      <sheetData sheetId="4"/>
      <sheetData sheetId="5">
        <row r="14">
          <cell r="C14">
            <v>203.92499999999998</v>
          </cell>
        </row>
        <row r="22">
          <cell r="C22">
            <v>4900</v>
          </cell>
        </row>
        <row r="24">
          <cell r="C24">
            <v>389.39500000000004</v>
          </cell>
        </row>
        <row r="26">
          <cell r="C26">
            <v>325</v>
          </cell>
        </row>
        <row r="28">
          <cell r="C28">
            <v>260.29399999999998</v>
          </cell>
        </row>
      </sheetData>
      <sheetData sheetId="6" refreshError="1"/>
      <sheetData sheetId="7">
        <row r="9">
          <cell r="G9">
            <v>23157.851999999999</v>
          </cell>
        </row>
      </sheetData>
      <sheetData sheetId="8" refreshError="1"/>
      <sheetData sheetId="9" refreshError="1"/>
      <sheetData sheetId="10">
        <row r="23">
          <cell r="B23">
            <v>133980</v>
          </cell>
        </row>
      </sheetData>
      <sheetData sheetId="1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ктивы факт2011-2013гг"/>
      <sheetName val="П.2.1."/>
      <sheetName val="П.2.2."/>
    </sheetNames>
    <sheetDataSet>
      <sheetData sheetId="0"/>
      <sheetData sheetId="1">
        <row r="7">
          <cell r="L7">
            <v>815.29700000000003</v>
          </cell>
        </row>
      </sheetData>
      <sheetData sheetId="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тсо кроме мрск (2)"/>
      <sheetName val="2тсо кроме мрск (2)"/>
      <sheetName val="2016 тсо кроме мрск (2)"/>
      <sheetName val="1тсо кроме мрск"/>
      <sheetName val="2тсо кроме мрск"/>
      <sheetName val="2016 тсо кроме мрск"/>
      <sheetName val="1тсо кроме мрск НК"/>
      <sheetName val="2тсо кроме мрск НК"/>
      <sheetName val="2016 тсо кроме НК"/>
      <sheetName val="П1.30 2016г."/>
    </sheetNames>
    <sheetDataSet>
      <sheetData sheetId="0"/>
      <sheetData sheetId="1"/>
      <sheetData sheetId="2"/>
      <sheetData sheetId="3">
        <row r="2">
          <cell r="A2" t="str">
            <v xml:space="preserve">АО "РКЦ "Прогресс" </v>
          </cell>
        </row>
        <row r="63">
          <cell r="A63" t="str">
            <v>Примечание: * -  действующий договор оказания услуг по передаче электрической энергии № 3 от 01.01.2011г.;</v>
          </cell>
        </row>
        <row r="64">
          <cell r="A64" t="str">
            <v xml:space="preserve">                        ** -   действующие договора энергоснабжения № 20-1001э от 01.01.2013г. , № 20-1001к от 01.01.2013г..</v>
          </cell>
        </row>
        <row r="65">
          <cell r="D65" t="str">
            <v>Руководитель сетевой организации АО "РКЦ "Прогресс"</v>
          </cell>
        </row>
      </sheetData>
      <sheetData sheetId="4">
        <row r="9">
          <cell r="C9">
            <v>1450</v>
          </cell>
        </row>
      </sheetData>
      <sheetData sheetId="5">
        <row r="9">
          <cell r="B9">
            <v>9248</v>
          </cell>
        </row>
      </sheetData>
      <sheetData sheetId="6">
        <row r="9">
          <cell r="E9">
            <v>1.202</v>
          </cell>
        </row>
      </sheetData>
      <sheetData sheetId="7">
        <row r="9">
          <cell r="E9">
            <v>1.2010000000000001</v>
          </cell>
        </row>
      </sheetData>
      <sheetData sheetId="8">
        <row r="9">
          <cell r="B9">
            <v>3.9770000000000003</v>
          </cell>
        </row>
      </sheetData>
      <sheetData sheetId="9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тсо кроме мрск"/>
      <sheetName val="2тсо кроме мрск"/>
      <sheetName val="2016 тсо кроме мрск"/>
      <sheetName val="1тсо кроме мрск НК"/>
      <sheetName val="2тсо кроме мрск НК"/>
      <sheetName val="2016 тсо кроме НК"/>
      <sheetName val="П1.30 2016г."/>
    </sheetNames>
    <sheetDataSet>
      <sheetData sheetId="0">
        <row r="2">
          <cell r="A2" t="str">
            <v xml:space="preserve">АО "РКЦ "Прогресс" </v>
          </cell>
        </row>
      </sheetData>
      <sheetData sheetId="1">
        <row r="9">
          <cell r="C9">
            <v>1155.5239999999999</v>
          </cell>
        </row>
      </sheetData>
      <sheetData sheetId="2">
        <row r="9">
          <cell r="B9">
            <v>9186.5099999999984</v>
          </cell>
        </row>
      </sheetData>
      <sheetData sheetId="3">
        <row r="2">
          <cell r="A2" t="str">
            <v xml:space="preserve">АО "РКЦ "Прогресс" </v>
          </cell>
        </row>
        <row r="44">
          <cell r="E44">
            <v>1.202</v>
          </cell>
          <cell r="F44">
            <v>0.78700000000000003</v>
          </cell>
        </row>
        <row r="45">
          <cell r="E45">
            <v>5.0000000000000001E-4</v>
          </cell>
          <cell r="F45">
            <v>3.212244897959184E-4</v>
          </cell>
        </row>
        <row r="59">
          <cell r="A59" t="str">
            <v>2. СОБСТВЕННОЕ ПОТРЕБЛЕНИЕ (в целом по юридическому лицу) **</v>
          </cell>
        </row>
        <row r="60">
          <cell r="E60">
            <v>734.06399999999996</v>
          </cell>
        </row>
        <row r="61">
          <cell r="E61">
            <v>0.16203000000000001</v>
          </cell>
        </row>
        <row r="65">
          <cell r="A65" t="str">
            <v>Руководитель энергосбытовой организации ООО "НК-Энергосбыт"</v>
          </cell>
          <cell r="D65" t="str">
            <v xml:space="preserve">Руководитель сетевой организации АО «РКЦ «Прогресс» </v>
          </cell>
        </row>
        <row r="71">
          <cell r="D71" t="str">
            <v xml:space="preserve"> _______________________________________________</v>
          </cell>
        </row>
      </sheetData>
      <sheetData sheetId="4">
        <row r="9">
          <cell r="E9">
            <v>1.2010000000000001</v>
          </cell>
        </row>
        <row r="44">
          <cell r="E44">
            <v>1.2010000000000001</v>
          </cell>
          <cell r="F44">
            <v>0.78700000000000003</v>
          </cell>
        </row>
        <row r="45">
          <cell r="E45">
            <v>5.0000000000000001E-4</v>
          </cell>
          <cell r="F45">
            <v>3.212244897959184E-4</v>
          </cell>
        </row>
        <row r="60">
          <cell r="E60">
            <v>682.06600000000003</v>
          </cell>
        </row>
        <row r="61">
          <cell r="E61">
            <v>0.16203000000000001</v>
          </cell>
        </row>
      </sheetData>
      <sheetData sheetId="5">
        <row r="9">
          <cell r="B9">
            <v>3.9770000000000003</v>
          </cell>
        </row>
      </sheetData>
      <sheetData sheetId="6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ктивы"/>
      <sheetName val="НВВ на содержание"/>
      <sheetName val="тел."/>
      <sheetName val="2012 Баланс  "/>
      <sheetName val="П1.30 - 18.04.11г."/>
      <sheetName val="П 1.3."/>
      <sheetName val="П 1.4."/>
      <sheetName val="П 1.5. "/>
      <sheetName val="П 1.6."/>
      <sheetName val="П 1.13."/>
      <sheetName val="П 1.15."/>
      <sheetName val="ОХР "/>
      <sheetName val="Прочие цеховые расходы"/>
      <sheetName val="П 1.18.2"/>
      <sheetName val="П 1.16 раб."/>
      <sheetName val="ФОТ 2011г. (2)"/>
      <sheetName val="П 1.16 РСС цех."/>
      <sheetName val="ФЗП раб.9мес.10г."/>
      <sheetName val="П 1.16 АУП ОХР"/>
      <sheetName val="П 1.16 свод"/>
      <sheetName val="П 1.17"/>
      <sheetName val="П .1.17.1"/>
      <sheetName val="П 1.17 (2)"/>
      <sheetName val="П .1.17.1 (2)"/>
      <sheetName val="Амортизация 11г. - 12г."/>
      <sheetName val="П 1.17 свод"/>
      <sheetName val="П 1.20."/>
      <sheetName val="П 1.20.3."/>
      <sheetName val="П 1.21.3."/>
      <sheetName val="П 1.24"/>
      <sheetName val="С-Э и сет.расч.инд.межсет.2011"/>
      <sheetName val="УГРКЭ расч.по инд.межсет.тар.11"/>
      <sheetName val="П 1.25."/>
      <sheetName val="П 1.27"/>
      <sheetName val="П.2.1."/>
      <sheetName val="П.2.2."/>
      <sheetName val="П.2.1.общ."/>
      <sheetName val="П.2.2. общ"/>
      <sheetName val="активы общ."/>
      <sheetName val="Расчет"/>
      <sheetName val="Реестр вспомог.мат.2010-2011"/>
      <sheetName val="Работы и услуги 2011г."/>
      <sheetName val="РСЭО 2012г."/>
      <sheetName val="Распред.приб. на соц.разв.2011"/>
      <sheetName val="Цеховые  2008-2010 гг."/>
      <sheetName val="ОХР  (2)"/>
      <sheetName val="П 1.17 цех."/>
      <sheetName val="Амортизация цех10г. - 11г."/>
      <sheetName val="П 1.17 ОХР"/>
      <sheetName val="П 1.15. Расшифровка"/>
      <sheetName val="ФЗП раб.10г.-11г."/>
      <sheetName val="в доле ФЗП РСС 10г.-11г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>
        <row r="38">
          <cell r="E38">
            <v>1087.3478500000001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тр-ра пол.отп. 2012г_"/>
      <sheetName val="стр-ра пол.отп. 2012г_ (2)"/>
      <sheetName val="стр-ра пол.отп. 2012г_ (3)"/>
      <sheetName val="Лист1"/>
      <sheetName val="П1.30 - 18.04.11г."/>
      <sheetName val="Прилож.1-2012г."/>
    </sheetNames>
    <sheetDataSet>
      <sheetData sheetId="0"/>
      <sheetData sheetId="1"/>
      <sheetData sheetId="2">
        <row r="2">
          <cell r="H2">
            <v>36138.020999999993</v>
          </cell>
        </row>
      </sheetData>
      <sheetData sheetId="3">
        <row r="20">
          <cell r="H20">
            <v>8417.0198482290671</v>
          </cell>
        </row>
      </sheetData>
      <sheetData sheetId="4">
        <row r="1">
          <cell r="H1">
            <v>36138.020999999993</v>
          </cell>
        </row>
      </sheetData>
      <sheetData sheetId="5">
        <row r="33">
          <cell r="C33">
            <v>813.31100000000004</v>
          </cell>
        </row>
        <row r="47">
          <cell r="C47">
            <v>23680.321</v>
          </cell>
        </row>
        <row r="48">
          <cell r="C48">
            <v>33608.320999999996</v>
          </cell>
          <cell r="D48">
            <v>4.0492790298714949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 refreshError="1">
        <row r="22">
          <cell r="H22">
            <v>7944.8658008658012</v>
          </cell>
        </row>
        <row r="23">
          <cell r="H23">
            <v>8685.7929472314718</v>
          </cell>
        </row>
      </sheetData>
      <sheetData sheetId="1" refreshError="1"/>
      <sheetData sheetId="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ел."/>
      <sheetName val="2012 Баланс  "/>
      <sheetName val="П1.30 - 18.04.11г."/>
      <sheetName val="П 1.3."/>
      <sheetName val="П 1.4."/>
      <sheetName val="П 1.5. "/>
      <sheetName val="П 1.6."/>
      <sheetName val="П 1.13."/>
      <sheetName val="П 1.15."/>
      <sheetName val="ОХР "/>
      <sheetName val="Прочие цеховые расходы"/>
      <sheetName val="П 1.18.2"/>
      <sheetName val="П 1.16 раб."/>
      <sheetName val="П 1.16 РСС цех."/>
      <sheetName val="ФЗП раб.10г.-11г."/>
      <sheetName val="в доле ФЗП РСС 10г.-11г."/>
      <sheetName val="ФЗП раб.9мес.10г."/>
      <sheetName val="П 1.16 АУП ОХР"/>
      <sheetName val="П 1.16 свод"/>
      <sheetName val="П 1.17"/>
      <sheetName val="П .1.17.1"/>
      <sheetName val="Амортизация 10г. - 11г."/>
      <sheetName val="Амортизация цех10г. - 11г."/>
      <sheetName val="П 1.17 цех.ЭМО"/>
      <sheetName val="П 1.17 ОХР"/>
      <sheetName val="П 1.17 свод"/>
      <sheetName val="П 1.20."/>
      <sheetName val="П 1.20.3."/>
      <sheetName val="П 1.21.3."/>
      <sheetName val="П 1.24"/>
      <sheetName val="С-Э и сет.расч.инд.межсет.2011"/>
      <sheetName val="УГРКЭ расч.по инд.межсет.тар.11"/>
      <sheetName val="П 1.25."/>
      <sheetName val="П 1.27"/>
      <sheetName val="П.2.1."/>
      <sheetName val="П.2.2."/>
      <sheetName val="Расчет"/>
      <sheetName val="Реестр вспомог.мат.2010-2011"/>
      <sheetName val="Работы и услуги 2010г."/>
      <sheetName val="РСЭО 2011г."/>
      <sheetName val="Распред.приб. на соц.разв.2011"/>
      <sheetName val="Цеховые  2008-2010 гг."/>
      <sheetName val="ОХР  (2)"/>
      <sheetName val="П 1.15. Расшифровка"/>
    </sheetNames>
    <sheetDataSet>
      <sheetData sheetId="0"/>
      <sheetData sheetId="1">
        <row r="30">
          <cell r="B30">
            <v>23680.321</v>
          </cell>
        </row>
      </sheetData>
      <sheetData sheetId="2"/>
      <sheetData sheetId="3"/>
      <sheetData sheetId="4">
        <row r="14">
          <cell r="D14">
            <v>30.807322580645163</v>
          </cell>
        </row>
        <row r="17">
          <cell r="D17">
            <v>1.1183058096774194</v>
          </cell>
          <cell r="F17">
            <v>0.99212644838709863</v>
          </cell>
          <cell r="G17">
            <v>4.6080322580645205E-2</v>
          </cell>
        </row>
        <row r="18">
          <cell r="H18">
            <v>7.0001066190093804</v>
          </cell>
        </row>
        <row r="26">
          <cell r="C26">
            <v>28.65081</v>
          </cell>
        </row>
        <row r="33">
          <cell r="P33">
            <v>15.579410000000001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"/>
    </sheetNames>
    <sheetDataSet>
      <sheetData sheetId="0">
        <row r="5">
          <cell r="B5" t="str">
            <v>Выпуск проката на сторону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г.Бал.уточ.Энерг+подсобн.хоз."/>
      <sheetName val="активы"/>
      <sheetName val="НВВ на содержание"/>
      <sheetName val="тел."/>
      <sheetName val="Прилож.1-2012г."/>
      <sheetName val="2012 Баланс  "/>
      <sheetName val="стр-ра пол.отп. 2012г.июнь"/>
      <sheetName val="П1.30 - 07.06.11г."/>
      <sheetName val="П 1.3."/>
      <sheetName val="П 1.4."/>
      <sheetName val="П 1.5. "/>
      <sheetName val="П 1.6."/>
      <sheetName val="П 1.13."/>
      <sheetName val="П 1.15."/>
      <sheetName val="ОХР "/>
      <sheetName val="Прочие цеховые расходы"/>
      <sheetName val="П 1.18.2"/>
      <sheetName val="П 1.16 раб."/>
      <sheetName val="ФОТ 2011г. (2)"/>
      <sheetName val="П 1.16 РСС цех."/>
      <sheetName val="ФЗП раб.10г.-11г."/>
      <sheetName val="в доле ФЗП РСС 10г.-11г."/>
      <sheetName val="ФЗП раб.9мес.10г."/>
      <sheetName val="П 1.16 АУП ОХР"/>
      <sheetName val="П 1.16 свод"/>
      <sheetName val="П 1.17"/>
      <sheetName val="П .1.17.1"/>
      <sheetName val="П 1.17 (2)"/>
      <sheetName val="П .1.17.1 (2)"/>
      <sheetName val="Амортизация 11г. - 12г."/>
      <sheetName val="П 1.17 свод"/>
      <sheetName val="П 1.20."/>
      <sheetName val="П 1.20.3."/>
      <sheetName val="П 1.21.3."/>
      <sheetName val="П 1.24"/>
      <sheetName val="С-Э и сет.расч.инд.межсет.2011"/>
      <sheetName val="УГРКЭ расч.по инд.межсет.тар.11"/>
      <sheetName val="П 1.25."/>
      <sheetName val="П 1.27"/>
      <sheetName val="П.2.1."/>
      <sheetName val="П.2.2."/>
      <sheetName val="П.2.1.общ."/>
      <sheetName val="П.2.2. общ"/>
      <sheetName val="активы общ."/>
      <sheetName val="Расчет"/>
      <sheetName val="Реестр вспомог.мат.2010-2011"/>
      <sheetName val="Работы и услуги 2011г."/>
      <sheetName val="РСЭО 2012г."/>
      <sheetName val="Распред.приб. на соц.разв.2011"/>
      <sheetName val="Цеховые  2008-2010 гг."/>
      <sheetName val="ОХР  (2)"/>
      <sheetName val="П 1.17 цех."/>
      <sheetName val="Амортизация цех10г. - 11г."/>
      <sheetName val="П 1.17 ОХР"/>
      <sheetName val="П 1.15. Расшифровка"/>
      <sheetName val="Реестр всп.мат.2010 пром.+ПСХ"/>
      <sheetName val="Реестр вспомог.мат.2011 ПСХ"/>
    </sheetNames>
    <sheetDataSet>
      <sheetData sheetId="0"/>
      <sheetData sheetId="1"/>
      <sheetData sheetId="2"/>
      <sheetData sheetId="3"/>
      <sheetData sheetId="4"/>
      <sheetData sheetId="5">
        <row r="17">
          <cell r="B17">
            <v>9842.4599999999991</v>
          </cell>
        </row>
        <row r="30">
          <cell r="B30">
            <v>22141.869000000002</v>
          </cell>
          <cell r="C30">
            <v>21250.311000000002</v>
          </cell>
          <cell r="E30">
            <v>360</v>
          </cell>
          <cell r="F30">
            <v>531.55799999999999</v>
          </cell>
        </row>
      </sheetData>
      <sheetData sheetId="6">
        <row r="14">
          <cell r="B14">
            <v>9632.73</v>
          </cell>
          <cell r="C14">
            <v>4940.6400000000003</v>
          </cell>
          <cell r="E14">
            <v>4637.9399999999996</v>
          </cell>
          <cell r="F14">
            <v>54.15</v>
          </cell>
        </row>
        <row r="17">
          <cell r="B17">
            <v>209.73000000000002</v>
          </cell>
          <cell r="E17">
            <v>21.36</v>
          </cell>
          <cell r="F17">
            <v>188.37</v>
          </cell>
        </row>
      </sheetData>
      <sheetData sheetId="7"/>
      <sheetData sheetId="8"/>
      <sheetData sheetId="9">
        <row r="14">
          <cell r="I14">
            <v>33.929534000000004</v>
          </cell>
        </row>
        <row r="15">
          <cell r="J15">
            <v>0.46221499999999999</v>
          </cell>
        </row>
        <row r="17">
          <cell r="I17">
            <v>1.252</v>
          </cell>
          <cell r="K17">
            <v>1.0971560000000002</v>
          </cell>
          <cell r="L17">
            <v>5.8264000000000003E-2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ел."/>
      <sheetName val="Выпад.дох.за 2013г.в тар.2015"/>
      <sheetName val="Активы факт2011-2013гг"/>
      <sheetName val="Активы"/>
      <sheetName val="Расчет НВВ 2015-2019гг."/>
      <sheetName val="П 1.3."/>
      <sheetName val="П 1.4."/>
      <sheetName val="П 1.5. "/>
      <sheetName val="П 1.6."/>
      <sheetName val="П 1.13"/>
      <sheetName val="+++++ д.б. П 1.13 (2)"/>
      <sheetName val="1тсо кроме мрск"/>
      <sheetName val="2тсо кроме мрск"/>
      <sheetName val="2015 тсо кроме мрск"/>
      <sheetName val="2015 тсо НК Энергосб"/>
      <sheetName val="П1.30 -2015г., 1 и 2 п-е"/>
      <sheetName val="ОХР "/>
      <sheetName val="РСЭО факт за 2012г."/>
      <sheetName val="Услуги стор.орг..-2013г. "/>
      <sheetName val="Услуги стор.орг..-2014г."/>
      <sheetName val="++ Реестр всп.мат.2014 с ЛОЦ"/>
      <sheetName val="Реестр всп.мат.2013пром."/>
      <sheetName val="Реестр всп.мат.2012пром."/>
      <sheetName val="П 1.15."/>
      <sheetName val="П 1.18.2"/>
      <sheetName val="П 1.16 раб."/>
      <sheetName val="ФОТ 2014г. 2426+2496"/>
      <sheetName val="ФОТ 2014г. цех 2426"/>
      <sheetName val="ФОТ 2011г. цех 2496ПСХ"/>
      <sheetName val="ФЗП  эл.эн.2014г. 2426"/>
      <sheetName val="ФЗП  эл.эн.2014г. 2452"/>
      <sheetName val="ФОТ 2014г. свод 2452"/>
      <sheetName val=" +++ ФОТ 2014г. всего"/>
      <sheetName val="П 1.16 цех. (РСС+всп.раб.)"/>
      <sheetName val="П 1.16 АУП ОХР"/>
      <sheetName val="П 1.16 свод"/>
      <sheetName val="П 1.17"/>
      <sheetName val="П .1.17.1"/>
      <sheetName val="П 1.17ОХР "/>
      <sheetName val="П 1.17 свод"/>
      <sheetName val="П 1.17 (2)"/>
      <sheetName val="П .1.17.1 (2)"/>
      <sheetName val="Амортизация 13г. - 14г."/>
      <sheetName val="Амортизация 11г. - 12г. (2)"/>
      <sheetName val="П 1.20."/>
      <sheetName val="П 1.20.3."/>
      <sheetName val="П 1.21.3."/>
      <sheetName val="П 1.24"/>
      <sheetName val="П 1.25."/>
      <sheetName val="П 1.27"/>
      <sheetName val="П.2.1.пром.+ПСХ"/>
      <sheetName val="П.2.2.пром.+ПСХ"/>
      <sheetName val="активы ЛОЦ"/>
      <sheetName val="П.2.1.ЛОЦ"/>
      <sheetName val="П.2.2.ЛОЦ"/>
      <sheetName val="П.2.1."/>
      <sheetName val="П.2.2."/>
      <sheetName val="П.2.1.общ."/>
      <sheetName val="П.2.2. общ"/>
      <sheetName val="активы общ."/>
      <sheetName val="Расчет"/>
      <sheetName val="Выпад.2014г."/>
      <sheetName val="НВВ на содержание 2012г."/>
      <sheetName val="Реестр всп.мат.2010 пром.+ПСХ"/>
      <sheetName val="Реестр вспомог.мат.2011 ПСХ"/>
      <sheetName val="Работы и услуги 2011г."/>
      <sheetName val="РСЭО 2012г."/>
      <sheetName val="Распред.приб. на соц.разв.2011"/>
      <sheetName val="П 1.17 цех."/>
      <sheetName val="Амортизация цех10г. - 11г."/>
      <sheetName val="П 1.17 ОХР"/>
      <sheetName val="1 И 2 ПОЛУГОДИЕ 2012"/>
      <sheetName val="2012"/>
      <sheetName val="1п-е 2012"/>
      <sheetName val="2п-е 2012"/>
      <sheetName val="2012 год"/>
      <sheetName val="НВВ на содержание"/>
      <sheetName val="послед2012г.об.по стр-ре СЭ (2)"/>
      <sheetName val="12г.Бал.уточ.Энерг+подсобн.хоз."/>
      <sheetName val="Прилож.1-2012г."/>
      <sheetName val="2012 Баланс  "/>
      <sheetName val="стр-ра пол.отп. 2012г.июнь"/>
      <sheetName val="П1.30 - 07.06.11г."/>
      <sheetName val="П 1.15. Расшифровка"/>
      <sheetName val="С-Э и сет.расч.инд.межсет.2011"/>
      <sheetName val="изм.приказ 27 от 28.04.2011"/>
      <sheetName val="2012г.об.по стр-ре СЭ"/>
      <sheetName val="2012г.об.под факт2010"/>
      <sheetName val="пл.об расч.по инд.межсет.та (2)"/>
      <sheetName val="пл.об расч.по инд.межсет.тар.11"/>
      <sheetName val="УГРКЭ об.конрасч.по инд.межсет."/>
      <sheetName val="Прилож.2 структура 2011г.-2012г"/>
      <sheetName val="орг. Корр-ка НВВ 2014г."/>
      <sheetName val="П.2.1.ПСХ"/>
      <sheetName val="П.2.2.ПСХ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>
        <row r="7">
          <cell r="L7">
            <v>815.29700000000003</v>
          </cell>
        </row>
      </sheetData>
      <sheetData sheetId="51"/>
      <sheetData sheetId="52"/>
      <sheetData sheetId="53">
        <row r="7">
          <cell r="L7">
            <v>17.97</v>
          </cell>
        </row>
      </sheetData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"/>
    </sheetNames>
    <sheetDataSet>
      <sheetData sheetId="0" refreshError="1">
        <row r="5">
          <cell r="B5" t="str">
            <v>Выпуск проката на сторону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Обновление"/>
      <sheetName val="Лог обновления"/>
      <sheetName val="Титульный"/>
      <sheetName val="tech"/>
      <sheetName val="TEHSHEET"/>
      <sheetName val="НВВ Затраты+"/>
      <sheetName val="modNVVZPlus"/>
      <sheetName val="Расчёт расходов долгосрочный"/>
      <sheetName val="modLongterm"/>
      <sheetName val="Расчёт расходов RAB"/>
      <sheetName val="modRAB"/>
      <sheetName val="Расчёт НВВ по RAB"/>
      <sheetName val="modNVVRAB"/>
      <sheetName val="Расшифровка расходов"/>
      <sheetName val="Свод"/>
      <sheetName val="П1.16"/>
      <sheetName val="П1.17"/>
      <sheetName val="П1.17.1"/>
      <sheetName val="Р.2.1"/>
      <sheetName val="Р.2.2"/>
      <sheetName val="НВВ по уровням"/>
      <sheetName val="Проверка"/>
      <sheetName val="modUpdateStatus"/>
      <sheetName val="modUpdTemplMain"/>
      <sheetName val="modProv"/>
      <sheetName val="REESTR_ORG"/>
      <sheetName val="REESTR"/>
      <sheetName val="modSheetTitle"/>
      <sheetName val="modfrmMethod"/>
      <sheetName val="modApplyMethods"/>
      <sheetName val="modSheetCostsDetails"/>
    </sheetNames>
    <sheetDataSet>
      <sheetData sheetId="0">
        <row r="2">
          <cell r="N2" t="str">
            <v>Версия 4.0</v>
          </cell>
        </row>
      </sheetData>
      <sheetData sheetId="1"/>
      <sheetData sheetId="2"/>
      <sheetData sheetId="3">
        <row r="5">
          <cell r="M5">
            <v>2011</v>
          </cell>
        </row>
        <row r="6">
          <cell r="F6" t="str">
            <v>Ульяновская область</v>
          </cell>
        </row>
        <row r="7">
          <cell r="M7">
            <v>2012</v>
          </cell>
        </row>
        <row r="10">
          <cell r="F10" t="str">
            <v>ОАО "Ульяновский комбинат строительных материалов"</v>
          </cell>
        </row>
        <row r="20">
          <cell r="F20" t="str">
            <v>Не регулируется</v>
          </cell>
        </row>
        <row r="21">
          <cell r="F21" t="str">
            <v>Затраты+</v>
          </cell>
        </row>
        <row r="22">
          <cell r="F22" t="str">
            <v>Затраты+</v>
          </cell>
        </row>
        <row r="23">
          <cell r="F23" t="str">
            <v>Долгосрочный</v>
          </cell>
        </row>
        <row r="24">
          <cell r="F24" t="str">
            <v>Долгосрочный</v>
          </cell>
        </row>
        <row r="25">
          <cell r="F25" t="str">
            <v>Долгосрочный</v>
          </cell>
        </row>
        <row r="26">
          <cell r="F26" t="str">
            <v>Не регулируется</v>
          </cell>
        </row>
        <row r="27">
          <cell r="F27" t="str">
            <v>Не регулируется</v>
          </cell>
        </row>
        <row r="28">
          <cell r="F28" t="str">
            <v>Не регулируется</v>
          </cell>
        </row>
        <row r="29">
          <cell r="F29" t="str">
            <v>Не регулируется</v>
          </cell>
        </row>
        <row r="30">
          <cell r="F30" t="str">
            <v>Не регулируется</v>
          </cell>
        </row>
        <row r="31">
          <cell r="F31" t="str">
            <v>Не регулируется</v>
          </cell>
        </row>
        <row r="32">
          <cell r="F32" t="str">
            <v>Не регулируется</v>
          </cell>
        </row>
      </sheetData>
      <sheetData sheetId="4"/>
      <sheetData sheetId="5"/>
      <sheetData sheetId="6">
        <row r="34">
          <cell r="J34">
            <v>0</v>
          </cell>
        </row>
      </sheetData>
      <sheetData sheetId="7"/>
      <sheetData sheetId="8">
        <row r="8">
          <cell r="I8">
            <v>2012</v>
          </cell>
          <cell r="J8">
            <v>2012</v>
          </cell>
          <cell r="K8">
            <v>2013</v>
          </cell>
          <cell r="L8">
            <v>2013</v>
          </cell>
          <cell r="M8">
            <v>2014</v>
          </cell>
          <cell r="N8">
            <v>2014</v>
          </cell>
          <cell r="O8">
            <v>2015</v>
          </cell>
          <cell r="P8">
            <v>2015</v>
          </cell>
          <cell r="Q8">
            <v>2016</v>
          </cell>
          <cell r="R8">
            <v>2016</v>
          </cell>
          <cell r="S8">
            <v>2017</v>
          </cell>
          <cell r="T8">
            <v>2017</v>
          </cell>
          <cell r="U8">
            <v>2018</v>
          </cell>
          <cell r="V8">
            <v>2018</v>
          </cell>
          <cell r="W8">
            <v>2019</v>
          </cell>
          <cell r="X8">
            <v>2019</v>
          </cell>
          <cell r="Y8">
            <v>2020</v>
          </cell>
          <cell r="Z8">
            <v>2020</v>
          </cell>
          <cell r="AA8">
            <v>2021</v>
          </cell>
          <cell r="AB8">
            <v>2021</v>
          </cell>
        </row>
        <row r="22">
          <cell r="K22">
            <v>1</v>
          </cell>
          <cell r="M22">
            <v>1</v>
          </cell>
        </row>
        <row r="33">
          <cell r="G33">
            <v>0</v>
          </cell>
          <cell r="H33">
            <v>0</v>
          </cell>
          <cell r="I33">
            <v>0</v>
          </cell>
          <cell r="K33">
            <v>0</v>
          </cell>
          <cell r="M33">
            <v>0</v>
          </cell>
        </row>
        <row r="63">
          <cell r="G63">
            <v>0</v>
          </cell>
          <cell r="H63">
            <v>0</v>
          </cell>
          <cell r="I63">
            <v>0</v>
          </cell>
          <cell r="K63">
            <v>0</v>
          </cell>
          <cell r="M63">
            <v>0</v>
          </cell>
        </row>
        <row r="78">
          <cell r="G78">
            <v>0</v>
          </cell>
          <cell r="H78">
            <v>0</v>
          </cell>
          <cell r="K78">
            <v>0</v>
          </cell>
          <cell r="M78">
            <v>0</v>
          </cell>
        </row>
        <row r="94">
          <cell r="I94">
            <v>0</v>
          </cell>
          <cell r="K94">
            <v>0</v>
          </cell>
          <cell r="M94">
            <v>0</v>
          </cell>
        </row>
      </sheetData>
      <sheetData sheetId="9"/>
      <sheetData sheetId="10">
        <row r="8">
          <cell r="G8">
            <v>2009</v>
          </cell>
          <cell r="H8">
            <v>2009</v>
          </cell>
          <cell r="J8">
            <v>2010</v>
          </cell>
          <cell r="K8">
            <v>2010</v>
          </cell>
          <cell r="M8">
            <v>2011</v>
          </cell>
          <cell r="N8">
            <v>2011</v>
          </cell>
          <cell r="P8">
            <v>2012</v>
          </cell>
          <cell r="Q8">
            <v>2012</v>
          </cell>
          <cell r="S8">
            <v>2013</v>
          </cell>
          <cell r="T8">
            <v>2013</v>
          </cell>
          <cell r="V8">
            <v>2014</v>
          </cell>
          <cell r="W8">
            <v>2014</v>
          </cell>
          <cell r="Y8">
            <v>2015</v>
          </cell>
          <cell r="Z8">
            <v>2015</v>
          </cell>
          <cell r="AB8">
            <v>2016</v>
          </cell>
          <cell r="AC8">
            <v>2016</v>
          </cell>
          <cell r="AE8">
            <v>2017</v>
          </cell>
          <cell r="AF8">
            <v>2017</v>
          </cell>
          <cell r="AH8">
            <v>2018</v>
          </cell>
          <cell r="AI8">
            <v>2018</v>
          </cell>
          <cell r="AK8">
            <v>2019</v>
          </cell>
          <cell r="AL8">
            <v>2019</v>
          </cell>
          <cell r="AN8">
            <v>2020</v>
          </cell>
          <cell r="AO8">
            <v>2020</v>
          </cell>
          <cell r="AQ8">
            <v>2021</v>
          </cell>
          <cell r="AR8">
            <v>2021</v>
          </cell>
        </row>
      </sheetData>
      <sheetData sheetId="11"/>
      <sheetData sheetId="12"/>
      <sheetData sheetId="13"/>
      <sheetData sheetId="14">
        <row r="27">
          <cell r="J27">
            <v>0</v>
          </cell>
        </row>
      </sheetData>
      <sheetData sheetId="15"/>
      <sheetData sheetId="16">
        <row r="54">
          <cell r="K54">
            <v>0</v>
          </cell>
        </row>
      </sheetData>
      <sheetData sheetId="17">
        <row r="86">
          <cell r="K86">
            <v>0</v>
          </cell>
        </row>
      </sheetData>
      <sheetData sheetId="18"/>
      <sheetData sheetId="19"/>
      <sheetData sheetId="20"/>
      <sheetData sheetId="21">
        <row r="25">
          <cell r="C25">
            <v>2009</v>
          </cell>
          <cell r="F25">
            <v>0</v>
          </cell>
        </row>
        <row r="38">
          <cell r="C38">
            <v>2009</v>
          </cell>
          <cell r="F38">
            <v>0</v>
          </cell>
        </row>
        <row r="51">
          <cell r="C51">
            <v>2010</v>
          </cell>
          <cell r="F51">
            <v>0</v>
          </cell>
        </row>
        <row r="64">
          <cell r="C64">
            <v>2010</v>
          </cell>
          <cell r="F64">
            <v>0</v>
          </cell>
        </row>
        <row r="77">
          <cell r="C77">
            <v>2011</v>
          </cell>
          <cell r="F77">
            <v>0</v>
          </cell>
        </row>
        <row r="90">
          <cell r="C90">
            <v>2011</v>
          </cell>
          <cell r="F90">
            <v>0</v>
          </cell>
        </row>
        <row r="103">
          <cell r="C103">
            <v>2012</v>
          </cell>
          <cell r="F103">
            <v>0</v>
          </cell>
        </row>
        <row r="116">
          <cell r="C116">
            <v>2012</v>
          </cell>
          <cell r="F116">
            <v>0</v>
          </cell>
        </row>
        <row r="129">
          <cell r="C129">
            <v>2013</v>
          </cell>
          <cell r="F129">
            <v>0</v>
          </cell>
        </row>
        <row r="142">
          <cell r="C142">
            <v>2013</v>
          </cell>
          <cell r="F142">
            <v>0</v>
          </cell>
        </row>
        <row r="155">
          <cell r="C155">
            <v>2014</v>
          </cell>
          <cell r="F155">
            <v>0</v>
          </cell>
        </row>
        <row r="168">
          <cell r="C168">
            <v>2014</v>
          </cell>
          <cell r="F168">
            <v>0</v>
          </cell>
        </row>
        <row r="181">
          <cell r="C181">
            <v>2015</v>
          </cell>
          <cell r="F181">
            <v>0</v>
          </cell>
        </row>
        <row r="194">
          <cell r="C194">
            <v>2015</v>
          </cell>
          <cell r="F194">
            <v>0</v>
          </cell>
        </row>
        <row r="207">
          <cell r="C207">
            <v>2016</v>
          </cell>
          <cell r="F207">
            <v>0</v>
          </cell>
        </row>
        <row r="220">
          <cell r="C220">
            <v>2016</v>
          </cell>
          <cell r="F220">
            <v>0</v>
          </cell>
        </row>
        <row r="233">
          <cell r="C233">
            <v>2017</v>
          </cell>
          <cell r="F233">
            <v>0</v>
          </cell>
        </row>
        <row r="246">
          <cell r="C246">
            <v>2017</v>
          </cell>
          <cell r="F246">
            <v>0</v>
          </cell>
        </row>
        <row r="259">
          <cell r="C259">
            <v>2018</v>
          </cell>
          <cell r="F259">
            <v>0</v>
          </cell>
        </row>
        <row r="272">
          <cell r="C272">
            <v>2018</v>
          </cell>
          <cell r="F272">
            <v>0</v>
          </cell>
        </row>
        <row r="285">
          <cell r="C285">
            <v>2019</v>
          </cell>
          <cell r="F285">
            <v>0</v>
          </cell>
        </row>
        <row r="298">
          <cell r="C298">
            <v>2019</v>
          </cell>
          <cell r="F298">
            <v>0</v>
          </cell>
        </row>
        <row r="311">
          <cell r="C311">
            <v>2020</v>
          </cell>
          <cell r="F311">
            <v>0</v>
          </cell>
        </row>
        <row r="324">
          <cell r="C324">
            <v>2020</v>
          </cell>
          <cell r="F324">
            <v>0</v>
          </cell>
        </row>
        <row r="337">
          <cell r="C337">
            <v>2021</v>
          </cell>
          <cell r="F337">
            <v>0</v>
          </cell>
        </row>
        <row r="350">
          <cell r="C350">
            <v>2021</v>
          </cell>
          <cell r="F350">
            <v>0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З_св_табл"/>
      <sheetName val="шаблон1"/>
      <sheetName val="формы_шаблоны"/>
      <sheetName val="Справочники"/>
      <sheetName val="Коррекция"/>
      <sheetName val="СВОД"/>
      <sheetName val="ЭЗ-СН"/>
      <sheetName val="Предл"/>
      <sheetName val="Прил4"/>
      <sheetName val="Балансы"/>
      <sheetName val="СравнТабл"/>
      <sheetName val="СН"/>
      <sheetName val="ДинамикаЭСО"/>
      <sheetName val="Темп"/>
      <sheetName val="НСИ_РХК"/>
      <sheetName val="ТехХарактеристики"/>
      <sheetName val="сводная_таблица"/>
      <sheetName val="исходные_данные"/>
      <sheetName val="Макет_работы_котлов"/>
      <sheetName val="ДИНАМИКА"/>
      <sheetName val="НОРМАТИВЫ"/>
      <sheetName val="K3"/>
      <sheetName val="K4"/>
      <sheetName val="K5"/>
      <sheetName val="K6"/>
      <sheetName val="K7"/>
      <sheetName val="K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2">
          <cell r="D2" t="str">
            <v>ООО "Авиаспецмонтаж"</v>
          </cell>
        </row>
        <row r="3">
          <cell r="D3">
            <v>2017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ПОЛНЕНИЕ"/>
      <sheetName val="Полезный_отпуск"/>
      <sheetName val="ТОПЛИВО"/>
      <sheetName val="Амортизация"/>
      <sheetName val="Электроэнергия"/>
      <sheetName val="ВОДА"/>
      <sheetName val="ФОТ"/>
      <sheetName val="ПРОЧИЕ РСЭО"/>
      <sheetName val="ОХР"/>
      <sheetName val="Ремонт"/>
      <sheetName val="АРЕНДА"/>
      <sheetName val="ПРИБЫЛЬ"/>
      <sheetName val="У.Е."/>
      <sheetName val="3.1"/>
      <sheetName val="4.1"/>
      <sheetName val="4.2"/>
      <sheetName val="4.3"/>
      <sheetName val="4.4"/>
      <sheetName val="4.5"/>
      <sheetName val="4.6"/>
      <sheetName val="5.1"/>
      <sheetName val="5.2"/>
      <sheetName val="5.3"/>
      <sheetName val="5.4"/>
      <sheetName val="5.5"/>
      <sheetName val="5.6"/>
      <sheetName val="5.7"/>
      <sheetName val="5.9"/>
      <sheetName val="4.7"/>
      <sheetName val="4.8"/>
      <sheetName val="4.9"/>
      <sheetName val="4.10"/>
      <sheetName val="4.11"/>
      <sheetName val="4.12"/>
      <sheetName val="4.13"/>
      <sheetName val="4.14"/>
      <sheetName val="4.15"/>
      <sheetName val="6.2"/>
      <sheetName val="6.3"/>
      <sheetName val="6.4"/>
      <sheetName val="6.1"/>
      <sheetName val="2"/>
    </sheetNames>
    <sheetDataSet>
      <sheetData sheetId="0">
        <row r="2">
          <cell r="C2" t="str">
            <v>ООО "Юг сети"</v>
          </cell>
          <cell r="I2" t="str">
            <v>Д.В. Березовский</v>
          </cell>
        </row>
        <row r="3">
          <cell r="C3" t="str">
            <v>Генеральный директор</v>
          </cell>
          <cell r="I3" t="str">
            <v>тел. 8 (846) 221-60-58</v>
          </cell>
        </row>
        <row r="272">
          <cell r="C272" t="str">
            <v>Здания</v>
          </cell>
        </row>
        <row r="273">
          <cell r="C273" t="str">
            <v>Сооружения</v>
          </cell>
        </row>
        <row r="274">
          <cell r="C274" t="str">
            <v>Передаточные устройства</v>
          </cell>
        </row>
        <row r="275">
          <cell r="C275" t="str">
            <v>Силовые машины</v>
          </cell>
        </row>
        <row r="276">
          <cell r="C276" t="str">
            <v>Рабочие машины</v>
          </cell>
        </row>
        <row r="277">
          <cell r="C277" t="str">
            <v>Приборы и лаборат. оборудование</v>
          </cell>
        </row>
        <row r="278">
          <cell r="C278" t="str">
            <v>Вычислительная техника</v>
          </cell>
        </row>
        <row r="279">
          <cell r="C279" t="str">
            <v>Прочие машины</v>
          </cell>
        </row>
        <row r="280">
          <cell r="C280" t="str">
            <v>Транспортные средства</v>
          </cell>
        </row>
        <row r="281">
          <cell r="C281" t="str">
            <v>Инструмент</v>
          </cell>
        </row>
        <row r="282">
          <cell r="C282" t="str">
            <v>Производственный инвентарь</v>
          </cell>
        </row>
        <row r="283">
          <cell r="C283" t="str">
            <v>Прочие основные производственные фонды</v>
          </cell>
        </row>
      </sheetData>
      <sheetData sheetId="1"/>
      <sheetData sheetId="2">
        <row r="14">
          <cell r="B14">
            <v>32946.812002407416</v>
          </cell>
        </row>
      </sheetData>
      <sheetData sheetId="3"/>
      <sheetData sheetId="4"/>
      <sheetData sheetId="5"/>
      <sheetData sheetId="6"/>
      <sheetData sheetId="7">
        <row r="14">
          <cell r="F14">
            <v>6762</v>
          </cell>
        </row>
      </sheetData>
      <sheetData sheetId="8"/>
      <sheetData sheetId="9"/>
      <sheetData sheetId="10">
        <row r="8">
          <cell r="G8">
            <v>11006396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7">
          <cell r="E7">
            <v>70684.963816610063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вод данных"/>
      <sheetName val="Примечание"/>
      <sheetName val="1"/>
      <sheetName val="8"/>
      <sheetName val="7"/>
      <sheetName val="9"/>
      <sheetName val="10"/>
      <sheetName val="11"/>
      <sheetName val="12"/>
      <sheetName val="15"/>
      <sheetName val="15.1"/>
      <sheetName val="15.2"/>
      <sheetName val="16"/>
      <sheetName val="16.1"/>
      <sheetName val="16.2"/>
      <sheetName val="17"/>
      <sheetName val="17.1"/>
      <sheetName val="17.2"/>
      <sheetName val="19"/>
      <sheetName val="19.1"/>
      <sheetName val="19.2"/>
      <sheetName val="20"/>
      <sheetName val="20.1-4"/>
      <sheetName val="21"/>
      <sheetName val="21.1-2"/>
      <sheetName val="21.1-4"/>
      <sheetName val="22"/>
      <sheetName val="24.1"/>
      <sheetName val="28"/>
      <sheetName val="28.1"/>
      <sheetName val="28.2"/>
      <sheetName val="Ставка за теплоэнергию"/>
      <sheetName val="ставка платы "/>
      <sheetName val="П1.28.3"/>
      <sheetName val="Лист3"/>
      <sheetName val="3.1.-3.2"/>
      <sheetName val="3.3"/>
      <sheetName val="3.4-3.5"/>
      <sheetName val="4.0"/>
      <sheetName val="4.1"/>
      <sheetName val="4.2"/>
      <sheetName val="4.3"/>
    </sheetNames>
    <sheetDataSet>
      <sheetData sheetId="0">
        <row r="3">
          <cell r="C3" t="str">
            <v>Петров П.П.</v>
          </cell>
        </row>
        <row r="4">
          <cell r="C4" t="str">
            <v>Генеральный Директор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вод данных"/>
      <sheetName val="Полезный отпуск"/>
      <sheetName val="Баланс2014"/>
      <sheetName val="ГАЗ"/>
      <sheetName val="ВОДА"/>
      <sheetName val="Амортизация"/>
      <sheetName val="ПереводКоэффициент"/>
      <sheetName val="Электро"/>
      <sheetName val="СОЛЬ"/>
      <sheetName val="ОХР"/>
      <sheetName val="Цеховые"/>
      <sheetName val="АмортЦех"/>
      <sheetName val="Ремонты"/>
      <sheetName val="ФОТ"/>
      <sheetName val="ДРУГИЕ"/>
      <sheetName val="7"/>
      <sheetName val="9"/>
      <sheetName val="8"/>
      <sheetName val="8 нов"/>
      <sheetName val="10"/>
      <sheetName val="11"/>
      <sheetName val="12"/>
      <sheetName val="15"/>
      <sheetName val="15.1"/>
      <sheetName val="15.2"/>
      <sheetName val="16"/>
      <sheetName val="16.1"/>
      <sheetName val="16.2"/>
      <sheetName val="17"/>
      <sheetName val="17.1"/>
      <sheetName val="17.2"/>
      <sheetName val="П 1.19"/>
      <sheetName val="П1.19.1"/>
      <sheetName val="П1.19.2"/>
      <sheetName val="19"/>
      <sheetName val="19.1"/>
      <sheetName val="19.2"/>
      <sheetName val="20"/>
      <sheetName val="20.1-4"/>
      <sheetName val="21"/>
      <sheetName val="21.1-2"/>
      <sheetName val="21.1-4"/>
      <sheetName val="22"/>
      <sheetName val="24.1"/>
      <sheetName val="24.1 нов."/>
      <sheetName val="28"/>
      <sheetName val="28.1"/>
      <sheetName val="28.1 нов."/>
      <sheetName val="25.1"/>
      <sheetName val="28.2"/>
      <sheetName val="Ставка за теплоэнергию"/>
      <sheetName val="ставка платы "/>
      <sheetName val="П1.28.3"/>
      <sheetName val="4.0"/>
      <sheetName val="4.1"/>
      <sheetName val="4.2"/>
      <sheetName val="4.3"/>
    </sheetNames>
    <sheetDataSet>
      <sheetData sheetId="0" refreshError="1">
        <row r="2">
          <cell r="C2" t="str">
            <v>ООО "АВИАСПЕЦМОНТАЖ"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 1.18.2 план"/>
      <sheetName val="П 1.21.3. (2)"/>
      <sheetName val="П 1.24 (2)"/>
      <sheetName val="П 1.15.план"/>
      <sheetName val="Корр-ка НВВ 2013 (2)"/>
      <sheetName val="активы222"/>
      <sheetName val="Корр-ка НВВ 2013"/>
      <sheetName val="АРЕНДА"/>
      <sheetName val="П.2.2. 2013"/>
      <sheetName val="П.2.1. 2013"/>
      <sheetName val="Б. СГЭС"/>
      <sheetName val="Б. СЭн"/>
      <sheetName val="П 1.30"/>
      <sheetName val="Б.13г."/>
      <sheetName val="стр ПО"/>
      <sheetName val="П 1.3."/>
      <sheetName val="П 1.4."/>
      <sheetName val="П 1.5. "/>
      <sheetName val="П 1.6."/>
      <sheetName val="П 1.13."/>
      <sheetName val="П 1.15."/>
      <sheetName val="П 1.18.2"/>
      <sheetName val="ФЗП"/>
      <sheetName val="П 1.21.3."/>
      <sheetName val="П1.16 "/>
      <sheetName val="П1.17 свод"/>
      <sheetName val="П 1.20."/>
      <sheetName val="П 1.20.3."/>
      <sheetName val="П 1.25."/>
      <sheetName val="П 1.24"/>
      <sheetName val="П 1.27"/>
      <sheetName val="Лист1"/>
      <sheetName val="П1.16 свод"/>
      <sheetName val="Ремонты 2012"/>
      <sheetName val="раб. и УСЛУГИ12"/>
      <sheetName val="материалы"/>
      <sheetName val="П 1.30!!!!"/>
      <sheetName val="НВВ на сод 2012"/>
      <sheetName val="активы"/>
      <sheetName val="П 1.30 моя"/>
      <sheetName val="2012 Баланс КИН"/>
      <sheetName val="2012 Баланс НЕФ"/>
      <sheetName val="Работы 2011"/>
      <sheetName val="ФОТ 2010"/>
      <sheetName val="ОХР"/>
      <sheetName val="Прибыль"/>
      <sheetName val="П 1.16 АУП"/>
      <sheetName val="П 1.16 прочие"/>
      <sheetName val="П1.16раб"/>
      <sheetName val="П1.17 прочие"/>
      <sheetName val="П .1.17.1"/>
      <sheetName val="П.2.1."/>
      <sheetName val="П.2.2."/>
      <sheetName val="расчет"/>
      <sheetName val="ремонт. раб и услуги 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>
        <row r="11">
          <cell r="N11" t="str">
            <v>Соколов А.А.</v>
          </cell>
        </row>
      </sheetData>
      <sheetData sheetId="5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9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7030A0"/>
  </sheetPr>
  <dimension ref="A1:Q38"/>
  <sheetViews>
    <sheetView zoomScale="85" zoomScaleNormal="85" workbookViewId="0">
      <selection activeCell="C21" sqref="C21"/>
    </sheetView>
  </sheetViews>
  <sheetFormatPr defaultColWidth="9.109375" defaultRowHeight="15.6"/>
  <cols>
    <col min="1" max="1" width="5.88671875" style="1907" customWidth="1"/>
    <col min="2" max="2" width="24.109375" style="1907" customWidth="1"/>
    <col min="3" max="3" width="19.88671875" style="1907" customWidth="1"/>
    <col min="4" max="4" width="19.5546875" style="1907" customWidth="1"/>
    <col min="5" max="5" width="18.5546875" style="1907" customWidth="1"/>
    <col min="6" max="6" width="10.88671875" style="1907" customWidth="1"/>
    <col min="7" max="7" width="16.88671875" style="1907" customWidth="1"/>
    <col min="8" max="8" width="12.109375" style="1907" customWidth="1"/>
    <col min="9" max="9" width="18.88671875" style="1907" customWidth="1"/>
    <col min="10" max="10" width="9.109375" style="1907"/>
    <col min="11" max="11" width="11.88671875" style="1907" bestFit="1" customWidth="1"/>
    <col min="12" max="12" width="12.109375" style="1907" customWidth="1"/>
    <col min="13" max="13" width="9.109375" style="1907"/>
    <col min="14" max="14" width="11.33203125" style="1907" bestFit="1" customWidth="1"/>
    <col min="15" max="15" width="9.109375" style="1907"/>
    <col min="16" max="16" width="9.5546875" style="1907" bestFit="1" customWidth="1"/>
    <col min="17" max="17" width="11.33203125" style="1907" bestFit="1" customWidth="1"/>
    <col min="18" max="16384" width="9.109375" style="1907"/>
  </cols>
  <sheetData>
    <row r="1" spans="1:14">
      <c r="A1" s="1910"/>
      <c r="B1" s="1910"/>
      <c r="C1" s="1910"/>
      <c r="D1" s="1910"/>
      <c r="E1" s="1910"/>
      <c r="F1" s="1910"/>
      <c r="G1" s="1910"/>
      <c r="H1" s="1910"/>
      <c r="I1" s="1911" t="s">
        <v>729</v>
      </c>
    </row>
    <row r="2" spans="1:14" s="2720" customFormat="1" ht="13.8">
      <c r="A2" s="1912"/>
      <c r="B2" s="1910"/>
      <c r="C2" s="1910"/>
      <c r="D2" s="1910"/>
      <c r="E2" s="1910"/>
      <c r="F2" s="1910"/>
      <c r="G2" s="1910"/>
      <c r="H2" s="1910"/>
      <c r="I2" s="1910"/>
    </row>
    <row r="3" spans="1:14" s="2720" customFormat="1">
      <c r="A3" s="3947" t="s">
        <v>2534</v>
      </c>
      <c r="B3" s="3947"/>
      <c r="C3" s="3947"/>
      <c r="D3" s="3947"/>
      <c r="E3" s="3947"/>
      <c r="F3" s="3947"/>
      <c r="G3" s="3947"/>
      <c r="H3" s="3947"/>
      <c r="I3" s="3947"/>
    </row>
    <row r="4" spans="1:14" s="2720" customFormat="1">
      <c r="A4" s="3947" t="s">
        <v>2143</v>
      </c>
      <c r="B4" s="3947"/>
      <c r="C4" s="3947"/>
      <c r="D4" s="3947"/>
      <c r="E4" s="3947"/>
      <c r="F4" s="3947"/>
      <c r="G4" s="3947"/>
      <c r="H4" s="3947"/>
      <c r="I4" s="3947"/>
    </row>
    <row r="5" spans="1:14" s="2720" customFormat="1">
      <c r="A5" s="3947" t="s">
        <v>965</v>
      </c>
      <c r="B5" s="3947"/>
      <c r="C5" s="3947"/>
      <c r="D5" s="3947"/>
      <c r="E5" s="3947"/>
      <c r="F5" s="3947"/>
      <c r="G5" s="3947"/>
      <c r="H5" s="3947"/>
      <c r="I5" s="3947"/>
    </row>
    <row r="6" spans="1:14" s="2720" customFormat="1">
      <c r="A6" s="3947" t="s">
        <v>966</v>
      </c>
      <c r="B6" s="3947"/>
      <c r="C6" s="3947"/>
      <c r="D6" s="3947"/>
      <c r="E6" s="3947"/>
      <c r="F6" s="3947"/>
      <c r="G6" s="3947"/>
      <c r="H6" s="3947"/>
      <c r="I6" s="3947"/>
    </row>
    <row r="7" spans="1:14" s="2720" customFormat="1">
      <c r="A7" s="3947" t="s">
        <v>967</v>
      </c>
      <c r="B7" s="3947"/>
      <c r="C7" s="3947"/>
      <c r="D7" s="3947"/>
      <c r="E7" s="3947"/>
      <c r="F7" s="3947"/>
      <c r="G7" s="3947"/>
      <c r="H7" s="3947"/>
      <c r="I7" s="3947"/>
    </row>
    <row r="8" spans="1:14" s="2720" customFormat="1">
      <c r="A8" s="3947" t="s">
        <v>968</v>
      </c>
      <c r="B8" s="3947"/>
      <c r="C8" s="3947"/>
      <c r="D8" s="3947"/>
      <c r="E8" s="3947"/>
      <c r="F8" s="3947"/>
      <c r="G8" s="3947"/>
      <c r="H8" s="3947"/>
      <c r="I8" s="3947"/>
    </row>
    <row r="9" spans="1:14" s="2720" customFormat="1">
      <c r="A9" s="3947" t="s">
        <v>964</v>
      </c>
      <c r="B9" s="3947"/>
      <c r="C9" s="3947"/>
      <c r="D9" s="3947"/>
      <c r="E9" s="3947"/>
      <c r="F9" s="3947"/>
      <c r="G9" s="3947"/>
      <c r="H9" s="3947"/>
      <c r="I9" s="3947"/>
    </row>
    <row r="10" spans="1:14" s="2720" customFormat="1" ht="13.8">
      <c r="A10" s="1913"/>
      <c r="B10" s="1913"/>
      <c r="C10" s="1913"/>
      <c r="D10" s="1913"/>
      <c r="E10" s="1913"/>
      <c r="F10" s="1910"/>
      <c r="G10" s="1910"/>
      <c r="H10" s="1910"/>
      <c r="I10" s="1910"/>
    </row>
    <row r="11" spans="1:14" ht="27" customHeight="1">
      <c r="A11" s="3948" t="s">
        <v>1514</v>
      </c>
      <c r="B11" s="3951" t="s">
        <v>2131</v>
      </c>
      <c r="C11" s="3952"/>
      <c r="D11" s="3952"/>
      <c r="E11" s="3952"/>
      <c r="F11" s="3952"/>
      <c r="G11" s="3953" t="s">
        <v>2132</v>
      </c>
      <c r="H11" s="3953"/>
      <c r="I11" s="3948" t="s">
        <v>2133</v>
      </c>
    </row>
    <row r="12" spans="1:14" ht="54.75" customHeight="1">
      <c r="A12" s="3949"/>
      <c r="B12" s="3954" t="s">
        <v>902</v>
      </c>
      <c r="C12" s="1914" t="s">
        <v>2134</v>
      </c>
      <c r="D12" s="1914" t="s">
        <v>2135</v>
      </c>
      <c r="E12" s="1915" t="s">
        <v>2136</v>
      </c>
      <c r="F12" s="1915" t="s">
        <v>2137</v>
      </c>
      <c r="G12" s="1915" t="s">
        <v>2138</v>
      </c>
      <c r="H12" s="1915" t="s">
        <v>2137</v>
      </c>
      <c r="I12" s="3950"/>
    </row>
    <row r="13" spans="1:14" s="1909" customFormat="1" ht="21" customHeight="1">
      <c r="A13" s="3950"/>
      <c r="B13" s="3955"/>
      <c r="C13" s="1916" t="s">
        <v>2139</v>
      </c>
      <c r="D13" s="1917" t="s">
        <v>244</v>
      </c>
      <c r="E13" s="1918" t="s">
        <v>2139</v>
      </c>
      <c r="F13" s="1919" t="s">
        <v>2140</v>
      </c>
      <c r="G13" s="1919" t="s">
        <v>529</v>
      </c>
      <c r="H13" s="1919" t="s">
        <v>2141</v>
      </c>
      <c r="I13" s="1920" t="s">
        <v>24</v>
      </c>
    </row>
    <row r="14" spans="1:14" s="1909" customFormat="1" ht="18" customHeight="1">
      <c r="A14" s="2718"/>
      <c r="B14" s="2719" t="s">
        <v>2126</v>
      </c>
      <c r="C14" s="1916"/>
      <c r="D14" s="1917"/>
      <c r="E14" s="1918"/>
      <c r="F14" s="1919"/>
      <c r="G14" s="1919"/>
      <c r="H14" s="1919"/>
      <c r="I14" s="1920"/>
    </row>
    <row r="15" spans="1:14" ht="25.5" customHeight="1">
      <c r="A15" s="1921" t="s">
        <v>200</v>
      </c>
      <c r="B15" s="1922" t="s">
        <v>2142</v>
      </c>
      <c r="C15" s="1923"/>
      <c r="D15" s="1924"/>
      <c r="E15" s="1925"/>
      <c r="F15" s="1926"/>
      <c r="G15" s="1926"/>
      <c r="H15" s="1926"/>
      <c r="I15" s="1927"/>
      <c r="L15" s="2094" t="s">
        <v>2212</v>
      </c>
      <c r="M15" s="2094" t="s">
        <v>2213</v>
      </c>
      <c r="N15" s="2094"/>
    </row>
    <row r="16" spans="1:14" s="1909" customFormat="1" ht="25.5" customHeight="1">
      <c r="A16" s="1920"/>
      <c r="B16" s="1928" t="s">
        <v>2144</v>
      </c>
      <c r="C16" s="1929">
        <v>10340.647999999999</v>
      </c>
      <c r="D16" s="1930">
        <v>4.6100000000000003</v>
      </c>
      <c r="E16" s="1931">
        <f>C16*D16%</f>
        <v>476.7038728</v>
      </c>
      <c r="F16" s="1932">
        <v>1730.59</v>
      </c>
      <c r="G16" s="2623">
        <v>3.8559999999999999</v>
      </c>
      <c r="H16" s="1934">
        <v>134589.17000000001</v>
      </c>
      <c r="I16" s="1935">
        <f>(E16*F16+G16*6*H16)/1000</f>
        <v>3938.8339923489521</v>
      </c>
      <c r="J16" s="2097">
        <f>(4+4+3.3+3+3+3)/6</f>
        <v>3.3833333333333333</v>
      </c>
      <c r="K16" s="2096" t="s">
        <v>2222</v>
      </c>
      <c r="L16" s="2067" t="s">
        <v>2210</v>
      </c>
      <c r="M16" s="2066"/>
      <c r="N16" s="2091"/>
    </row>
    <row r="17" spans="1:17" s="1909" customFormat="1" ht="25.5" customHeight="1">
      <c r="A17" s="1920"/>
      <c r="B17" s="1928" t="s">
        <v>2145</v>
      </c>
      <c r="C17" s="1929">
        <v>10257.906999999999</v>
      </c>
      <c r="D17" s="1930">
        <v>4.6100000000000003</v>
      </c>
      <c r="E17" s="1931">
        <f>C17*D17%</f>
        <v>472.88951270000001</v>
      </c>
      <c r="F17" s="1932">
        <v>1860.38</v>
      </c>
      <c r="G17" s="2623">
        <v>3.8559999999999999</v>
      </c>
      <c r="H17" s="1934">
        <v>144686.51999999999</v>
      </c>
      <c r="I17" s="1935">
        <f>(E17*F17+G17*6*H17)/1000</f>
        <v>4227.221518356826</v>
      </c>
      <c r="J17" s="1909">
        <f>(3+3+3.3+3.3+4+4)/6</f>
        <v>3.4333333333333336</v>
      </c>
      <c r="K17" s="2066">
        <v>147681.20000000001</v>
      </c>
      <c r="L17" s="2092" t="s">
        <v>2211</v>
      </c>
      <c r="M17" s="2093"/>
      <c r="N17" s="2093"/>
      <c r="O17" s="2093"/>
    </row>
    <row r="18" spans="1:17" s="1909" customFormat="1" ht="26.25" customHeight="1">
      <c r="A18" s="1920"/>
      <c r="B18" s="1928" t="s">
        <v>2498</v>
      </c>
      <c r="C18" s="1929">
        <f>SUM(C16:C17)</f>
        <v>20598.555</v>
      </c>
      <c r="D18" s="1930">
        <f>D17</f>
        <v>4.6100000000000003</v>
      </c>
      <c r="E18" s="1931">
        <f>SUM(E16:E17)</f>
        <v>949.59338550000007</v>
      </c>
      <c r="F18" s="1932"/>
      <c r="G18" s="1933">
        <f>(G16+G17)/2</f>
        <v>3.8559999999999999</v>
      </c>
      <c r="H18" s="1934"/>
      <c r="I18" s="1935">
        <f>SUM(I16:I17)</f>
        <v>8166.055510705778</v>
      </c>
      <c r="J18" s="1909">
        <f>(J16+J17)/2</f>
        <v>3.4083333333333332</v>
      </c>
      <c r="L18" s="2720">
        <v>11297.893397260224</v>
      </c>
      <c r="M18" s="1909" t="s">
        <v>1533</v>
      </c>
      <c r="N18" s="2720">
        <f>755.798741*3+607.33827*3+605.65127*3+753.69935*3</f>
        <v>8167.4628929999999</v>
      </c>
      <c r="O18" s="1909" t="s">
        <v>641</v>
      </c>
      <c r="P18" s="1909">
        <f>191.45418+189.93766+146.00148+141.26387+127.32067+140.35634+162.60057+175.7855+189.4222+229.75914+193.11001+201.00106</f>
        <v>2088.0126799999998</v>
      </c>
      <c r="Q18" s="2720">
        <f>N18+P18</f>
        <v>10255.475573</v>
      </c>
    </row>
    <row r="19" spans="1:17" s="1909" customFormat="1" ht="33.75" customHeight="1">
      <c r="A19" s="1920" t="s">
        <v>207</v>
      </c>
      <c r="B19" s="1928" t="s">
        <v>730</v>
      </c>
      <c r="C19" s="1929"/>
      <c r="D19" s="1930"/>
      <c r="E19" s="1931"/>
      <c r="F19" s="1932"/>
      <c r="G19" s="1933"/>
      <c r="H19" s="1934"/>
      <c r="I19" s="1935"/>
      <c r="J19" s="1909">
        <f>(4+4+3.3+3+3+3+3+3+3.3+3.3+4+4)/12</f>
        <v>3.4083333333333332</v>
      </c>
      <c r="N19" s="2720">
        <f>(1923.99+1908.75+1467.22+1419.61+1279.49+1410.49)</f>
        <v>9409.5499999999993</v>
      </c>
    </row>
    <row r="20" spans="1:17" s="1909" customFormat="1" ht="25.5" customHeight="1">
      <c r="A20" s="1920"/>
      <c r="B20" s="1928" t="s">
        <v>2495</v>
      </c>
      <c r="C20" s="2734">
        <v>10829.473400000001</v>
      </c>
      <c r="D20" s="1930">
        <v>3.76</v>
      </c>
      <c r="E20" s="1931">
        <f>C20*D20%</f>
        <v>407.18819983999998</v>
      </c>
      <c r="F20" s="1932">
        <v>1860.38</v>
      </c>
      <c r="G20" s="2735">
        <v>2.7921900000000002</v>
      </c>
      <c r="H20" s="1934">
        <v>144686.51999999999</v>
      </c>
      <c r="I20" s="1935">
        <f>(E20*F20+G20*6*H20)/1000</f>
        <v>3181.478308891139</v>
      </c>
      <c r="L20" s="2720">
        <f>N19+N20</f>
        <v>20983.17</v>
      </c>
      <c r="N20" s="2720">
        <f>(1634.03+1766.53+1903.57+2308.93+1940.63+2019.93)</f>
        <v>11573.619999999999</v>
      </c>
    </row>
    <row r="21" spans="1:17" s="1909" customFormat="1" ht="25.5" customHeight="1">
      <c r="A21" s="1920"/>
      <c r="B21" s="1928" t="s">
        <v>2497</v>
      </c>
      <c r="C21" s="2734">
        <v>10213.060299999999</v>
      </c>
      <c r="D21" s="1930">
        <v>3.76</v>
      </c>
      <c r="E21" s="1931">
        <f>C21*D21%</f>
        <v>384.01106727999991</v>
      </c>
      <c r="F21" s="1932">
        <v>1962.7</v>
      </c>
      <c r="G21" s="2735">
        <v>2.7673899999999998</v>
      </c>
      <c r="H21" s="2729">
        <v>155541.57999999999</v>
      </c>
      <c r="I21" s="2485">
        <f>(E21*F21+G21*6*H21)/1000</f>
        <v>3336.3638002076555</v>
      </c>
      <c r="J21" s="2486"/>
      <c r="K21" s="2491" t="s">
        <v>2485</v>
      </c>
      <c r="L21" s="2490">
        <v>1.075</v>
      </c>
      <c r="M21" s="2484" t="s">
        <v>2484</v>
      </c>
      <c r="N21" s="2484"/>
      <c r="O21" s="2484"/>
    </row>
    <row r="22" spans="1:17" s="1909" customFormat="1" ht="33.75" customHeight="1">
      <c r="A22" s="1920"/>
      <c r="B22" s="1928" t="s">
        <v>2496</v>
      </c>
      <c r="C22" s="1929">
        <f>SUM(C20:C21)</f>
        <v>21042.5337</v>
      </c>
      <c r="D22" s="1930">
        <f>(D20+D21)/2</f>
        <v>3.76</v>
      </c>
      <c r="E22" s="1931">
        <f>C22*D22/100</f>
        <v>791.19926712000006</v>
      </c>
      <c r="F22" s="1932"/>
      <c r="G22" s="1933">
        <f>(G20+G21)/2</f>
        <v>2.7797900000000002</v>
      </c>
      <c r="H22" s="1934"/>
      <c r="I22" s="2485">
        <f>SUM(I20:I21)</f>
        <v>6517.842109098794</v>
      </c>
      <c r="J22" s="2487"/>
      <c r="K22" s="2488" t="s">
        <v>2195</v>
      </c>
      <c r="L22" s="2489">
        <f>H21/H20</f>
        <v>1.0750246809447073</v>
      </c>
      <c r="M22" s="2484">
        <v>9322.2000000000007</v>
      </c>
      <c r="N22" s="2484">
        <f>(E21*2030.3+G21*163310.63*6)/1000+I20</f>
        <v>6672.8012049239233</v>
      </c>
      <c r="P22" s="2720">
        <f>P18+N18</f>
        <v>10255.475573</v>
      </c>
    </row>
    <row r="23" spans="1:17" ht="12.75" customHeight="1">
      <c r="A23" s="1908"/>
      <c r="N23" s="2484">
        <f>M22-I22</f>
        <v>2804.3578909012067</v>
      </c>
    </row>
    <row r="24" spans="1:17">
      <c r="J24" s="2728" t="s">
        <v>2537</v>
      </c>
      <c r="K24" s="2728"/>
      <c r="L24" s="2728"/>
    </row>
    <row r="25" spans="1:17">
      <c r="A25" s="839" t="s">
        <v>1266</v>
      </c>
      <c r="B25" s="774"/>
      <c r="C25" s="834"/>
      <c r="D25" s="840"/>
      <c r="E25" s="840"/>
      <c r="F25" s="840"/>
      <c r="G25" s="840"/>
      <c r="H25" s="1906"/>
      <c r="I25" s="778"/>
      <c r="L25" s="2064" t="s">
        <v>2194</v>
      </c>
      <c r="M25" s="2065"/>
      <c r="N25" s="2065"/>
    </row>
    <row r="26" spans="1:17">
      <c r="A26" s="839" t="s">
        <v>1304</v>
      </c>
      <c r="B26" s="778"/>
      <c r="C26" s="834"/>
      <c r="D26" s="840"/>
      <c r="E26" s="836"/>
      <c r="F26" s="836"/>
      <c r="G26" s="840"/>
      <c r="H26" s="780" t="str">
        <f>'Расчет НВВ 2022г.'!K89</f>
        <v>Е.Б. Лукин</v>
      </c>
      <c r="I26" s="778"/>
      <c r="L26" s="2064">
        <v>10652.16</v>
      </c>
      <c r="M26" s="2065"/>
      <c r="N26" s="2065"/>
    </row>
    <row r="27" spans="1:17">
      <c r="L27" s="2063"/>
      <c r="M27" s="2063"/>
      <c r="N27" s="2063"/>
    </row>
    <row r="29" spans="1:17">
      <c r="C29" s="1907">
        <f>'П1.30 -2022г., 1 и 2 п-е'!C14</f>
        <v>12315.699274300001</v>
      </c>
      <c r="D29" s="2483">
        <f>'П1.30 -2022г., 1 и 2 п-е'!D14</f>
        <v>3.1634374467741706</v>
      </c>
      <c r="L29" s="2225" t="s">
        <v>2345</v>
      </c>
      <c r="M29" s="2225"/>
      <c r="N29" s="2226" t="s">
        <v>1533</v>
      </c>
      <c r="O29" s="2225"/>
      <c r="P29" s="2225"/>
      <c r="Q29" s="2225"/>
    </row>
    <row r="30" spans="1:17">
      <c r="C30" s="1907">
        <f>'П1.30 -2022г., 1 и 2 п-е'!E14</f>
        <v>12477.0351171</v>
      </c>
      <c r="D30" s="2483">
        <f>'П1.30 -2022г., 1 и 2 п-е'!F14</f>
        <v>3.1634320147309714</v>
      </c>
      <c r="L30" s="2225"/>
      <c r="M30" s="2225"/>
      <c r="N30" s="2225">
        <f>2375.90731*6+2599.77984*6</f>
        <v>29854.122900000002</v>
      </c>
      <c r="O30" s="2225"/>
      <c r="P30" s="2225"/>
      <c r="Q30" s="2225"/>
    </row>
    <row r="31" spans="1:17">
      <c r="C31" s="1907">
        <f>'П1.30 -2022г., 1 и 2 п-е'!G14</f>
        <v>24792.734391399998</v>
      </c>
      <c r="D31" s="2483">
        <f>'П1.30 -2022г., 1 и 2 п-е'!H14</f>
        <v>3.1634009628142001</v>
      </c>
      <c r="L31" s="2225"/>
      <c r="M31" s="2225"/>
      <c r="N31" s="2225" t="s">
        <v>641</v>
      </c>
      <c r="O31" s="2225"/>
      <c r="P31" s="2225"/>
      <c r="Q31" s="2225"/>
    </row>
    <row r="32" spans="1:17">
      <c r="L32" s="2225"/>
      <c r="M32" s="2225"/>
      <c r="N32" s="2225">
        <f>C18*D18/100*F16/1000</f>
        <v>1643.3568170124454</v>
      </c>
      <c r="O32" s="2225"/>
      <c r="P32" s="2225"/>
      <c r="Q32" s="2225"/>
    </row>
    <row r="33" spans="12:17">
      <c r="L33" s="2225"/>
      <c r="M33" s="2225"/>
      <c r="N33" s="2225" t="s">
        <v>871</v>
      </c>
      <c r="O33" s="2225"/>
      <c r="P33" s="2225"/>
      <c r="Q33" s="2225"/>
    </row>
    <row r="34" spans="12:17">
      <c r="L34" s="2225"/>
      <c r="M34" s="2225"/>
      <c r="N34" s="2225">
        <f>N30+N32</f>
        <v>31497.479717012448</v>
      </c>
      <c r="O34" s="2225"/>
      <c r="P34" s="2225"/>
      <c r="Q34" s="2225"/>
    </row>
    <row r="35" spans="12:17">
      <c r="L35" s="2225" t="s">
        <v>2347</v>
      </c>
      <c r="M35" s="2225"/>
      <c r="N35" s="2225"/>
      <c r="O35" s="2225"/>
      <c r="P35" s="2225"/>
      <c r="Q35" s="2225"/>
    </row>
    <row r="36" spans="12:17">
      <c r="L36" s="2225"/>
      <c r="M36" s="2225"/>
      <c r="N36" s="2225">
        <f>11916.4+11621.3</f>
        <v>23537.699999999997</v>
      </c>
      <c r="O36" s="2225"/>
      <c r="P36" s="2225"/>
      <c r="Q36" s="2225"/>
    </row>
    <row r="37" spans="12:17">
      <c r="L37" s="2225"/>
      <c r="M37" s="2225"/>
      <c r="N37" s="2225"/>
      <c r="O37" s="2225"/>
      <c r="P37" s="2225"/>
      <c r="Q37" s="2225"/>
    </row>
    <row r="38" spans="12:17">
      <c r="L38" s="2225" t="s">
        <v>2346</v>
      </c>
      <c r="M38" s="2225"/>
      <c r="N38" s="2225">
        <f>N36-N34</f>
        <v>-7959.7797170124504</v>
      </c>
      <c r="O38" s="2225"/>
      <c r="P38" s="2225"/>
      <c r="Q38" s="2225"/>
    </row>
  </sheetData>
  <mergeCells count="12">
    <mergeCell ref="A9:I9"/>
    <mergeCell ref="A11:A13"/>
    <mergeCell ref="B11:F11"/>
    <mergeCell ref="G11:H11"/>
    <mergeCell ref="I11:I12"/>
    <mergeCell ref="B12:B13"/>
    <mergeCell ref="A8:I8"/>
    <mergeCell ref="A3:I3"/>
    <mergeCell ref="A4:I4"/>
    <mergeCell ref="A5:I5"/>
    <mergeCell ref="A6:I6"/>
    <mergeCell ref="A7:I7"/>
  </mergeCells>
  <pageMargins left="0.98425196850393704" right="0" top="0.98425196850393704" bottom="0.98425196850393704" header="0.51181102362204722" footer="0.51181102362204722"/>
  <pageSetup paperSize="9" scale="8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tabColor theme="9" tint="0.39997558519241921"/>
  </sheetPr>
  <dimension ref="A1:IV289"/>
  <sheetViews>
    <sheetView workbookViewId="0">
      <selection activeCell="B32" sqref="A1:XFD1048576"/>
    </sheetView>
  </sheetViews>
  <sheetFormatPr defaultRowHeight="13.2"/>
  <cols>
    <col min="1" max="1" width="7.88671875" style="2589" customWidth="1"/>
    <col min="2" max="2" width="36.44140625" style="2589" customWidth="1"/>
    <col min="3" max="3" width="9.88671875" style="2589" customWidth="1"/>
    <col min="4" max="4" width="10.33203125" style="2601" customWidth="1"/>
    <col min="5" max="5" width="10" style="2589" customWidth="1"/>
    <col min="6" max="6" width="9.88671875" style="2601" customWidth="1"/>
    <col min="7" max="7" width="9.5546875" style="2589" customWidth="1"/>
    <col min="8" max="8" width="10" style="2601" customWidth="1"/>
    <col min="9" max="9" width="9.33203125" style="2583" hidden="1" customWidth="1"/>
    <col min="10" max="10" width="9.6640625" style="2583" hidden="1" customWidth="1"/>
    <col min="11" max="11" width="11.5546875" style="2589" customWidth="1"/>
    <col min="12" max="12" width="13.6640625" style="2619" customWidth="1"/>
    <col min="13" max="13" width="9.88671875" style="2589" customWidth="1"/>
    <col min="14" max="14" width="11.109375" style="2589" customWidth="1"/>
    <col min="15" max="15" width="9.109375" style="2589" customWidth="1"/>
    <col min="16" max="16" width="10.5546875" style="2589" customWidth="1"/>
    <col min="17" max="18" width="9.109375" style="2589" customWidth="1"/>
    <col min="19" max="19" width="11.33203125" style="2589" customWidth="1"/>
    <col min="20" max="20" width="9.109375" style="2589" customWidth="1"/>
    <col min="21" max="22" width="10.33203125" style="2589" customWidth="1"/>
    <col min="23" max="23" width="10.109375" style="2589" customWidth="1"/>
    <col min="24" max="46" width="9.109375" style="2589" customWidth="1"/>
    <col min="47" max="256" width="9.109375" style="2589"/>
    <col min="257" max="257" width="7.88671875" style="2589" customWidth="1"/>
    <col min="258" max="258" width="36.44140625" style="2589" customWidth="1"/>
    <col min="259" max="259" width="9.88671875" style="2589" customWidth="1"/>
    <col min="260" max="260" width="10.33203125" style="2589" customWidth="1"/>
    <col min="261" max="261" width="10" style="2589" customWidth="1"/>
    <col min="262" max="262" width="9.88671875" style="2589" customWidth="1"/>
    <col min="263" max="263" width="9.5546875" style="2589" customWidth="1"/>
    <col min="264" max="264" width="10" style="2589" customWidth="1"/>
    <col min="265" max="265" width="9.33203125" style="2589" customWidth="1"/>
    <col min="266" max="266" width="9.6640625" style="2589" customWidth="1"/>
    <col min="267" max="267" width="11.5546875" style="2589" customWidth="1"/>
    <col min="268" max="268" width="13.6640625" style="2589" customWidth="1"/>
    <col min="269" max="269" width="9.88671875" style="2589" customWidth="1"/>
    <col min="270" max="270" width="11.109375" style="2589" customWidth="1"/>
    <col min="271" max="271" width="9.109375" style="2589" customWidth="1"/>
    <col min="272" max="272" width="10.5546875" style="2589" customWidth="1"/>
    <col min="273" max="274" width="9.109375" style="2589" customWidth="1"/>
    <col min="275" max="275" width="11.33203125" style="2589" customWidth="1"/>
    <col min="276" max="276" width="9.109375" style="2589" customWidth="1"/>
    <col min="277" max="278" width="10.33203125" style="2589" customWidth="1"/>
    <col min="279" max="279" width="10.109375" style="2589" customWidth="1"/>
    <col min="280" max="302" width="9.109375" style="2589" customWidth="1"/>
    <col min="303" max="512" width="9.109375" style="2589"/>
    <col min="513" max="513" width="7.88671875" style="2589" customWidth="1"/>
    <col min="514" max="514" width="36.44140625" style="2589" customWidth="1"/>
    <col min="515" max="515" width="9.88671875" style="2589" customWidth="1"/>
    <col min="516" max="516" width="10.33203125" style="2589" customWidth="1"/>
    <col min="517" max="517" width="10" style="2589" customWidth="1"/>
    <col min="518" max="518" width="9.88671875" style="2589" customWidth="1"/>
    <col min="519" max="519" width="9.5546875" style="2589" customWidth="1"/>
    <col min="520" max="520" width="10" style="2589" customWidth="1"/>
    <col min="521" max="521" width="9.33203125" style="2589" customWidth="1"/>
    <col min="522" max="522" width="9.6640625" style="2589" customWidth="1"/>
    <col min="523" max="523" width="11.5546875" style="2589" customWidth="1"/>
    <col min="524" max="524" width="13.6640625" style="2589" customWidth="1"/>
    <col min="525" max="525" width="9.88671875" style="2589" customWidth="1"/>
    <col min="526" max="526" width="11.109375" style="2589" customWidth="1"/>
    <col min="527" max="527" width="9.109375" style="2589" customWidth="1"/>
    <col min="528" max="528" width="10.5546875" style="2589" customWidth="1"/>
    <col min="529" max="530" width="9.109375" style="2589" customWidth="1"/>
    <col min="531" max="531" width="11.33203125" style="2589" customWidth="1"/>
    <col min="532" max="532" width="9.109375" style="2589" customWidth="1"/>
    <col min="533" max="534" width="10.33203125" style="2589" customWidth="1"/>
    <col min="535" max="535" width="10.109375" style="2589" customWidth="1"/>
    <col min="536" max="558" width="9.109375" style="2589" customWidth="1"/>
    <col min="559" max="768" width="9.109375" style="2589"/>
    <col min="769" max="769" width="7.88671875" style="2589" customWidth="1"/>
    <col min="770" max="770" width="36.44140625" style="2589" customWidth="1"/>
    <col min="771" max="771" width="9.88671875" style="2589" customWidth="1"/>
    <col min="772" max="772" width="10.33203125" style="2589" customWidth="1"/>
    <col min="773" max="773" width="10" style="2589" customWidth="1"/>
    <col min="774" max="774" width="9.88671875" style="2589" customWidth="1"/>
    <col min="775" max="775" width="9.5546875" style="2589" customWidth="1"/>
    <col min="776" max="776" width="10" style="2589" customWidth="1"/>
    <col min="777" max="777" width="9.33203125" style="2589" customWidth="1"/>
    <col min="778" max="778" width="9.6640625" style="2589" customWidth="1"/>
    <col min="779" max="779" width="11.5546875" style="2589" customWidth="1"/>
    <col min="780" max="780" width="13.6640625" style="2589" customWidth="1"/>
    <col min="781" max="781" width="9.88671875" style="2589" customWidth="1"/>
    <col min="782" max="782" width="11.109375" style="2589" customWidth="1"/>
    <col min="783" max="783" width="9.109375" style="2589" customWidth="1"/>
    <col min="784" max="784" width="10.5546875" style="2589" customWidth="1"/>
    <col min="785" max="786" width="9.109375" style="2589" customWidth="1"/>
    <col min="787" max="787" width="11.33203125" style="2589" customWidth="1"/>
    <col min="788" max="788" width="9.109375" style="2589" customWidth="1"/>
    <col min="789" max="790" width="10.33203125" style="2589" customWidth="1"/>
    <col min="791" max="791" width="10.109375" style="2589" customWidth="1"/>
    <col min="792" max="814" width="9.109375" style="2589" customWidth="1"/>
    <col min="815" max="1024" width="9.109375" style="2589"/>
    <col min="1025" max="1025" width="7.88671875" style="2589" customWidth="1"/>
    <col min="1026" max="1026" width="36.44140625" style="2589" customWidth="1"/>
    <col min="1027" max="1027" width="9.88671875" style="2589" customWidth="1"/>
    <col min="1028" max="1028" width="10.33203125" style="2589" customWidth="1"/>
    <col min="1029" max="1029" width="10" style="2589" customWidth="1"/>
    <col min="1030" max="1030" width="9.88671875" style="2589" customWidth="1"/>
    <col min="1031" max="1031" width="9.5546875" style="2589" customWidth="1"/>
    <col min="1032" max="1032" width="10" style="2589" customWidth="1"/>
    <col min="1033" max="1033" width="9.33203125" style="2589" customWidth="1"/>
    <col min="1034" max="1034" width="9.6640625" style="2589" customWidth="1"/>
    <col min="1035" max="1035" width="11.5546875" style="2589" customWidth="1"/>
    <col min="1036" max="1036" width="13.6640625" style="2589" customWidth="1"/>
    <col min="1037" max="1037" width="9.88671875" style="2589" customWidth="1"/>
    <col min="1038" max="1038" width="11.109375" style="2589" customWidth="1"/>
    <col min="1039" max="1039" width="9.109375" style="2589" customWidth="1"/>
    <col min="1040" max="1040" width="10.5546875" style="2589" customWidth="1"/>
    <col min="1041" max="1042" width="9.109375" style="2589" customWidth="1"/>
    <col min="1043" max="1043" width="11.33203125" style="2589" customWidth="1"/>
    <col min="1044" max="1044" width="9.109375" style="2589" customWidth="1"/>
    <col min="1045" max="1046" width="10.33203125" style="2589" customWidth="1"/>
    <col min="1047" max="1047" width="10.109375" style="2589" customWidth="1"/>
    <col min="1048" max="1070" width="9.109375" style="2589" customWidth="1"/>
    <col min="1071" max="1280" width="9.109375" style="2589"/>
    <col min="1281" max="1281" width="7.88671875" style="2589" customWidth="1"/>
    <col min="1282" max="1282" width="36.44140625" style="2589" customWidth="1"/>
    <col min="1283" max="1283" width="9.88671875" style="2589" customWidth="1"/>
    <col min="1284" max="1284" width="10.33203125" style="2589" customWidth="1"/>
    <col min="1285" max="1285" width="10" style="2589" customWidth="1"/>
    <col min="1286" max="1286" width="9.88671875" style="2589" customWidth="1"/>
    <col min="1287" max="1287" width="9.5546875" style="2589" customWidth="1"/>
    <col min="1288" max="1288" width="10" style="2589" customWidth="1"/>
    <col min="1289" max="1289" width="9.33203125" style="2589" customWidth="1"/>
    <col min="1290" max="1290" width="9.6640625" style="2589" customWidth="1"/>
    <col min="1291" max="1291" width="11.5546875" style="2589" customWidth="1"/>
    <col min="1292" max="1292" width="13.6640625" style="2589" customWidth="1"/>
    <col min="1293" max="1293" width="9.88671875" style="2589" customWidth="1"/>
    <col min="1294" max="1294" width="11.109375" style="2589" customWidth="1"/>
    <col min="1295" max="1295" width="9.109375" style="2589" customWidth="1"/>
    <col min="1296" max="1296" width="10.5546875" style="2589" customWidth="1"/>
    <col min="1297" max="1298" width="9.109375" style="2589" customWidth="1"/>
    <col min="1299" max="1299" width="11.33203125" style="2589" customWidth="1"/>
    <col min="1300" max="1300" width="9.109375" style="2589" customWidth="1"/>
    <col min="1301" max="1302" width="10.33203125" style="2589" customWidth="1"/>
    <col min="1303" max="1303" width="10.109375" style="2589" customWidth="1"/>
    <col min="1304" max="1326" width="9.109375" style="2589" customWidth="1"/>
    <col min="1327" max="1536" width="9.109375" style="2589"/>
    <col min="1537" max="1537" width="7.88671875" style="2589" customWidth="1"/>
    <col min="1538" max="1538" width="36.44140625" style="2589" customWidth="1"/>
    <col min="1539" max="1539" width="9.88671875" style="2589" customWidth="1"/>
    <col min="1540" max="1540" width="10.33203125" style="2589" customWidth="1"/>
    <col min="1541" max="1541" width="10" style="2589" customWidth="1"/>
    <col min="1542" max="1542" width="9.88671875" style="2589" customWidth="1"/>
    <col min="1543" max="1543" width="9.5546875" style="2589" customWidth="1"/>
    <col min="1544" max="1544" width="10" style="2589" customWidth="1"/>
    <col min="1545" max="1545" width="9.33203125" style="2589" customWidth="1"/>
    <col min="1546" max="1546" width="9.6640625" style="2589" customWidth="1"/>
    <col min="1547" max="1547" width="11.5546875" style="2589" customWidth="1"/>
    <col min="1548" max="1548" width="13.6640625" style="2589" customWidth="1"/>
    <col min="1549" max="1549" width="9.88671875" style="2589" customWidth="1"/>
    <col min="1550" max="1550" width="11.109375" style="2589" customWidth="1"/>
    <col min="1551" max="1551" width="9.109375" style="2589" customWidth="1"/>
    <col min="1552" max="1552" width="10.5546875" style="2589" customWidth="1"/>
    <col min="1553" max="1554" width="9.109375" style="2589" customWidth="1"/>
    <col min="1555" max="1555" width="11.33203125" style="2589" customWidth="1"/>
    <col min="1556" max="1556" width="9.109375" style="2589" customWidth="1"/>
    <col min="1557" max="1558" width="10.33203125" style="2589" customWidth="1"/>
    <col min="1559" max="1559" width="10.109375" style="2589" customWidth="1"/>
    <col min="1560" max="1582" width="9.109375" style="2589" customWidth="1"/>
    <col min="1583" max="1792" width="9.109375" style="2589"/>
    <col min="1793" max="1793" width="7.88671875" style="2589" customWidth="1"/>
    <col min="1794" max="1794" width="36.44140625" style="2589" customWidth="1"/>
    <col min="1795" max="1795" width="9.88671875" style="2589" customWidth="1"/>
    <col min="1796" max="1796" width="10.33203125" style="2589" customWidth="1"/>
    <col min="1797" max="1797" width="10" style="2589" customWidth="1"/>
    <col min="1798" max="1798" width="9.88671875" style="2589" customWidth="1"/>
    <col min="1799" max="1799" width="9.5546875" style="2589" customWidth="1"/>
    <col min="1800" max="1800" width="10" style="2589" customWidth="1"/>
    <col min="1801" max="1801" width="9.33203125" style="2589" customWidth="1"/>
    <col min="1802" max="1802" width="9.6640625" style="2589" customWidth="1"/>
    <col min="1803" max="1803" width="11.5546875" style="2589" customWidth="1"/>
    <col min="1804" max="1804" width="13.6640625" style="2589" customWidth="1"/>
    <col min="1805" max="1805" width="9.88671875" style="2589" customWidth="1"/>
    <col min="1806" max="1806" width="11.109375" style="2589" customWidth="1"/>
    <col min="1807" max="1807" width="9.109375" style="2589" customWidth="1"/>
    <col min="1808" max="1808" width="10.5546875" style="2589" customWidth="1"/>
    <col min="1809" max="1810" width="9.109375" style="2589" customWidth="1"/>
    <col min="1811" max="1811" width="11.33203125" style="2589" customWidth="1"/>
    <col min="1812" max="1812" width="9.109375" style="2589" customWidth="1"/>
    <col min="1813" max="1814" width="10.33203125" style="2589" customWidth="1"/>
    <col min="1815" max="1815" width="10.109375" style="2589" customWidth="1"/>
    <col min="1816" max="1838" width="9.109375" style="2589" customWidth="1"/>
    <col min="1839" max="2048" width="9.109375" style="2589"/>
    <col min="2049" max="2049" width="7.88671875" style="2589" customWidth="1"/>
    <col min="2050" max="2050" width="36.44140625" style="2589" customWidth="1"/>
    <col min="2051" max="2051" width="9.88671875" style="2589" customWidth="1"/>
    <col min="2052" max="2052" width="10.33203125" style="2589" customWidth="1"/>
    <col min="2053" max="2053" width="10" style="2589" customWidth="1"/>
    <col min="2054" max="2054" width="9.88671875" style="2589" customWidth="1"/>
    <col min="2055" max="2055" width="9.5546875" style="2589" customWidth="1"/>
    <col min="2056" max="2056" width="10" style="2589" customWidth="1"/>
    <col min="2057" max="2057" width="9.33203125" style="2589" customWidth="1"/>
    <col min="2058" max="2058" width="9.6640625" style="2589" customWidth="1"/>
    <col min="2059" max="2059" width="11.5546875" style="2589" customWidth="1"/>
    <col min="2060" max="2060" width="13.6640625" style="2589" customWidth="1"/>
    <col min="2061" max="2061" width="9.88671875" style="2589" customWidth="1"/>
    <col min="2062" max="2062" width="11.109375" style="2589" customWidth="1"/>
    <col min="2063" max="2063" width="9.109375" style="2589" customWidth="1"/>
    <col min="2064" max="2064" width="10.5546875" style="2589" customWidth="1"/>
    <col min="2065" max="2066" width="9.109375" style="2589" customWidth="1"/>
    <col min="2067" max="2067" width="11.33203125" style="2589" customWidth="1"/>
    <col min="2068" max="2068" width="9.109375" style="2589" customWidth="1"/>
    <col min="2069" max="2070" width="10.33203125" style="2589" customWidth="1"/>
    <col min="2071" max="2071" width="10.109375" style="2589" customWidth="1"/>
    <col min="2072" max="2094" width="9.109375" style="2589" customWidth="1"/>
    <col min="2095" max="2304" width="9.109375" style="2589"/>
    <col min="2305" max="2305" width="7.88671875" style="2589" customWidth="1"/>
    <col min="2306" max="2306" width="36.44140625" style="2589" customWidth="1"/>
    <col min="2307" max="2307" width="9.88671875" style="2589" customWidth="1"/>
    <col min="2308" max="2308" width="10.33203125" style="2589" customWidth="1"/>
    <col min="2309" max="2309" width="10" style="2589" customWidth="1"/>
    <col min="2310" max="2310" width="9.88671875" style="2589" customWidth="1"/>
    <col min="2311" max="2311" width="9.5546875" style="2589" customWidth="1"/>
    <col min="2312" max="2312" width="10" style="2589" customWidth="1"/>
    <col min="2313" max="2313" width="9.33203125" style="2589" customWidth="1"/>
    <col min="2314" max="2314" width="9.6640625" style="2589" customWidth="1"/>
    <col min="2315" max="2315" width="11.5546875" style="2589" customWidth="1"/>
    <col min="2316" max="2316" width="13.6640625" style="2589" customWidth="1"/>
    <col min="2317" max="2317" width="9.88671875" style="2589" customWidth="1"/>
    <col min="2318" max="2318" width="11.109375" style="2589" customWidth="1"/>
    <col min="2319" max="2319" width="9.109375" style="2589" customWidth="1"/>
    <col min="2320" max="2320" width="10.5546875" style="2589" customWidth="1"/>
    <col min="2321" max="2322" width="9.109375" style="2589" customWidth="1"/>
    <col min="2323" max="2323" width="11.33203125" style="2589" customWidth="1"/>
    <col min="2324" max="2324" width="9.109375" style="2589" customWidth="1"/>
    <col min="2325" max="2326" width="10.33203125" style="2589" customWidth="1"/>
    <col min="2327" max="2327" width="10.109375" style="2589" customWidth="1"/>
    <col min="2328" max="2350" width="9.109375" style="2589" customWidth="1"/>
    <col min="2351" max="2560" width="9.109375" style="2589"/>
    <col min="2561" max="2561" width="7.88671875" style="2589" customWidth="1"/>
    <col min="2562" max="2562" width="36.44140625" style="2589" customWidth="1"/>
    <col min="2563" max="2563" width="9.88671875" style="2589" customWidth="1"/>
    <col min="2564" max="2564" width="10.33203125" style="2589" customWidth="1"/>
    <col min="2565" max="2565" width="10" style="2589" customWidth="1"/>
    <col min="2566" max="2566" width="9.88671875" style="2589" customWidth="1"/>
    <col min="2567" max="2567" width="9.5546875" style="2589" customWidth="1"/>
    <col min="2568" max="2568" width="10" style="2589" customWidth="1"/>
    <col min="2569" max="2569" width="9.33203125" style="2589" customWidth="1"/>
    <col min="2570" max="2570" width="9.6640625" style="2589" customWidth="1"/>
    <col min="2571" max="2571" width="11.5546875" style="2589" customWidth="1"/>
    <col min="2572" max="2572" width="13.6640625" style="2589" customWidth="1"/>
    <col min="2573" max="2573" width="9.88671875" style="2589" customWidth="1"/>
    <col min="2574" max="2574" width="11.109375" style="2589" customWidth="1"/>
    <col min="2575" max="2575" width="9.109375" style="2589" customWidth="1"/>
    <col min="2576" max="2576" width="10.5546875" style="2589" customWidth="1"/>
    <col min="2577" max="2578" width="9.109375" style="2589" customWidth="1"/>
    <col min="2579" max="2579" width="11.33203125" style="2589" customWidth="1"/>
    <col min="2580" max="2580" width="9.109375" style="2589" customWidth="1"/>
    <col min="2581" max="2582" width="10.33203125" style="2589" customWidth="1"/>
    <col min="2583" max="2583" width="10.109375" style="2589" customWidth="1"/>
    <col min="2584" max="2606" width="9.109375" style="2589" customWidth="1"/>
    <col min="2607" max="2816" width="9.109375" style="2589"/>
    <col min="2817" max="2817" width="7.88671875" style="2589" customWidth="1"/>
    <col min="2818" max="2818" width="36.44140625" style="2589" customWidth="1"/>
    <col min="2819" max="2819" width="9.88671875" style="2589" customWidth="1"/>
    <col min="2820" max="2820" width="10.33203125" style="2589" customWidth="1"/>
    <col min="2821" max="2821" width="10" style="2589" customWidth="1"/>
    <col min="2822" max="2822" width="9.88671875" style="2589" customWidth="1"/>
    <col min="2823" max="2823" width="9.5546875" style="2589" customWidth="1"/>
    <col min="2824" max="2824" width="10" style="2589" customWidth="1"/>
    <col min="2825" max="2825" width="9.33203125" style="2589" customWidth="1"/>
    <col min="2826" max="2826" width="9.6640625" style="2589" customWidth="1"/>
    <col min="2827" max="2827" width="11.5546875" style="2589" customWidth="1"/>
    <col min="2828" max="2828" width="13.6640625" style="2589" customWidth="1"/>
    <col min="2829" max="2829" width="9.88671875" style="2589" customWidth="1"/>
    <col min="2830" max="2830" width="11.109375" style="2589" customWidth="1"/>
    <col min="2831" max="2831" width="9.109375" style="2589" customWidth="1"/>
    <col min="2832" max="2832" width="10.5546875" style="2589" customWidth="1"/>
    <col min="2833" max="2834" width="9.109375" style="2589" customWidth="1"/>
    <col min="2835" max="2835" width="11.33203125" style="2589" customWidth="1"/>
    <col min="2836" max="2836" width="9.109375" style="2589" customWidth="1"/>
    <col min="2837" max="2838" width="10.33203125" style="2589" customWidth="1"/>
    <col min="2839" max="2839" width="10.109375" style="2589" customWidth="1"/>
    <col min="2840" max="2862" width="9.109375" style="2589" customWidth="1"/>
    <col min="2863" max="3072" width="9.109375" style="2589"/>
    <col min="3073" max="3073" width="7.88671875" style="2589" customWidth="1"/>
    <col min="3074" max="3074" width="36.44140625" style="2589" customWidth="1"/>
    <col min="3075" max="3075" width="9.88671875" style="2589" customWidth="1"/>
    <col min="3076" max="3076" width="10.33203125" style="2589" customWidth="1"/>
    <col min="3077" max="3077" width="10" style="2589" customWidth="1"/>
    <col min="3078" max="3078" width="9.88671875" style="2589" customWidth="1"/>
    <col min="3079" max="3079" width="9.5546875" style="2589" customWidth="1"/>
    <col min="3080" max="3080" width="10" style="2589" customWidth="1"/>
    <col min="3081" max="3081" width="9.33203125" style="2589" customWidth="1"/>
    <col min="3082" max="3082" width="9.6640625" style="2589" customWidth="1"/>
    <col min="3083" max="3083" width="11.5546875" style="2589" customWidth="1"/>
    <col min="3084" max="3084" width="13.6640625" style="2589" customWidth="1"/>
    <col min="3085" max="3085" width="9.88671875" style="2589" customWidth="1"/>
    <col min="3086" max="3086" width="11.109375" style="2589" customWidth="1"/>
    <col min="3087" max="3087" width="9.109375" style="2589" customWidth="1"/>
    <col min="3088" max="3088" width="10.5546875" style="2589" customWidth="1"/>
    <col min="3089" max="3090" width="9.109375" style="2589" customWidth="1"/>
    <col min="3091" max="3091" width="11.33203125" style="2589" customWidth="1"/>
    <col min="3092" max="3092" width="9.109375" style="2589" customWidth="1"/>
    <col min="3093" max="3094" width="10.33203125" style="2589" customWidth="1"/>
    <col min="3095" max="3095" width="10.109375" style="2589" customWidth="1"/>
    <col min="3096" max="3118" width="9.109375" style="2589" customWidth="1"/>
    <col min="3119" max="3328" width="9.109375" style="2589"/>
    <col min="3329" max="3329" width="7.88671875" style="2589" customWidth="1"/>
    <col min="3330" max="3330" width="36.44140625" style="2589" customWidth="1"/>
    <col min="3331" max="3331" width="9.88671875" style="2589" customWidth="1"/>
    <col min="3332" max="3332" width="10.33203125" style="2589" customWidth="1"/>
    <col min="3333" max="3333" width="10" style="2589" customWidth="1"/>
    <col min="3334" max="3334" width="9.88671875" style="2589" customWidth="1"/>
    <col min="3335" max="3335" width="9.5546875" style="2589" customWidth="1"/>
    <col min="3336" max="3336" width="10" style="2589" customWidth="1"/>
    <col min="3337" max="3337" width="9.33203125" style="2589" customWidth="1"/>
    <col min="3338" max="3338" width="9.6640625" style="2589" customWidth="1"/>
    <col min="3339" max="3339" width="11.5546875" style="2589" customWidth="1"/>
    <col min="3340" max="3340" width="13.6640625" style="2589" customWidth="1"/>
    <col min="3341" max="3341" width="9.88671875" style="2589" customWidth="1"/>
    <col min="3342" max="3342" width="11.109375" style="2589" customWidth="1"/>
    <col min="3343" max="3343" width="9.109375" style="2589" customWidth="1"/>
    <col min="3344" max="3344" width="10.5546875" style="2589" customWidth="1"/>
    <col min="3345" max="3346" width="9.109375" style="2589" customWidth="1"/>
    <col min="3347" max="3347" width="11.33203125" style="2589" customWidth="1"/>
    <col min="3348" max="3348" width="9.109375" style="2589" customWidth="1"/>
    <col min="3349" max="3350" width="10.33203125" style="2589" customWidth="1"/>
    <col min="3351" max="3351" width="10.109375" style="2589" customWidth="1"/>
    <col min="3352" max="3374" width="9.109375" style="2589" customWidth="1"/>
    <col min="3375" max="3584" width="9.109375" style="2589"/>
    <col min="3585" max="3585" width="7.88671875" style="2589" customWidth="1"/>
    <col min="3586" max="3586" width="36.44140625" style="2589" customWidth="1"/>
    <col min="3587" max="3587" width="9.88671875" style="2589" customWidth="1"/>
    <col min="3588" max="3588" width="10.33203125" style="2589" customWidth="1"/>
    <col min="3589" max="3589" width="10" style="2589" customWidth="1"/>
    <col min="3590" max="3590" width="9.88671875" style="2589" customWidth="1"/>
    <col min="3591" max="3591" width="9.5546875" style="2589" customWidth="1"/>
    <col min="3592" max="3592" width="10" style="2589" customWidth="1"/>
    <col min="3593" max="3593" width="9.33203125" style="2589" customWidth="1"/>
    <col min="3594" max="3594" width="9.6640625" style="2589" customWidth="1"/>
    <col min="3595" max="3595" width="11.5546875" style="2589" customWidth="1"/>
    <col min="3596" max="3596" width="13.6640625" style="2589" customWidth="1"/>
    <col min="3597" max="3597" width="9.88671875" style="2589" customWidth="1"/>
    <col min="3598" max="3598" width="11.109375" style="2589" customWidth="1"/>
    <col min="3599" max="3599" width="9.109375" style="2589" customWidth="1"/>
    <col min="3600" max="3600" width="10.5546875" style="2589" customWidth="1"/>
    <col min="3601" max="3602" width="9.109375" style="2589" customWidth="1"/>
    <col min="3603" max="3603" width="11.33203125" style="2589" customWidth="1"/>
    <col min="3604" max="3604" width="9.109375" style="2589" customWidth="1"/>
    <col min="3605" max="3606" width="10.33203125" style="2589" customWidth="1"/>
    <col min="3607" max="3607" width="10.109375" style="2589" customWidth="1"/>
    <col min="3608" max="3630" width="9.109375" style="2589" customWidth="1"/>
    <col min="3631" max="3840" width="9.109375" style="2589"/>
    <col min="3841" max="3841" width="7.88671875" style="2589" customWidth="1"/>
    <col min="3842" max="3842" width="36.44140625" style="2589" customWidth="1"/>
    <col min="3843" max="3843" width="9.88671875" style="2589" customWidth="1"/>
    <col min="3844" max="3844" width="10.33203125" style="2589" customWidth="1"/>
    <col min="3845" max="3845" width="10" style="2589" customWidth="1"/>
    <col min="3846" max="3846" width="9.88671875" style="2589" customWidth="1"/>
    <col min="3847" max="3847" width="9.5546875" style="2589" customWidth="1"/>
    <col min="3848" max="3848" width="10" style="2589" customWidth="1"/>
    <col min="3849" max="3849" width="9.33203125" style="2589" customWidth="1"/>
    <col min="3850" max="3850" width="9.6640625" style="2589" customWidth="1"/>
    <col min="3851" max="3851" width="11.5546875" style="2589" customWidth="1"/>
    <col min="3852" max="3852" width="13.6640625" style="2589" customWidth="1"/>
    <col min="3853" max="3853" width="9.88671875" style="2589" customWidth="1"/>
    <col min="3854" max="3854" width="11.109375" style="2589" customWidth="1"/>
    <col min="3855" max="3855" width="9.109375" style="2589" customWidth="1"/>
    <col min="3856" max="3856" width="10.5546875" style="2589" customWidth="1"/>
    <col min="3857" max="3858" width="9.109375" style="2589" customWidth="1"/>
    <col min="3859" max="3859" width="11.33203125" style="2589" customWidth="1"/>
    <col min="3860" max="3860" width="9.109375" style="2589" customWidth="1"/>
    <col min="3861" max="3862" width="10.33203125" style="2589" customWidth="1"/>
    <col min="3863" max="3863" width="10.109375" style="2589" customWidth="1"/>
    <col min="3864" max="3886" width="9.109375" style="2589" customWidth="1"/>
    <col min="3887" max="4096" width="9.109375" style="2589"/>
    <col min="4097" max="4097" width="7.88671875" style="2589" customWidth="1"/>
    <col min="4098" max="4098" width="36.44140625" style="2589" customWidth="1"/>
    <col min="4099" max="4099" width="9.88671875" style="2589" customWidth="1"/>
    <col min="4100" max="4100" width="10.33203125" style="2589" customWidth="1"/>
    <col min="4101" max="4101" width="10" style="2589" customWidth="1"/>
    <col min="4102" max="4102" width="9.88671875" style="2589" customWidth="1"/>
    <col min="4103" max="4103" width="9.5546875" style="2589" customWidth="1"/>
    <col min="4104" max="4104" width="10" style="2589" customWidth="1"/>
    <col min="4105" max="4105" width="9.33203125" style="2589" customWidth="1"/>
    <col min="4106" max="4106" width="9.6640625" style="2589" customWidth="1"/>
    <col min="4107" max="4107" width="11.5546875" style="2589" customWidth="1"/>
    <col min="4108" max="4108" width="13.6640625" style="2589" customWidth="1"/>
    <col min="4109" max="4109" width="9.88671875" style="2589" customWidth="1"/>
    <col min="4110" max="4110" width="11.109375" style="2589" customWidth="1"/>
    <col min="4111" max="4111" width="9.109375" style="2589" customWidth="1"/>
    <col min="4112" max="4112" width="10.5546875" style="2589" customWidth="1"/>
    <col min="4113" max="4114" width="9.109375" style="2589" customWidth="1"/>
    <col min="4115" max="4115" width="11.33203125" style="2589" customWidth="1"/>
    <col min="4116" max="4116" width="9.109375" style="2589" customWidth="1"/>
    <col min="4117" max="4118" width="10.33203125" style="2589" customWidth="1"/>
    <col min="4119" max="4119" width="10.109375" style="2589" customWidth="1"/>
    <col min="4120" max="4142" width="9.109375" style="2589" customWidth="1"/>
    <col min="4143" max="4352" width="9.109375" style="2589"/>
    <col min="4353" max="4353" width="7.88671875" style="2589" customWidth="1"/>
    <col min="4354" max="4354" width="36.44140625" style="2589" customWidth="1"/>
    <col min="4355" max="4355" width="9.88671875" style="2589" customWidth="1"/>
    <col min="4356" max="4356" width="10.33203125" style="2589" customWidth="1"/>
    <col min="4357" max="4357" width="10" style="2589" customWidth="1"/>
    <col min="4358" max="4358" width="9.88671875" style="2589" customWidth="1"/>
    <col min="4359" max="4359" width="9.5546875" style="2589" customWidth="1"/>
    <col min="4360" max="4360" width="10" style="2589" customWidth="1"/>
    <col min="4361" max="4361" width="9.33203125" style="2589" customWidth="1"/>
    <col min="4362" max="4362" width="9.6640625" style="2589" customWidth="1"/>
    <col min="4363" max="4363" width="11.5546875" style="2589" customWidth="1"/>
    <col min="4364" max="4364" width="13.6640625" style="2589" customWidth="1"/>
    <col min="4365" max="4365" width="9.88671875" style="2589" customWidth="1"/>
    <col min="4366" max="4366" width="11.109375" style="2589" customWidth="1"/>
    <col min="4367" max="4367" width="9.109375" style="2589" customWidth="1"/>
    <col min="4368" max="4368" width="10.5546875" style="2589" customWidth="1"/>
    <col min="4369" max="4370" width="9.109375" style="2589" customWidth="1"/>
    <col min="4371" max="4371" width="11.33203125" style="2589" customWidth="1"/>
    <col min="4372" max="4372" width="9.109375" style="2589" customWidth="1"/>
    <col min="4373" max="4374" width="10.33203125" style="2589" customWidth="1"/>
    <col min="4375" max="4375" width="10.109375" style="2589" customWidth="1"/>
    <col min="4376" max="4398" width="9.109375" style="2589" customWidth="1"/>
    <col min="4399" max="4608" width="9.109375" style="2589"/>
    <col min="4609" max="4609" width="7.88671875" style="2589" customWidth="1"/>
    <col min="4610" max="4610" width="36.44140625" style="2589" customWidth="1"/>
    <col min="4611" max="4611" width="9.88671875" style="2589" customWidth="1"/>
    <col min="4612" max="4612" width="10.33203125" style="2589" customWidth="1"/>
    <col min="4613" max="4613" width="10" style="2589" customWidth="1"/>
    <col min="4614" max="4614" width="9.88671875" style="2589" customWidth="1"/>
    <col min="4615" max="4615" width="9.5546875" style="2589" customWidth="1"/>
    <col min="4616" max="4616" width="10" style="2589" customWidth="1"/>
    <col min="4617" max="4617" width="9.33203125" style="2589" customWidth="1"/>
    <col min="4618" max="4618" width="9.6640625" style="2589" customWidth="1"/>
    <col min="4619" max="4619" width="11.5546875" style="2589" customWidth="1"/>
    <col min="4620" max="4620" width="13.6640625" style="2589" customWidth="1"/>
    <col min="4621" max="4621" width="9.88671875" style="2589" customWidth="1"/>
    <col min="4622" max="4622" width="11.109375" style="2589" customWidth="1"/>
    <col min="4623" max="4623" width="9.109375" style="2589" customWidth="1"/>
    <col min="4624" max="4624" width="10.5546875" style="2589" customWidth="1"/>
    <col min="4625" max="4626" width="9.109375" style="2589" customWidth="1"/>
    <col min="4627" max="4627" width="11.33203125" style="2589" customWidth="1"/>
    <col min="4628" max="4628" width="9.109375" style="2589" customWidth="1"/>
    <col min="4629" max="4630" width="10.33203125" style="2589" customWidth="1"/>
    <col min="4631" max="4631" width="10.109375" style="2589" customWidth="1"/>
    <col min="4632" max="4654" width="9.109375" style="2589" customWidth="1"/>
    <col min="4655" max="4864" width="9.109375" style="2589"/>
    <col min="4865" max="4865" width="7.88671875" style="2589" customWidth="1"/>
    <col min="4866" max="4866" width="36.44140625" style="2589" customWidth="1"/>
    <col min="4867" max="4867" width="9.88671875" style="2589" customWidth="1"/>
    <col min="4868" max="4868" width="10.33203125" style="2589" customWidth="1"/>
    <col min="4869" max="4869" width="10" style="2589" customWidth="1"/>
    <col min="4870" max="4870" width="9.88671875" style="2589" customWidth="1"/>
    <col min="4871" max="4871" width="9.5546875" style="2589" customWidth="1"/>
    <col min="4872" max="4872" width="10" style="2589" customWidth="1"/>
    <col min="4873" max="4873" width="9.33203125" style="2589" customWidth="1"/>
    <col min="4874" max="4874" width="9.6640625" style="2589" customWidth="1"/>
    <col min="4875" max="4875" width="11.5546875" style="2589" customWidth="1"/>
    <col min="4876" max="4876" width="13.6640625" style="2589" customWidth="1"/>
    <col min="4877" max="4877" width="9.88671875" style="2589" customWidth="1"/>
    <col min="4878" max="4878" width="11.109375" style="2589" customWidth="1"/>
    <col min="4879" max="4879" width="9.109375" style="2589" customWidth="1"/>
    <col min="4880" max="4880" width="10.5546875" style="2589" customWidth="1"/>
    <col min="4881" max="4882" width="9.109375" style="2589" customWidth="1"/>
    <col min="4883" max="4883" width="11.33203125" style="2589" customWidth="1"/>
    <col min="4884" max="4884" width="9.109375" style="2589" customWidth="1"/>
    <col min="4885" max="4886" width="10.33203125" style="2589" customWidth="1"/>
    <col min="4887" max="4887" width="10.109375" style="2589" customWidth="1"/>
    <col min="4888" max="4910" width="9.109375" style="2589" customWidth="1"/>
    <col min="4911" max="5120" width="9.109375" style="2589"/>
    <col min="5121" max="5121" width="7.88671875" style="2589" customWidth="1"/>
    <col min="5122" max="5122" width="36.44140625" style="2589" customWidth="1"/>
    <col min="5123" max="5123" width="9.88671875" style="2589" customWidth="1"/>
    <col min="5124" max="5124" width="10.33203125" style="2589" customWidth="1"/>
    <col min="5125" max="5125" width="10" style="2589" customWidth="1"/>
    <col min="5126" max="5126" width="9.88671875" style="2589" customWidth="1"/>
    <col min="5127" max="5127" width="9.5546875" style="2589" customWidth="1"/>
    <col min="5128" max="5128" width="10" style="2589" customWidth="1"/>
    <col min="5129" max="5129" width="9.33203125" style="2589" customWidth="1"/>
    <col min="5130" max="5130" width="9.6640625" style="2589" customWidth="1"/>
    <col min="5131" max="5131" width="11.5546875" style="2589" customWidth="1"/>
    <col min="5132" max="5132" width="13.6640625" style="2589" customWidth="1"/>
    <col min="5133" max="5133" width="9.88671875" style="2589" customWidth="1"/>
    <col min="5134" max="5134" width="11.109375" style="2589" customWidth="1"/>
    <col min="5135" max="5135" width="9.109375" style="2589" customWidth="1"/>
    <col min="5136" max="5136" width="10.5546875" style="2589" customWidth="1"/>
    <col min="5137" max="5138" width="9.109375" style="2589" customWidth="1"/>
    <col min="5139" max="5139" width="11.33203125" style="2589" customWidth="1"/>
    <col min="5140" max="5140" width="9.109375" style="2589" customWidth="1"/>
    <col min="5141" max="5142" width="10.33203125" style="2589" customWidth="1"/>
    <col min="5143" max="5143" width="10.109375" style="2589" customWidth="1"/>
    <col min="5144" max="5166" width="9.109375" style="2589" customWidth="1"/>
    <col min="5167" max="5376" width="9.109375" style="2589"/>
    <col min="5377" max="5377" width="7.88671875" style="2589" customWidth="1"/>
    <col min="5378" max="5378" width="36.44140625" style="2589" customWidth="1"/>
    <col min="5379" max="5379" width="9.88671875" style="2589" customWidth="1"/>
    <col min="5380" max="5380" width="10.33203125" style="2589" customWidth="1"/>
    <col min="5381" max="5381" width="10" style="2589" customWidth="1"/>
    <col min="5382" max="5382" width="9.88671875" style="2589" customWidth="1"/>
    <col min="5383" max="5383" width="9.5546875" style="2589" customWidth="1"/>
    <col min="5384" max="5384" width="10" style="2589" customWidth="1"/>
    <col min="5385" max="5385" width="9.33203125" style="2589" customWidth="1"/>
    <col min="5386" max="5386" width="9.6640625" style="2589" customWidth="1"/>
    <col min="5387" max="5387" width="11.5546875" style="2589" customWidth="1"/>
    <col min="5388" max="5388" width="13.6640625" style="2589" customWidth="1"/>
    <col min="5389" max="5389" width="9.88671875" style="2589" customWidth="1"/>
    <col min="5390" max="5390" width="11.109375" style="2589" customWidth="1"/>
    <col min="5391" max="5391" width="9.109375" style="2589" customWidth="1"/>
    <col min="5392" max="5392" width="10.5546875" style="2589" customWidth="1"/>
    <col min="5393" max="5394" width="9.109375" style="2589" customWidth="1"/>
    <col min="5395" max="5395" width="11.33203125" style="2589" customWidth="1"/>
    <col min="5396" max="5396" width="9.109375" style="2589" customWidth="1"/>
    <col min="5397" max="5398" width="10.33203125" style="2589" customWidth="1"/>
    <col min="5399" max="5399" width="10.109375" style="2589" customWidth="1"/>
    <col min="5400" max="5422" width="9.109375" style="2589" customWidth="1"/>
    <col min="5423" max="5632" width="9.109375" style="2589"/>
    <col min="5633" max="5633" width="7.88671875" style="2589" customWidth="1"/>
    <col min="5634" max="5634" width="36.44140625" style="2589" customWidth="1"/>
    <col min="5635" max="5635" width="9.88671875" style="2589" customWidth="1"/>
    <col min="5636" max="5636" width="10.33203125" style="2589" customWidth="1"/>
    <col min="5637" max="5637" width="10" style="2589" customWidth="1"/>
    <col min="5638" max="5638" width="9.88671875" style="2589" customWidth="1"/>
    <col min="5639" max="5639" width="9.5546875" style="2589" customWidth="1"/>
    <col min="5640" max="5640" width="10" style="2589" customWidth="1"/>
    <col min="5641" max="5641" width="9.33203125" style="2589" customWidth="1"/>
    <col min="5642" max="5642" width="9.6640625" style="2589" customWidth="1"/>
    <col min="5643" max="5643" width="11.5546875" style="2589" customWidth="1"/>
    <col min="5644" max="5644" width="13.6640625" style="2589" customWidth="1"/>
    <col min="5645" max="5645" width="9.88671875" style="2589" customWidth="1"/>
    <col min="5646" max="5646" width="11.109375" style="2589" customWidth="1"/>
    <col min="5647" max="5647" width="9.109375" style="2589" customWidth="1"/>
    <col min="5648" max="5648" width="10.5546875" style="2589" customWidth="1"/>
    <col min="5649" max="5650" width="9.109375" style="2589" customWidth="1"/>
    <col min="5651" max="5651" width="11.33203125" style="2589" customWidth="1"/>
    <col min="5652" max="5652" width="9.109375" style="2589" customWidth="1"/>
    <col min="5653" max="5654" width="10.33203125" style="2589" customWidth="1"/>
    <col min="5655" max="5655" width="10.109375" style="2589" customWidth="1"/>
    <col min="5656" max="5678" width="9.109375" style="2589" customWidth="1"/>
    <col min="5679" max="5888" width="9.109375" style="2589"/>
    <col min="5889" max="5889" width="7.88671875" style="2589" customWidth="1"/>
    <col min="5890" max="5890" width="36.44140625" style="2589" customWidth="1"/>
    <col min="5891" max="5891" width="9.88671875" style="2589" customWidth="1"/>
    <col min="5892" max="5892" width="10.33203125" style="2589" customWidth="1"/>
    <col min="5893" max="5893" width="10" style="2589" customWidth="1"/>
    <col min="5894" max="5894" width="9.88671875" style="2589" customWidth="1"/>
    <col min="5895" max="5895" width="9.5546875" style="2589" customWidth="1"/>
    <col min="5896" max="5896" width="10" style="2589" customWidth="1"/>
    <col min="5897" max="5897" width="9.33203125" style="2589" customWidth="1"/>
    <col min="5898" max="5898" width="9.6640625" style="2589" customWidth="1"/>
    <col min="5899" max="5899" width="11.5546875" style="2589" customWidth="1"/>
    <col min="5900" max="5900" width="13.6640625" style="2589" customWidth="1"/>
    <col min="5901" max="5901" width="9.88671875" style="2589" customWidth="1"/>
    <col min="5902" max="5902" width="11.109375" style="2589" customWidth="1"/>
    <col min="5903" max="5903" width="9.109375" style="2589" customWidth="1"/>
    <col min="5904" max="5904" width="10.5546875" style="2589" customWidth="1"/>
    <col min="5905" max="5906" width="9.109375" style="2589" customWidth="1"/>
    <col min="5907" max="5907" width="11.33203125" style="2589" customWidth="1"/>
    <col min="5908" max="5908" width="9.109375" style="2589" customWidth="1"/>
    <col min="5909" max="5910" width="10.33203125" style="2589" customWidth="1"/>
    <col min="5911" max="5911" width="10.109375" style="2589" customWidth="1"/>
    <col min="5912" max="5934" width="9.109375" style="2589" customWidth="1"/>
    <col min="5935" max="6144" width="9.109375" style="2589"/>
    <col min="6145" max="6145" width="7.88671875" style="2589" customWidth="1"/>
    <col min="6146" max="6146" width="36.44140625" style="2589" customWidth="1"/>
    <col min="6147" max="6147" width="9.88671875" style="2589" customWidth="1"/>
    <col min="6148" max="6148" width="10.33203125" style="2589" customWidth="1"/>
    <col min="6149" max="6149" width="10" style="2589" customWidth="1"/>
    <col min="6150" max="6150" width="9.88671875" style="2589" customWidth="1"/>
    <col min="6151" max="6151" width="9.5546875" style="2589" customWidth="1"/>
    <col min="6152" max="6152" width="10" style="2589" customWidth="1"/>
    <col min="6153" max="6153" width="9.33203125" style="2589" customWidth="1"/>
    <col min="6154" max="6154" width="9.6640625" style="2589" customWidth="1"/>
    <col min="6155" max="6155" width="11.5546875" style="2589" customWidth="1"/>
    <col min="6156" max="6156" width="13.6640625" style="2589" customWidth="1"/>
    <col min="6157" max="6157" width="9.88671875" style="2589" customWidth="1"/>
    <col min="6158" max="6158" width="11.109375" style="2589" customWidth="1"/>
    <col min="6159" max="6159" width="9.109375" style="2589" customWidth="1"/>
    <col min="6160" max="6160" width="10.5546875" style="2589" customWidth="1"/>
    <col min="6161" max="6162" width="9.109375" style="2589" customWidth="1"/>
    <col min="6163" max="6163" width="11.33203125" style="2589" customWidth="1"/>
    <col min="6164" max="6164" width="9.109375" style="2589" customWidth="1"/>
    <col min="6165" max="6166" width="10.33203125" style="2589" customWidth="1"/>
    <col min="6167" max="6167" width="10.109375" style="2589" customWidth="1"/>
    <col min="6168" max="6190" width="9.109375" style="2589" customWidth="1"/>
    <col min="6191" max="6400" width="9.109375" style="2589"/>
    <col min="6401" max="6401" width="7.88671875" style="2589" customWidth="1"/>
    <col min="6402" max="6402" width="36.44140625" style="2589" customWidth="1"/>
    <col min="6403" max="6403" width="9.88671875" style="2589" customWidth="1"/>
    <col min="6404" max="6404" width="10.33203125" style="2589" customWidth="1"/>
    <col min="6405" max="6405" width="10" style="2589" customWidth="1"/>
    <col min="6406" max="6406" width="9.88671875" style="2589" customWidth="1"/>
    <col min="6407" max="6407" width="9.5546875" style="2589" customWidth="1"/>
    <col min="6408" max="6408" width="10" style="2589" customWidth="1"/>
    <col min="6409" max="6409" width="9.33203125" style="2589" customWidth="1"/>
    <col min="6410" max="6410" width="9.6640625" style="2589" customWidth="1"/>
    <col min="6411" max="6411" width="11.5546875" style="2589" customWidth="1"/>
    <col min="6412" max="6412" width="13.6640625" style="2589" customWidth="1"/>
    <col min="6413" max="6413" width="9.88671875" style="2589" customWidth="1"/>
    <col min="6414" max="6414" width="11.109375" style="2589" customWidth="1"/>
    <col min="6415" max="6415" width="9.109375" style="2589" customWidth="1"/>
    <col min="6416" max="6416" width="10.5546875" style="2589" customWidth="1"/>
    <col min="6417" max="6418" width="9.109375" style="2589" customWidth="1"/>
    <col min="6419" max="6419" width="11.33203125" style="2589" customWidth="1"/>
    <col min="6420" max="6420" width="9.109375" style="2589" customWidth="1"/>
    <col min="6421" max="6422" width="10.33203125" style="2589" customWidth="1"/>
    <col min="6423" max="6423" width="10.109375" style="2589" customWidth="1"/>
    <col min="6424" max="6446" width="9.109375" style="2589" customWidth="1"/>
    <col min="6447" max="6656" width="9.109375" style="2589"/>
    <col min="6657" max="6657" width="7.88671875" style="2589" customWidth="1"/>
    <col min="6658" max="6658" width="36.44140625" style="2589" customWidth="1"/>
    <col min="6659" max="6659" width="9.88671875" style="2589" customWidth="1"/>
    <col min="6660" max="6660" width="10.33203125" style="2589" customWidth="1"/>
    <col min="6661" max="6661" width="10" style="2589" customWidth="1"/>
    <col min="6662" max="6662" width="9.88671875" style="2589" customWidth="1"/>
    <col min="6663" max="6663" width="9.5546875" style="2589" customWidth="1"/>
    <col min="6664" max="6664" width="10" style="2589" customWidth="1"/>
    <col min="6665" max="6665" width="9.33203125" style="2589" customWidth="1"/>
    <col min="6666" max="6666" width="9.6640625" style="2589" customWidth="1"/>
    <col min="6667" max="6667" width="11.5546875" style="2589" customWidth="1"/>
    <col min="6668" max="6668" width="13.6640625" style="2589" customWidth="1"/>
    <col min="6669" max="6669" width="9.88671875" style="2589" customWidth="1"/>
    <col min="6670" max="6670" width="11.109375" style="2589" customWidth="1"/>
    <col min="6671" max="6671" width="9.109375" style="2589" customWidth="1"/>
    <col min="6672" max="6672" width="10.5546875" style="2589" customWidth="1"/>
    <col min="6673" max="6674" width="9.109375" style="2589" customWidth="1"/>
    <col min="6675" max="6675" width="11.33203125" style="2589" customWidth="1"/>
    <col min="6676" max="6676" width="9.109375" style="2589" customWidth="1"/>
    <col min="6677" max="6678" width="10.33203125" style="2589" customWidth="1"/>
    <col min="6679" max="6679" width="10.109375" style="2589" customWidth="1"/>
    <col min="6680" max="6702" width="9.109375" style="2589" customWidth="1"/>
    <col min="6703" max="6912" width="9.109375" style="2589"/>
    <col min="6913" max="6913" width="7.88671875" style="2589" customWidth="1"/>
    <col min="6914" max="6914" width="36.44140625" style="2589" customWidth="1"/>
    <col min="6915" max="6915" width="9.88671875" style="2589" customWidth="1"/>
    <col min="6916" max="6916" width="10.33203125" style="2589" customWidth="1"/>
    <col min="6917" max="6917" width="10" style="2589" customWidth="1"/>
    <col min="6918" max="6918" width="9.88671875" style="2589" customWidth="1"/>
    <col min="6919" max="6919" width="9.5546875" style="2589" customWidth="1"/>
    <col min="6920" max="6920" width="10" style="2589" customWidth="1"/>
    <col min="6921" max="6921" width="9.33203125" style="2589" customWidth="1"/>
    <col min="6922" max="6922" width="9.6640625" style="2589" customWidth="1"/>
    <col min="6923" max="6923" width="11.5546875" style="2589" customWidth="1"/>
    <col min="6924" max="6924" width="13.6640625" style="2589" customWidth="1"/>
    <col min="6925" max="6925" width="9.88671875" style="2589" customWidth="1"/>
    <col min="6926" max="6926" width="11.109375" style="2589" customWidth="1"/>
    <col min="6927" max="6927" width="9.109375" style="2589" customWidth="1"/>
    <col min="6928" max="6928" width="10.5546875" style="2589" customWidth="1"/>
    <col min="6929" max="6930" width="9.109375" style="2589" customWidth="1"/>
    <col min="6931" max="6931" width="11.33203125" style="2589" customWidth="1"/>
    <col min="6932" max="6932" width="9.109375" style="2589" customWidth="1"/>
    <col min="6933" max="6934" width="10.33203125" style="2589" customWidth="1"/>
    <col min="6935" max="6935" width="10.109375" style="2589" customWidth="1"/>
    <col min="6936" max="6958" width="9.109375" style="2589" customWidth="1"/>
    <col min="6959" max="7168" width="9.109375" style="2589"/>
    <col min="7169" max="7169" width="7.88671875" style="2589" customWidth="1"/>
    <col min="7170" max="7170" width="36.44140625" style="2589" customWidth="1"/>
    <col min="7171" max="7171" width="9.88671875" style="2589" customWidth="1"/>
    <col min="7172" max="7172" width="10.33203125" style="2589" customWidth="1"/>
    <col min="7173" max="7173" width="10" style="2589" customWidth="1"/>
    <col min="7174" max="7174" width="9.88671875" style="2589" customWidth="1"/>
    <col min="7175" max="7175" width="9.5546875" style="2589" customWidth="1"/>
    <col min="7176" max="7176" width="10" style="2589" customWidth="1"/>
    <col min="7177" max="7177" width="9.33203125" style="2589" customWidth="1"/>
    <col min="7178" max="7178" width="9.6640625" style="2589" customWidth="1"/>
    <col min="7179" max="7179" width="11.5546875" style="2589" customWidth="1"/>
    <col min="7180" max="7180" width="13.6640625" style="2589" customWidth="1"/>
    <col min="7181" max="7181" width="9.88671875" style="2589" customWidth="1"/>
    <col min="7182" max="7182" width="11.109375" style="2589" customWidth="1"/>
    <col min="7183" max="7183" width="9.109375" style="2589" customWidth="1"/>
    <col min="7184" max="7184" width="10.5546875" style="2589" customWidth="1"/>
    <col min="7185" max="7186" width="9.109375" style="2589" customWidth="1"/>
    <col min="7187" max="7187" width="11.33203125" style="2589" customWidth="1"/>
    <col min="7188" max="7188" width="9.109375" style="2589" customWidth="1"/>
    <col min="7189" max="7190" width="10.33203125" style="2589" customWidth="1"/>
    <col min="7191" max="7191" width="10.109375" style="2589" customWidth="1"/>
    <col min="7192" max="7214" width="9.109375" style="2589" customWidth="1"/>
    <col min="7215" max="7424" width="9.109375" style="2589"/>
    <col min="7425" max="7425" width="7.88671875" style="2589" customWidth="1"/>
    <col min="7426" max="7426" width="36.44140625" style="2589" customWidth="1"/>
    <col min="7427" max="7427" width="9.88671875" style="2589" customWidth="1"/>
    <col min="7428" max="7428" width="10.33203125" style="2589" customWidth="1"/>
    <col min="7429" max="7429" width="10" style="2589" customWidth="1"/>
    <col min="7430" max="7430" width="9.88671875" style="2589" customWidth="1"/>
    <col min="7431" max="7431" width="9.5546875" style="2589" customWidth="1"/>
    <col min="7432" max="7432" width="10" style="2589" customWidth="1"/>
    <col min="7433" max="7433" width="9.33203125" style="2589" customWidth="1"/>
    <col min="7434" max="7434" width="9.6640625" style="2589" customWidth="1"/>
    <col min="7435" max="7435" width="11.5546875" style="2589" customWidth="1"/>
    <col min="7436" max="7436" width="13.6640625" style="2589" customWidth="1"/>
    <col min="7437" max="7437" width="9.88671875" style="2589" customWidth="1"/>
    <col min="7438" max="7438" width="11.109375" style="2589" customWidth="1"/>
    <col min="7439" max="7439" width="9.109375" style="2589" customWidth="1"/>
    <col min="7440" max="7440" width="10.5546875" style="2589" customWidth="1"/>
    <col min="7441" max="7442" width="9.109375" style="2589" customWidth="1"/>
    <col min="7443" max="7443" width="11.33203125" style="2589" customWidth="1"/>
    <col min="7444" max="7444" width="9.109375" style="2589" customWidth="1"/>
    <col min="7445" max="7446" width="10.33203125" style="2589" customWidth="1"/>
    <col min="7447" max="7447" width="10.109375" style="2589" customWidth="1"/>
    <col min="7448" max="7470" width="9.109375" style="2589" customWidth="1"/>
    <col min="7471" max="7680" width="9.109375" style="2589"/>
    <col min="7681" max="7681" width="7.88671875" style="2589" customWidth="1"/>
    <col min="7682" max="7682" width="36.44140625" style="2589" customWidth="1"/>
    <col min="7683" max="7683" width="9.88671875" style="2589" customWidth="1"/>
    <col min="7684" max="7684" width="10.33203125" style="2589" customWidth="1"/>
    <col min="7685" max="7685" width="10" style="2589" customWidth="1"/>
    <col min="7686" max="7686" width="9.88671875" style="2589" customWidth="1"/>
    <col min="7687" max="7687" width="9.5546875" style="2589" customWidth="1"/>
    <col min="7688" max="7688" width="10" style="2589" customWidth="1"/>
    <col min="7689" max="7689" width="9.33203125" style="2589" customWidth="1"/>
    <col min="7690" max="7690" width="9.6640625" style="2589" customWidth="1"/>
    <col min="7691" max="7691" width="11.5546875" style="2589" customWidth="1"/>
    <col min="7692" max="7692" width="13.6640625" style="2589" customWidth="1"/>
    <col min="7693" max="7693" width="9.88671875" style="2589" customWidth="1"/>
    <col min="7694" max="7694" width="11.109375" style="2589" customWidth="1"/>
    <col min="7695" max="7695" width="9.109375" style="2589" customWidth="1"/>
    <col min="7696" max="7696" width="10.5546875" style="2589" customWidth="1"/>
    <col min="7697" max="7698" width="9.109375" style="2589" customWidth="1"/>
    <col min="7699" max="7699" width="11.33203125" style="2589" customWidth="1"/>
    <col min="7700" max="7700" width="9.109375" style="2589" customWidth="1"/>
    <col min="7701" max="7702" width="10.33203125" style="2589" customWidth="1"/>
    <col min="7703" max="7703" width="10.109375" style="2589" customWidth="1"/>
    <col min="7704" max="7726" width="9.109375" style="2589" customWidth="1"/>
    <col min="7727" max="7936" width="9.109375" style="2589"/>
    <col min="7937" max="7937" width="7.88671875" style="2589" customWidth="1"/>
    <col min="7938" max="7938" width="36.44140625" style="2589" customWidth="1"/>
    <col min="7939" max="7939" width="9.88671875" style="2589" customWidth="1"/>
    <col min="7940" max="7940" width="10.33203125" style="2589" customWidth="1"/>
    <col min="7941" max="7941" width="10" style="2589" customWidth="1"/>
    <col min="7942" max="7942" width="9.88671875" style="2589" customWidth="1"/>
    <col min="7943" max="7943" width="9.5546875" style="2589" customWidth="1"/>
    <col min="7944" max="7944" width="10" style="2589" customWidth="1"/>
    <col min="7945" max="7945" width="9.33203125" style="2589" customWidth="1"/>
    <col min="7946" max="7946" width="9.6640625" style="2589" customWidth="1"/>
    <col min="7947" max="7947" width="11.5546875" style="2589" customWidth="1"/>
    <col min="7948" max="7948" width="13.6640625" style="2589" customWidth="1"/>
    <col min="7949" max="7949" width="9.88671875" style="2589" customWidth="1"/>
    <col min="7950" max="7950" width="11.109375" style="2589" customWidth="1"/>
    <col min="7951" max="7951" width="9.109375" style="2589" customWidth="1"/>
    <col min="7952" max="7952" width="10.5546875" style="2589" customWidth="1"/>
    <col min="7953" max="7954" width="9.109375" style="2589" customWidth="1"/>
    <col min="7955" max="7955" width="11.33203125" style="2589" customWidth="1"/>
    <col min="7956" max="7956" width="9.109375" style="2589" customWidth="1"/>
    <col min="7957" max="7958" width="10.33203125" style="2589" customWidth="1"/>
    <col min="7959" max="7959" width="10.109375" style="2589" customWidth="1"/>
    <col min="7960" max="7982" width="9.109375" style="2589" customWidth="1"/>
    <col min="7983" max="8192" width="9.109375" style="2589"/>
    <col min="8193" max="8193" width="7.88671875" style="2589" customWidth="1"/>
    <col min="8194" max="8194" width="36.44140625" style="2589" customWidth="1"/>
    <col min="8195" max="8195" width="9.88671875" style="2589" customWidth="1"/>
    <col min="8196" max="8196" width="10.33203125" style="2589" customWidth="1"/>
    <col min="8197" max="8197" width="10" style="2589" customWidth="1"/>
    <col min="8198" max="8198" width="9.88671875" style="2589" customWidth="1"/>
    <col min="8199" max="8199" width="9.5546875" style="2589" customWidth="1"/>
    <col min="8200" max="8200" width="10" style="2589" customWidth="1"/>
    <col min="8201" max="8201" width="9.33203125" style="2589" customWidth="1"/>
    <col min="8202" max="8202" width="9.6640625" style="2589" customWidth="1"/>
    <col min="8203" max="8203" width="11.5546875" style="2589" customWidth="1"/>
    <col min="8204" max="8204" width="13.6640625" style="2589" customWidth="1"/>
    <col min="8205" max="8205" width="9.88671875" style="2589" customWidth="1"/>
    <col min="8206" max="8206" width="11.109375" style="2589" customWidth="1"/>
    <col min="8207" max="8207" width="9.109375" style="2589" customWidth="1"/>
    <col min="8208" max="8208" width="10.5546875" style="2589" customWidth="1"/>
    <col min="8209" max="8210" width="9.109375" style="2589" customWidth="1"/>
    <col min="8211" max="8211" width="11.33203125" style="2589" customWidth="1"/>
    <col min="8212" max="8212" width="9.109375" style="2589" customWidth="1"/>
    <col min="8213" max="8214" width="10.33203125" style="2589" customWidth="1"/>
    <col min="8215" max="8215" width="10.109375" style="2589" customWidth="1"/>
    <col min="8216" max="8238" width="9.109375" style="2589" customWidth="1"/>
    <col min="8239" max="8448" width="9.109375" style="2589"/>
    <col min="8449" max="8449" width="7.88671875" style="2589" customWidth="1"/>
    <col min="8450" max="8450" width="36.44140625" style="2589" customWidth="1"/>
    <col min="8451" max="8451" width="9.88671875" style="2589" customWidth="1"/>
    <col min="8452" max="8452" width="10.33203125" style="2589" customWidth="1"/>
    <col min="8453" max="8453" width="10" style="2589" customWidth="1"/>
    <col min="8454" max="8454" width="9.88671875" style="2589" customWidth="1"/>
    <col min="8455" max="8455" width="9.5546875" style="2589" customWidth="1"/>
    <col min="8456" max="8456" width="10" style="2589" customWidth="1"/>
    <col min="8457" max="8457" width="9.33203125" style="2589" customWidth="1"/>
    <col min="8458" max="8458" width="9.6640625" style="2589" customWidth="1"/>
    <col min="8459" max="8459" width="11.5546875" style="2589" customWidth="1"/>
    <col min="8460" max="8460" width="13.6640625" style="2589" customWidth="1"/>
    <col min="8461" max="8461" width="9.88671875" style="2589" customWidth="1"/>
    <col min="8462" max="8462" width="11.109375" style="2589" customWidth="1"/>
    <col min="8463" max="8463" width="9.109375" style="2589" customWidth="1"/>
    <col min="8464" max="8464" width="10.5546875" style="2589" customWidth="1"/>
    <col min="8465" max="8466" width="9.109375" style="2589" customWidth="1"/>
    <col min="8467" max="8467" width="11.33203125" style="2589" customWidth="1"/>
    <col min="8468" max="8468" width="9.109375" style="2589" customWidth="1"/>
    <col min="8469" max="8470" width="10.33203125" style="2589" customWidth="1"/>
    <col min="8471" max="8471" width="10.109375" style="2589" customWidth="1"/>
    <col min="8472" max="8494" width="9.109375" style="2589" customWidth="1"/>
    <col min="8495" max="8704" width="9.109375" style="2589"/>
    <col min="8705" max="8705" width="7.88671875" style="2589" customWidth="1"/>
    <col min="8706" max="8706" width="36.44140625" style="2589" customWidth="1"/>
    <col min="8707" max="8707" width="9.88671875" style="2589" customWidth="1"/>
    <col min="8708" max="8708" width="10.33203125" style="2589" customWidth="1"/>
    <col min="8709" max="8709" width="10" style="2589" customWidth="1"/>
    <col min="8710" max="8710" width="9.88671875" style="2589" customWidth="1"/>
    <col min="8711" max="8711" width="9.5546875" style="2589" customWidth="1"/>
    <col min="8712" max="8712" width="10" style="2589" customWidth="1"/>
    <col min="8713" max="8713" width="9.33203125" style="2589" customWidth="1"/>
    <col min="8714" max="8714" width="9.6640625" style="2589" customWidth="1"/>
    <col min="8715" max="8715" width="11.5546875" style="2589" customWidth="1"/>
    <col min="8716" max="8716" width="13.6640625" style="2589" customWidth="1"/>
    <col min="8717" max="8717" width="9.88671875" style="2589" customWidth="1"/>
    <col min="8718" max="8718" width="11.109375" style="2589" customWidth="1"/>
    <col min="8719" max="8719" width="9.109375" style="2589" customWidth="1"/>
    <col min="8720" max="8720" width="10.5546875" style="2589" customWidth="1"/>
    <col min="8721" max="8722" width="9.109375" style="2589" customWidth="1"/>
    <col min="8723" max="8723" width="11.33203125" style="2589" customWidth="1"/>
    <col min="8724" max="8724" width="9.109375" style="2589" customWidth="1"/>
    <col min="8725" max="8726" width="10.33203125" style="2589" customWidth="1"/>
    <col min="8727" max="8727" width="10.109375" style="2589" customWidth="1"/>
    <col min="8728" max="8750" width="9.109375" style="2589" customWidth="1"/>
    <col min="8751" max="8960" width="9.109375" style="2589"/>
    <col min="8961" max="8961" width="7.88671875" style="2589" customWidth="1"/>
    <col min="8962" max="8962" width="36.44140625" style="2589" customWidth="1"/>
    <col min="8963" max="8963" width="9.88671875" style="2589" customWidth="1"/>
    <col min="8964" max="8964" width="10.33203125" style="2589" customWidth="1"/>
    <col min="8965" max="8965" width="10" style="2589" customWidth="1"/>
    <col min="8966" max="8966" width="9.88671875" style="2589" customWidth="1"/>
    <col min="8967" max="8967" width="9.5546875" style="2589" customWidth="1"/>
    <col min="8968" max="8968" width="10" style="2589" customWidth="1"/>
    <col min="8969" max="8969" width="9.33203125" style="2589" customWidth="1"/>
    <col min="8970" max="8970" width="9.6640625" style="2589" customWidth="1"/>
    <col min="8971" max="8971" width="11.5546875" style="2589" customWidth="1"/>
    <col min="8972" max="8972" width="13.6640625" style="2589" customWidth="1"/>
    <col min="8973" max="8973" width="9.88671875" style="2589" customWidth="1"/>
    <col min="8974" max="8974" width="11.109375" style="2589" customWidth="1"/>
    <col min="8975" max="8975" width="9.109375" style="2589" customWidth="1"/>
    <col min="8976" max="8976" width="10.5546875" style="2589" customWidth="1"/>
    <col min="8977" max="8978" width="9.109375" style="2589" customWidth="1"/>
    <col min="8979" max="8979" width="11.33203125" style="2589" customWidth="1"/>
    <col min="8980" max="8980" width="9.109375" style="2589" customWidth="1"/>
    <col min="8981" max="8982" width="10.33203125" style="2589" customWidth="1"/>
    <col min="8983" max="8983" width="10.109375" style="2589" customWidth="1"/>
    <col min="8984" max="9006" width="9.109375" style="2589" customWidth="1"/>
    <col min="9007" max="9216" width="9.109375" style="2589"/>
    <col min="9217" max="9217" width="7.88671875" style="2589" customWidth="1"/>
    <col min="9218" max="9218" width="36.44140625" style="2589" customWidth="1"/>
    <col min="9219" max="9219" width="9.88671875" style="2589" customWidth="1"/>
    <col min="9220" max="9220" width="10.33203125" style="2589" customWidth="1"/>
    <col min="9221" max="9221" width="10" style="2589" customWidth="1"/>
    <col min="9222" max="9222" width="9.88671875" style="2589" customWidth="1"/>
    <col min="9223" max="9223" width="9.5546875" style="2589" customWidth="1"/>
    <col min="9224" max="9224" width="10" style="2589" customWidth="1"/>
    <col min="9225" max="9225" width="9.33203125" style="2589" customWidth="1"/>
    <col min="9226" max="9226" width="9.6640625" style="2589" customWidth="1"/>
    <col min="9227" max="9227" width="11.5546875" style="2589" customWidth="1"/>
    <col min="9228" max="9228" width="13.6640625" style="2589" customWidth="1"/>
    <col min="9229" max="9229" width="9.88671875" style="2589" customWidth="1"/>
    <col min="9230" max="9230" width="11.109375" style="2589" customWidth="1"/>
    <col min="9231" max="9231" width="9.109375" style="2589" customWidth="1"/>
    <col min="9232" max="9232" width="10.5546875" style="2589" customWidth="1"/>
    <col min="9233" max="9234" width="9.109375" style="2589" customWidth="1"/>
    <col min="9235" max="9235" width="11.33203125" style="2589" customWidth="1"/>
    <col min="9236" max="9236" width="9.109375" style="2589" customWidth="1"/>
    <col min="9237" max="9238" width="10.33203125" style="2589" customWidth="1"/>
    <col min="9239" max="9239" width="10.109375" style="2589" customWidth="1"/>
    <col min="9240" max="9262" width="9.109375" style="2589" customWidth="1"/>
    <col min="9263" max="9472" width="9.109375" style="2589"/>
    <col min="9473" max="9473" width="7.88671875" style="2589" customWidth="1"/>
    <col min="9474" max="9474" width="36.44140625" style="2589" customWidth="1"/>
    <col min="9475" max="9475" width="9.88671875" style="2589" customWidth="1"/>
    <col min="9476" max="9476" width="10.33203125" style="2589" customWidth="1"/>
    <col min="9477" max="9477" width="10" style="2589" customWidth="1"/>
    <col min="9478" max="9478" width="9.88671875" style="2589" customWidth="1"/>
    <col min="9479" max="9479" width="9.5546875" style="2589" customWidth="1"/>
    <col min="9480" max="9480" width="10" style="2589" customWidth="1"/>
    <col min="9481" max="9481" width="9.33203125" style="2589" customWidth="1"/>
    <col min="9482" max="9482" width="9.6640625" style="2589" customWidth="1"/>
    <col min="9483" max="9483" width="11.5546875" style="2589" customWidth="1"/>
    <col min="9484" max="9484" width="13.6640625" style="2589" customWidth="1"/>
    <col min="9485" max="9485" width="9.88671875" style="2589" customWidth="1"/>
    <col min="9486" max="9486" width="11.109375" style="2589" customWidth="1"/>
    <col min="9487" max="9487" width="9.109375" style="2589" customWidth="1"/>
    <col min="9488" max="9488" width="10.5546875" style="2589" customWidth="1"/>
    <col min="9489" max="9490" width="9.109375" style="2589" customWidth="1"/>
    <col min="9491" max="9491" width="11.33203125" style="2589" customWidth="1"/>
    <col min="9492" max="9492" width="9.109375" style="2589" customWidth="1"/>
    <col min="9493" max="9494" width="10.33203125" style="2589" customWidth="1"/>
    <col min="9495" max="9495" width="10.109375" style="2589" customWidth="1"/>
    <col min="9496" max="9518" width="9.109375" style="2589" customWidth="1"/>
    <col min="9519" max="9728" width="9.109375" style="2589"/>
    <col min="9729" max="9729" width="7.88671875" style="2589" customWidth="1"/>
    <col min="9730" max="9730" width="36.44140625" style="2589" customWidth="1"/>
    <col min="9731" max="9731" width="9.88671875" style="2589" customWidth="1"/>
    <col min="9732" max="9732" width="10.33203125" style="2589" customWidth="1"/>
    <col min="9733" max="9733" width="10" style="2589" customWidth="1"/>
    <col min="9734" max="9734" width="9.88671875" style="2589" customWidth="1"/>
    <col min="9735" max="9735" width="9.5546875" style="2589" customWidth="1"/>
    <col min="9736" max="9736" width="10" style="2589" customWidth="1"/>
    <col min="9737" max="9737" width="9.33203125" style="2589" customWidth="1"/>
    <col min="9738" max="9738" width="9.6640625" style="2589" customWidth="1"/>
    <col min="9739" max="9739" width="11.5546875" style="2589" customWidth="1"/>
    <col min="9740" max="9740" width="13.6640625" style="2589" customWidth="1"/>
    <col min="9741" max="9741" width="9.88671875" style="2589" customWidth="1"/>
    <col min="9742" max="9742" width="11.109375" style="2589" customWidth="1"/>
    <col min="9743" max="9743" width="9.109375" style="2589" customWidth="1"/>
    <col min="9744" max="9744" width="10.5546875" style="2589" customWidth="1"/>
    <col min="9745" max="9746" width="9.109375" style="2589" customWidth="1"/>
    <col min="9747" max="9747" width="11.33203125" style="2589" customWidth="1"/>
    <col min="9748" max="9748" width="9.109375" style="2589" customWidth="1"/>
    <col min="9749" max="9750" width="10.33203125" style="2589" customWidth="1"/>
    <col min="9751" max="9751" width="10.109375" style="2589" customWidth="1"/>
    <col min="9752" max="9774" width="9.109375" style="2589" customWidth="1"/>
    <col min="9775" max="9984" width="9.109375" style="2589"/>
    <col min="9985" max="9985" width="7.88671875" style="2589" customWidth="1"/>
    <col min="9986" max="9986" width="36.44140625" style="2589" customWidth="1"/>
    <col min="9987" max="9987" width="9.88671875" style="2589" customWidth="1"/>
    <col min="9988" max="9988" width="10.33203125" style="2589" customWidth="1"/>
    <col min="9989" max="9989" width="10" style="2589" customWidth="1"/>
    <col min="9990" max="9990" width="9.88671875" style="2589" customWidth="1"/>
    <col min="9991" max="9991" width="9.5546875" style="2589" customWidth="1"/>
    <col min="9992" max="9992" width="10" style="2589" customWidth="1"/>
    <col min="9993" max="9993" width="9.33203125" style="2589" customWidth="1"/>
    <col min="9994" max="9994" width="9.6640625" style="2589" customWidth="1"/>
    <col min="9995" max="9995" width="11.5546875" style="2589" customWidth="1"/>
    <col min="9996" max="9996" width="13.6640625" style="2589" customWidth="1"/>
    <col min="9997" max="9997" width="9.88671875" style="2589" customWidth="1"/>
    <col min="9998" max="9998" width="11.109375" style="2589" customWidth="1"/>
    <col min="9999" max="9999" width="9.109375" style="2589" customWidth="1"/>
    <col min="10000" max="10000" width="10.5546875" style="2589" customWidth="1"/>
    <col min="10001" max="10002" width="9.109375" style="2589" customWidth="1"/>
    <col min="10003" max="10003" width="11.33203125" style="2589" customWidth="1"/>
    <col min="10004" max="10004" width="9.109375" style="2589" customWidth="1"/>
    <col min="10005" max="10006" width="10.33203125" style="2589" customWidth="1"/>
    <col min="10007" max="10007" width="10.109375" style="2589" customWidth="1"/>
    <col min="10008" max="10030" width="9.109375" style="2589" customWidth="1"/>
    <col min="10031" max="10240" width="9.109375" style="2589"/>
    <col min="10241" max="10241" width="7.88671875" style="2589" customWidth="1"/>
    <col min="10242" max="10242" width="36.44140625" style="2589" customWidth="1"/>
    <col min="10243" max="10243" width="9.88671875" style="2589" customWidth="1"/>
    <col min="10244" max="10244" width="10.33203125" style="2589" customWidth="1"/>
    <col min="10245" max="10245" width="10" style="2589" customWidth="1"/>
    <col min="10246" max="10246" width="9.88671875" style="2589" customWidth="1"/>
    <col min="10247" max="10247" width="9.5546875" style="2589" customWidth="1"/>
    <col min="10248" max="10248" width="10" style="2589" customWidth="1"/>
    <col min="10249" max="10249" width="9.33203125" style="2589" customWidth="1"/>
    <col min="10250" max="10250" width="9.6640625" style="2589" customWidth="1"/>
    <col min="10251" max="10251" width="11.5546875" style="2589" customWidth="1"/>
    <col min="10252" max="10252" width="13.6640625" style="2589" customWidth="1"/>
    <col min="10253" max="10253" width="9.88671875" style="2589" customWidth="1"/>
    <col min="10254" max="10254" width="11.109375" style="2589" customWidth="1"/>
    <col min="10255" max="10255" width="9.109375" style="2589" customWidth="1"/>
    <col min="10256" max="10256" width="10.5546875" style="2589" customWidth="1"/>
    <col min="10257" max="10258" width="9.109375" style="2589" customWidth="1"/>
    <col min="10259" max="10259" width="11.33203125" style="2589" customWidth="1"/>
    <col min="10260" max="10260" width="9.109375" style="2589" customWidth="1"/>
    <col min="10261" max="10262" width="10.33203125" style="2589" customWidth="1"/>
    <col min="10263" max="10263" width="10.109375" style="2589" customWidth="1"/>
    <col min="10264" max="10286" width="9.109375" style="2589" customWidth="1"/>
    <col min="10287" max="10496" width="9.109375" style="2589"/>
    <col min="10497" max="10497" width="7.88671875" style="2589" customWidth="1"/>
    <col min="10498" max="10498" width="36.44140625" style="2589" customWidth="1"/>
    <col min="10499" max="10499" width="9.88671875" style="2589" customWidth="1"/>
    <col min="10500" max="10500" width="10.33203125" style="2589" customWidth="1"/>
    <col min="10501" max="10501" width="10" style="2589" customWidth="1"/>
    <col min="10502" max="10502" width="9.88671875" style="2589" customWidth="1"/>
    <col min="10503" max="10503" width="9.5546875" style="2589" customWidth="1"/>
    <col min="10504" max="10504" width="10" style="2589" customWidth="1"/>
    <col min="10505" max="10505" width="9.33203125" style="2589" customWidth="1"/>
    <col min="10506" max="10506" width="9.6640625" style="2589" customWidth="1"/>
    <col min="10507" max="10507" width="11.5546875" style="2589" customWidth="1"/>
    <col min="10508" max="10508" width="13.6640625" style="2589" customWidth="1"/>
    <col min="10509" max="10509" width="9.88671875" style="2589" customWidth="1"/>
    <col min="10510" max="10510" width="11.109375" style="2589" customWidth="1"/>
    <col min="10511" max="10511" width="9.109375" style="2589" customWidth="1"/>
    <col min="10512" max="10512" width="10.5546875" style="2589" customWidth="1"/>
    <col min="10513" max="10514" width="9.109375" style="2589" customWidth="1"/>
    <col min="10515" max="10515" width="11.33203125" style="2589" customWidth="1"/>
    <col min="10516" max="10516" width="9.109375" style="2589" customWidth="1"/>
    <col min="10517" max="10518" width="10.33203125" style="2589" customWidth="1"/>
    <col min="10519" max="10519" width="10.109375" style="2589" customWidth="1"/>
    <col min="10520" max="10542" width="9.109375" style="2589" customWidth="1"/>
    <col min="10543" max="10752" width="9.109375" style="2589"/>
    <col min="10753" max="10753" width="7.88671875" style="2589" customWidth="1"/>
    <col min="10754" max="10754" width="36.44140625" style="2589" customWidth="1"/>
    <col min="10755" max="10755" width="9.88671875" style="2589" customWidth="1"/>
    <col min="10756" max="10756" width="10.33203125" style="2589" customWidth="1"/>
    <col min="10757" max="10757" width="10" style="2589" customWidth="1"/>
    <col min="10758" max="10758" width="9.88671875" style="2589" customWidth="1"/>
    <col min="10759" max="10759" width="9.5546875" style="2589" customWidth="1"/>
    <col min="10760" max="10760" width="10" style="2589" customWidth="1"/>
    <col min="10761" max="10761" width="9.33203125" style="2589" customWidth="1"/>
    <col min="10762" max="10762" width="9.6640625" style="2589" customWidth="1"/>
    <col min="10763" max="10763" width="11.5546875" style="2589" customWidth="1"/>
    <col min="10764" max="10764" width="13.6640625" style="2589" customWidth="1"/>
    <col min="10765" max="10765" width="9.88671875" style="2589" customWidth="1"/>
    <col min="10766" max="10766" width="11.109375" style="2589" customWidth="1"/>
    <col min="10767" max="10767" width="9.109375" style="2589" customWidth="1"/>
    <col min="10768" max="10768" width="10.5546875" style="2589" customWidth="1"/>
    <col min="10769" max="10770" width="9.109375" style="2589" customWidth="1"/>
    <col min="10771" max="10771" width="11.33203125" style="2589" customWidth="1"/>
    <col min="10772" max="10772" width="9.109375" style="2589" customWidth="1"/>
    <col min="10773" max="10774" width="10.33203125" style="2589" customWidth="1"/>
    <col min="10775" max="10775" width="10.109375" style="2589" customWidth="1"/>
    <col min="10776" max="10798" width="9.109375" style="2589" customWidth="1"/>
    <col min="10799" max="11008" width="9.109375" style="2589"/>
    <col min="11009" max="11009" width="7.88671875" style="2589" customWidth="1"/>
    <col min="11010" max="11010" width="36.44140625" style="2589" customWidth="1"/>
    <col min="11011" max="11011" width="9.88671875" style="2589" customWidth="1"/>
    <col min="11012" max="11012" width="10.33203125" style="2589" customWidth="1"/>
    <col min="11013" max="11013" width="10" style="2589" customWidth="1"/>
    <col min="11014" max="11014" width="9.88671875" style="2589" customWidth="1"/>
    <col min="11015" max="11015" width="9.5546875" style="2589" customWidth="1"/>
    <col min="11016" max="11016" width="10" style="2589" customWidth="1"/>
    <col min="11017" max="11017" width="9.33203125" style="2589" customWidth="1"/>
    <col min="11018" max="11018" width="9.6640625" style="2589" customWidth="1"/>
    <col min="11019" max="11019" width="11.5546875" style="2589" customWidth="1"/>
    <col min="11020" max="11020" width="13.6640625" style="2589" customWidth="1"/>
    <col min="11021" max="11021" width="9.88671875" style="2589" customWidth="1"/>
    <col min="11022" max="11022" width="11.109375" style="2589" customWidth="1"/>
    <col min="11023" max="11023" width="9.109375" style="2589" customWidth="1"/>
    <col min="11024" max="11024" width="10.5546875" style="2589" customWidth="1"/>
    <col min="11025" max="11026" width="9.109375" style="2589" customWidth="1"/>
    <col min="11027" max="11027" width="11.33203125" style="2589" customWidth="1"/>
    <col min="11028" max="11028" width="9.109375" style="2589" customWidth="1"/>
    <col min="11029" max="11030" width="10.33203125" style="2589" customWidth="1"/>
    <col min="11031" max="11031" width="10.109375" style="2589" customWidth="1"/>
    <col min="11032" max="11054" width="9.109375" style="2589" customWidth="1"/>
    <col min="11055" max="11264" width="9.109375" style="2589"/>
    <col min="11265" max="11265" width="7.88671875" style="2589" customWidth="1"/>
    <col min="11266" max="11266" width="36.44140625" style="2589" customWidth="1"/>
    <col min="11267" max="11267" width="9.88671875" style="2589" customWidth="1"/>
    <col min="11268" max="11268" width="10.33203125" style="2589" customWidth="1"/>
    <col min="11269" max="11269" width="10" style="2589" customWidth="1"/>
    <col min="11270" max="11270" width="9.88671875" style="2589" customWidth="1"/>
    <col min="11271" max="11271" width="9.5546875" style="2589" customWidth="1"/>
    <col min="11272" max="11272" width="10" style="2589" customWidth="1"/>
    <col min="11273" max="11273" width="9.33203125" style="2589" customWidth="1"/>
    <col min="11274" max="11274" width="9.6640625" style="2589" customWidth="1"/>
    <col min="11275" max="11275" width="11.5546875" style="2589" customWidth="1"/>
    <col min="11276" max="11276" width="13.6640625" style="2589" customWidth="1"/>
    <col min="11277" max="11277" width="9.88671875" style="2589" customWidth="1"/>
    <col min="11278" max="11278" width="11.109375" style="2589" customWidth="1"/>
    <col min="11279" max="11279" width="9.109375" style="2589" customWidth="1"/>
    <col min="11280" max="11280" width="10.5546875" style="2589" customWidth="1"/>
    <col min="11281" max="11282" width="9.109375" style="2589" customWidth="1"/>
    <col min="11283" max="11283" width="11.33203125" style="2589" customWidth="1"/>
    <col min="11284" max="11284" width="9.109375" style="2589" customWidth="1"/>
    <col min="11285" max="11286" width="10.33203125" style="2589" customWidth="1"/>
    <col min="11287" max="11287" width="10.109375" style="2589" customWidth="1"/>
    <col min="11288" max="11310" width="9.109375" style="2589" customWidth="1"/>
    <col min="11311" max="11520" width="9.109375" style="2589"/>
    <col min="11521" max="11521" width="7.88671875" style="2589" customWidth="1"/>
    <col min="11522" max="11522" width="36.44140625" style="2589" customWidth="1"/>
    <col min="11523" max="11523" width="9.88671875" style="2589" customWidth="1"/>
    <col min="11524" max="11524" width="10.33203125" style="2589" customWidth="1"/>
    <col min="11525" max="11525" width="10" style="2589" customWidth="1"/>
    <col min="11526" max="11526" width="9.88671875" style="2589" customWidth="1"/>
    <col min="11527" max="11527" width="9.5546875" style="2589" customWidth="1"/>
    <col min="11528" max="11528" width="10" style="2589" customWidth="1"/>
    <col min="11529" max="11529" width="9.33203125" style="2589" customWidth="1"/>
    <col min="11530" max="11530" width="9.6640625" style="2589" customWidth="1"/>
    <col min="11531" max="11531" width="11.5546875" style="2589" customWidth="1"/>
    <col min="11532" max="11532" width="13.6640625" style="2589" customWidth="1"/>
    <col min="11533" max="11533" width="9.88671875" style="2589" customWidth="1"/>
    <col min="11534" max="11534" width="11.109375" style="2589" customWidth="1"/>
    <col min="11535" max="11535" width="9.109375" style="2589" customWidth="1"/>
    <col min="11536" max="11536" width="10.5546875" style="2589" customWidth="1"/>
    <col min="11537" max="11538" width="9.109375" style="2589" customWidth="1"/>
    <col min="11539" max="11539" width="11.33203125" style="2589" customWidth="1"/>
    <col min="11540" max="11540" width="9.109375" style="2589" customWidth="1"/>
    <col min="11541" max="11542" width="10.33203125" style="2589" customWidth="1"/>
    <col min="11543" max="11543" width="10.109375" style="2589" customWidth="1"/>
    <col min="11544" max="11566" width="9.109375" style="2589" customWidth="1"/>
    <col min="11567" max="11776" width="9.109375" style="2589"/>
    <col min="11777" max="11777" width="7.88671875" style="2589" customWidth="1"/>
    <col min="11778" max="11778" width="36.44140625" style="2589" customWidth="1"/>
    <col min="11779" max="11779" width="9.88671875" style="2589" customWidth="1"/>
    <col min="11780" max="11780" width="10.33203125" style="2589" customWidth="1"/>
    <col min="11781" max="11781" width="10" style="2589" customWidth="1"/>
    <col min="11782" max="11782" width="9.88671875" style="2589" customWidth="1"/>
    <col min="11783" max="11783" width="9.5546875" style="2589" customWidth="1"/>
    <col min="11784" max="11784" width="10" style="2589" customWidth="1"/>
    <col min="11785" max="11785" width="9.33203125" style="2589" customWidth="1"/>
    <col min="11786" max="11786" width="9.6640625" style="2589" customWidth="1"/>
    <col min="11787" max="11787" width="11.5546875" style="2589" customWidth="1"/>
    <col min="11788" max="11788" width="13.6640625" style="2589" customWidth="1"/>
    <col min="11789" max="11789" width="9.88671875" style="2589" customWidth="1"/>
    <col min="11790" max="11790" width="11.109375" style="2589" customWidth="1"/>
    <col min="11791" max="11791" width="9.109375" style="2589" customWidth="1"/>
    <col min="11792" max="11792" width="10.5546875" style="2589" customWidth="1"/>
    <col min="11793" max="11794" width="9.109375" style="2589" customWidth="1"/>
    <col min="11795" max="11795" width="11.33203125" style="2589" customWidth="1"/>
    <col min="11796" max="11796" width="9.109375" style="2589" customWidth="1"/>
    <col min="11797" max="11798" width="10.33203125" style="2589" customWidth="1"/>
    <col min="11799" max="11799" width="10.109375" style="2589" customWidth="1"/>
    <col min="11800" max="11822" width="9.109375" style="2589" customWidth="1"/>
    <col min="11823" max="12032" width="9.109375" style="2589"/>
    <col min="12033" max="12033" width="7.88671875" style="2589" customWidth="1"/>
    <col min="12034" max="12034" width="36.44140625" style="2589" customWidth="1"/>
    <col min="12035" max="12035" width="9.88671875" style="2589" customWidth="1"/>
    <col min="12036" max="12036" width="10.33203125" style="2589" customWidth="1"/>
    <col min="12037" max="12037" width="10" style="2589" customWidth="1"/>
    <col min="12038" max="12038" width="9.88671875" style="2589" customWidth="1"/>
    <col min="12039" max="12039" width="9.5546875" style="2589" customWidth="1"/>
    <col min="12040" max="12040" width="10" style="2589" customWidth="1"/>
    <col min="12041" max="12041" width="9.33203125" style="2589" customWidth="1"/>
    <col min="12042" max="12042" width="9.6640625" style="2589" customWidth="1"/>
    <col min="12043" max="12043" width="11.5546875" style="2589" customWidth="1"/>
    <col min="12044" max="12044" width="13.6640625" style="2589" customWidth="1"/>
    <col min="12045" max="12045" width="9.88671875" style="2589" customWidth="1"/>
    <col min="12046" max="12046" width="11.109375" style="2589" customWidth="1"/>
    <col min="12047" max="12047" width="9.109375" style="2589" customWidth="1"/>
    <col min="12048" max="12048" width="10.5546875" style="2589" customWidth="1"/>
    <col min="12049" max="12050" width="9.109375" style="2589" customWidth="1"/>
    <col min="12051" max="12051" width="11.33203125" style="2589" customWidth="1"/>
    <col min="12052" max="12052" width="9.109375" style="2589" customWidth="1"/>
    <col min="12053" max="12054" width="10.33203125" style="2589" customWidth="1"/>
    <col min="12055" max="12055" width="10.109375" style="2589" customWidth="1"/>
    <col min="12056" max="12078" width="9.109375" style="2589" customWidth="1"/>
    <col min="12079" max="12288" width="9.109375" style="2589"/>
    <col min="12289" max="12289" width="7.88671875" style="2589" customWidth="1"/>
    <col min="12290" max="12290" width="36.44140625" style="2589" customWidth="1"/>
    <col min="12291" max="12291" width="9.88671875" style="2589" customWidth="1"/>
    <col min="12292" max="12292" width="10.33203125" style="2589" customWidth="1"/>
    <col min="12293" max="12293" width="10" style="2589" customWidth="1"/>
    <col min="12294" max="12294" width="9.88671875" style="2589" customWidth="1"/>
    <col min="12295" max="12295" width="9.5546875" style="2589" customWidth="1"/>
    <col min="12296" max="12296" width="10" style="2589" customWidth="1"/>
    <col min="12297" max="12297" width="9.33203125" style="2589" customWidth="1"/>
    <col min="12298" max="12298" width="9.6640625" style="2589" customWidth="1"/>
    <col min="12299" max="12299" width="11.5546875" style="2589" customWidth="1"/>
    <col min="12300" max="12300" width="13.6640625" style="2589" customWidth="1"/>
    <col min="12301" max="12301" width="9.88671875" style="2589" customWidth="1"/>
    <col min="12302" max="12302" width="11.109375" style="2589" customWidth="1"/>
    <col min="12303" max="12303" width="9.109375" style="2589" customWidth="1"/>
    <col min="12304" max="12304" width="10.5546875" style="2589" customWidth="1"/>
    <col min="12305" max="12306" width="9.109375" style="2589" customWidth="1"/>
    <col min="12307" max="12307" width="11.33203125" style="2589" customWidth="1"/>
    <col min="12308" max="12308" width="9.109375" style="2589" customWidth="1"/>
    <col min="12309" max="12310" width="10.33203125" style="2589" customWidth="1"/>
    <col min="12311" max="12311" width="10.109375" style="2589" customWidth="1"/>
    <col min="12312" max="12334" width="9.109375" style="2589" customWidth="1"/>
    <col min="12335" max="12544" width="9.109375" style="2589"/>
    <col min="12545" max="12545" width="7.88671875" style="2589" customWidth="1"/>
    <col min="12546" max="12546" width="36.44140625" style="2589" customWidth="1"/>
    <col min="12547" max="12547" width="9.88671875" style="2589" customWidth="1"/>
    <col min="12548" max="12548" width="10.33203125" style="2589" customWidth="1"/>
    <col min="12549" max="12549" width="10" style="2589" customWidth="1"/>
    <col min="12550" max="12550" width="9.88671875" style="2589" customWidth="1"/>
    <col min="12551" max="12551" width="9.5546875" style="2589" customWidth="1"/>
    <col min="12552" max="12552" width="10" style="2589" customWidth="1"/>
    <col min="12553" max="12553" width="9.33203125" style="2589" customWidth="1"/>
    <col min="12554" max="12554" width="9.6640625" style="2589" customWidth="1"/>
    <col min="12555" max="12555" width="11.5546875" style="2589" customWidth="1"/>
    <col min="12556" max="12556" width="13.6640625" style="2589" customWidth="1"/>
    <col min="12557" max="12557" width="9.88671875" style="2589" customWidth="1"/>
    <col min="12558" max="12558" width="11.109375" style="2589" customWidth="1"/>
    <col min="12559" max="12559" width="9.109375" style="2589" customWidth="1"/>
    <col min="12560" max="12560" width="10.5546875" style="2589" customWidth="1"/>
    <col min="12561" max="12562" width="9.109375" style="2589" customWidth="1"/>
    <col min="12563" max="12563" width="11.33203125" style="2589" customWidth="1"/>
    <col min="12564" max="12564" width="9.109375" style="2589" customWidth="1"/>
    <col min="12565" max="12566" width="10.33203125" style="2589" customWidth="1"/>
    <col min="12567" max="12567" width="10.109375" style="2589" customWidth="1"/>
    <col min="12568" max="12590" width="9.109375" style="2589" customWidth="1"/>
    <col min="12591" max="12800" width="9.109375" style="2589"/>
    <col min="12801" max="12801" width="7.88671875" style="2589" customWidth="1"/>
    <col min="12802" max="12802" width="36.44140625" style="2589" customWidth="1"/>
    <col min="12803" max="12803" width="9.88671875" style="2589" customWidth="1"/>
    <col min="12804" max="12804" width="10.33203125" style="2589" customWidth="1"/>
    <col min="12805" max="12805" width="10" style="2589" customWidth="1"/>
    <col min="12806" max="12806" width="9.88671875" style="2589" customWidth="1"/>
    <col min="12807" max="12807" width="9.5546875" style="2589" customWidth="1"/>
    <col min="12808" max="12808" width="10" style="2589" customWidth="1"/>
    <col min="12809" max="12809" width="9.33203125" style="2589" customWidth="1"/>
    <col min="12810" max="12810" width="9.6640625" style="2589" customWidth="1"/>
    <col min="12811" max="12811" width="11.5546875" style="2589" customWidth="1"/>
    <col min="12812" max="12812" width="13.6640625" style="2589" customWidth="1"/>
    <col min="12813" max="12813" width="9.88671875" style="2589" customWidth="1"/>
    <col min="12814" max="12814" width="11.109375" style="2589" customWidth="1"/>
    <col min="12815" max="12815" width="9.109375" style="2589" customWidth="1"/>
    <col min="12816" max="12816" width="10.5546875" style="2589" customWidth="1"/>
    <col min="12817" max="12818" width="9.109375" style="2589" customWidth="1"/>
    <col min="12819" max="12819" width="11.33203125" style="2589" customWidth="1"/>
    <col min="12820" max="12820" width="9.109375" style="2589" customWidth="1"/>
    <col min="12821" max="12822" width="10.33203125" style="2589" customWidth="1"/>
    <col min="12823" max="12823" width="10.109375" style="2589" customWidth="1"/>
    <col min="12824" max="12846" width="9.109375" style="2589" customWidth="1"/>
    <col min="12847" max="13056" width="9.109375" style="2589"/>
    <col min="13057" max="13057" width="7.88671875" style="2589" customWidth="1"/>
    <col min="13058" max="13058" width="36.44140625" style="2589" customWidth="1"/>
    <col min="13059" max="13059" width="9.88671875" style="2589" customWidth="1"/>
    <col min="13060" max="13060" width="10.33203125" style="2589" customWidth="1"/>
    <col min="13061" max="13061" width="10" style="2589" customWidth="1"/>
    <col min="13062" max="13062" width="9.88671875" style="2589" customWidth="1"/>
    <col min="13063" max="13063" width="9.5546875" style="2589" customWidth="1"/>
    <col min="13064" max="13064" width="10" style="2589" customWidth="1"/>
    <col min="13065" max="13065" width="9.33203125" style="2589" customWidth="1"/>
    <col min="13066" max="13066" width="9.6640625" style="2589" customWidth="1"/>
    <col min="13067" max="13067" width="11.5546875" style="2589" customWidth="1"/>
    <col min="13068" max="13068" width="13.6640625" style="2589" customWidth="1"/>
    <col min="13069" max="13069" width="9.88671875" style="2589" customWidth="1"/>
    <col min="13070" max="13070" width="11.109375" style="2589" customWidth="1"/>
    <col min="13071" max="13071" width="9.109375" style="2589" customWidth="1"/>
    <col min="13072" max="13072" width="10.5546875" style="2589" customWidth="1"/>
    <col min="13073" max="13074" width="9.109375" style="2589" customWidth="1"/>
    <col min="13075" max="13075" width="11.33203125" style="2589" customWidth="1"/>
    <col min="13076" max="13076" width="9.109375" style="2589" customWidth="1"/>
    <col min="13077" max="13078" width="10.33203125" style="2589" customWidth="1"/>
    <col min="13079" max="13079" width="10.109375" style="2589" customWidth="1"/>
    <col min="13080" max="13102" width="9.109375" style="2589" customWidth="1"/>
    <col min="13103" max="13312" width="9.109375" style="2589"/>
    <col min="13313" max="13313" width="7.88671875" style="2589" customWidth="1"/>
    <col min="13314" max="13314" width="36.44140625" style="2589" customWidth="1"/>
    <col min="13315" max="13315" width="9.88671875" style="2589" customWidth="1"/>
    <col min="13316" max="13316" width="10.33203125" style="2589" customWidth="1"/>
    <col min="13317" max="13317" width="10" style="2589" customWidth="1"/>
    <col min="13318" max="13318" width="9.88671875" style="2589" customWidth="1"/>
    <col min="13319" max="13319" width="9.5546875" style="2589" customWidth="1"/>
    <col min="13320" max="13320" width="10" style="2589" customWidth="1"/>
    <col min="13321" max="13321" width="9.33203125" style="2589" customWidth="1"/>
    <col min="13322" max="13322" width="9.6640625" style="2589" customWidth="1"/>
    <col min="13323" max="13323" width="11.5546875" style="2589" customWidth="1"/>
    <col min="13324" max="13324" width="13.6640625" style="2589" customWidth="1"/>
    <col min="13325" max="13325" width="9.88671875" style="2589" customWidth="1"/>
    <col min="13326" max="13326" width="11.109375" style="2589" customWidth="1"/>
    <col min="13327" max="13327" width="9.109375" style="2589" customWidth="1"/>
    <col min="13328" max="13328" width="10.5546875" style="2589" customWidth="1"/>
    <col min="13329" max="13330" width="9.109375" style="2589" customWidth="1"/>
    <col min="13331" max="13331" width="11.33203125" style="2589" customWidth="1"/>
    <col min="13332" max="13332" width="9.109375" style="2589" customWidth="1"/>
    <col min="13333" max="13334" width="10.33203125" style="2589" customWidth="1"/>
    <col min="13335" max="13335" width="10.109375" style="2589" customWidth="1"/>
    <col min="13336" max="13358" width="9.109375" style="2589" customWidth="1"/>
    <col min="13359" max="13568" width="9.109375" style="2589"/>
    <col min="13569" max="13569" width="7.88671875" style="2589" customWidth="1"/>
    <col min="13570" max="13570" width="36.44140625" style="2589" customWidth="1"/>
    <col min="13571" max="13571" width="9.88671875" style="2589" customWidth="1"/>
    <col min="13572" max="13572" width="10.33203125" style="2589" customWidth="1"/>
    <col min="13573" max="13573" width="10" style="2589" customWidth="1"/>
    <col min="13574" max="13574" width="9.88671875" style="2589" customWidth="1"/>
    <col min="13575" max="13575" width="9.5546875" style="2589" customWidth="1"/>
    <col min="13576" max="13576" width="10" style="2589" customWidth="1"/>
    <col min="13577" max="13577" width="9.33203125" style="2589" customWidth="1"/>
    <col min="13578" max="13578" width="9.6640625" style="2589" customWidth="1"/>
    <col min="13579" max="13579" width="11.5546875" style="2589" customWidth="1"/>
    <col min="13580" max="13580" width="13.6640625" style="2589" customWidth="1"/>
    <col min="13581" max="13581" width="9.88671875" style="2589" customWidth="1"/>
    <col min="13582" max="13582" width="11.109375" style="2589" customWidth="1"/>
    <col min="13583" max="13583" width="9.109375" style="2589" customWidth="1"/>
    <col min="13584" max="13584" width="10.5546875" style="2589" customWidth="1"/>
    <col min="13585" max="13586" width="9.109375" style="2589" customWidth="1"/>
    <col min="13587" max="13587" width="11.33203125" style="2589" customWidth="1"/>
    <col min="13588" max="13588" width="9.109375" style="2589" customWidth="1"/>
    <col min="13589" max="13590" width="10.33203125" style="2589" customWidth="1"/>
    <col min="13591" max="13591" width="10.109375" style="2589" customWidth="1"/>
    <col min="13592" max="13614" width="9.109375" style="2589" customWidth="1"/>
    <col min="13615" max="13824" width="9.109375" style="2589"/>
    <col min="13825" max="13825" width="7.88671875" style="2589" customWidth="1"/>
    <col min="13826" max="13826" width="36.44140625" style="2589" customWidth="1"/>
    <col min="13827" max="13827" width="9.88671875" style="2589" customWidth="1"/>
    <col min="13828" max="13828" width="10.33203125" style="2589" customWidth="1"/>
    <col min="13829" max="13829" width="10" style="2589" customWidth="1"/>
    <col min="13830" max="13830" width="9.88671875" style="2589" customWidth="1"/>
    <col min="13831" max="13831" width="9.5546875" style="2589" customWidth="1"/>
    <col min="13832" max="13832" width="10" style="2589" customWidth="1"/>
    <col min="13833" max="13833" width="9.33203125" style="2589" customWidth="1"/>
    <col min="13834" max="13834" width="9.6640625" style="2589" customWidth="1"/>
    <col min="13835" max="13835" width="11.5546875" style="2589" customWidth="1"/>
    <col min="13836" max="13836" width="13.6640625" style="2589" customWidth="1"/>
    <col min="13837" max="13837" width="9.88671875" style="2589" customWidth="1"/>
    <col min="13838" max="13838" width="11.109375" style="2589" customWidth="1"/>
    <col min="13839" max="13839" width="9.109375" style="2589" customWidth="1"/>
    <col min="13840" max="13840" width="10.5546875" style="2589" customWidth="1"/>
    <col min="13841" max="13842" width="9.109375" style="2589" customWidth="1"/>
    <col min="13843" max="13843" width="11.33203125" style="2589" customWidth="1"/>
    <col min="13844" max="13844" width="9.109375" style="2589" customWidth="1"/>
    <col min="13845" max="13846" width="10.33203125" style="2589" customWidth="1"/>
    <col min="13847" max="13847" width="10.109375" style="2589" customWidth="1"/>
    <col min="13848" max="13870" width="9.109375" style="2589" customWidth="1"/>
    <col min="13871" max="14080" width="9.109375" style="2589"/>
    <col min="14081" max="14081" width="7.88671875" style="2589" customWidth="1"/>
    <col min="14082" max="14082" width="36.44140625" style="2589" customWidth="1"/>
    <col min="14083" max="14083" width="9.88671875" style="2589" customWidth="1"/>
    <col min="14084" max="14084" width="10.33203125" style="2589" customWidth="1"/>
    <col min="14085" max="14085" width="10" style="2589" customWidth="1"/>
    <col min="14086" max="14086" width="9.88671875" style="2589" customWidth="1"/>
    <col min="14087" max="14087" width="9.5546875" style="2589" customWidth="1"/>
    <col min="14088" max="14088" width="10" style="2589" customWidth="1"/>
    <col min="14089" max="14089" width="9.33203125" style="2589" customWidth="1"/>
    <col min="14090" max="14090" width="9.6640625" style="2589" customWidth="1"/>
    <col min="14091" max="14091" width="11.5546875" style="2589" customWidth="1"/>
    <col min="14092" max="14092" width="13.6640625" style="2589" customWidth="1"/>
    <col min="14093" max="14093" width="9.88671875" style="2589" customWidth="1"/>
    <col min="14094" max="14094" width="11.109375" style="2589" customWidth="1"/>
    <col min="14095" max="14095" width="9.109375" style="2589" customWidth="1"/>
    <col min="14096" max="14096" width="10.5546875" style="2589" customWidth="1"/>
    <col min="14097" max="14098" width="9.109375" style="2589" customWidth="1"/>
    <col min="14099" max="14099" width="11.33203125" style="2589" customWidth="1"/>
    <col min="14100" max="14100" width="9.109375" style="2589" customWidth="1"/>
    <col min="14101" max="14102" width="10.33203125" style="2589" customWidth="1"/>
    <col min="14103" max="14103" width="10.109375" style="2589" customWidth="1"/>
    <col min="14104" max="14126" width="9.109375" style="2589" customWidth="1"/>
    <col min="14127" max="14336" width="9.109375" style="2589"/>
    <col min="14337" max="14337" width="7.88671875" style="2589" customWidth="1"/>
    <col min="14338" max="14338" width="36.44140625" style="2589" customWidth="1"/>
    <col min="14339" max="14339" width="9.88671875" style="2589" customWidth="1"/>
    <col min="14340" max="14340" width="10.33203125" style="2589" customWidth="1"/>
    <col min="14341" max="14341" width="10" style="2589" customWidth="1"/>
    <col min="14342" max="14342" width="9.88671875" style="2589" customWidth="1"/>
    <col min="14343" max="14343" width="9.5546875" style="2589" customWidth="1"/>
    <col min="14344" max="14344" width="10" style="2589" customWidth="1"/>
    <col min="14345" max="14345" width="9.33203125" style="2589" customWidth="1"/>
    <col min="14346" max="14346" width="9.6640625" style="2589" customWidth="1"/>
    <col min="14347" max="14347" width="11.5546875" style="2589" customWidth="1"/>
    <col min="14348" max="14348" width="13.6640625" style="2589" customWidth="1"/>
    <col min="14349" max="14349" width="9.88671875" style="2589" customWidth="1"/>
    <col min="14350" max="14350" width="11.109375" style="2589" customWidth="1"/>
    <col min="14351" max="14351" width="9.109375" style="2589" customWidth="1"/>
    <col min="14352" max="14352" width="10.5546875" style="2589" customWidth="1"/>
    <col min="14353" max="14354" width="9.109375" style="2589" customWidth="1"/>
    <col min="14355" max="14355" width="11.33203125" style="2589" customWidth="1"/>
    <col min="14356" max="14356" width="9.109375" style="2589" customWidth="1"/>
    <col min="14357" max="14358" width="10.33203125" style="2589" customWidth="1"/>
    <col min="14359" max="14359" width="10.109375" style="2589" customWidth="1"/>
    <col min="14360" max="14382" width="9.109375" style="2589" customWidth="1"/>
    <col min="14383" max="14592" width="9.109375" style="2589"/>
    <col min="14593" max="14593" width="7.88671875" style="2589" customWidth="1"/>
    <col min="14594" max="14594" width="36.44140625" style="2589" customWidth="1"/>
    <col min="14595" max="14595" width="9.88671875" style="2589" customWidth="1"/>
    <col min="14596" max="14596" width="10.33203125" style="2589" customWidth="1"/>
    <col min="14597" max="14597" width="10" style="2589" customWidth="1"/>
    <col min="14598" max="14598" width="9.88671875" style="2589" customWidth="1"/>
    <col min="14599" max="14599" width="9.5546875" style="2589" customWidth="1"/>
    <col min="14600" max="14600" width="10" style="2589" customWidth="1"/>
    <col min="14601" max="14601" width="9.33203125" style="2589" customWidth="1"/>
    <col min="14602" max="14602" width="9.6640625" style="2589" customWidth="1"/>
    <col min="14603" max="14603" width="11.5546875" style="2589" customWidth="1"/>
    <col min="14604" max="14604" width="13.6640625" style="2589" customWidth="1"/>
    <col min="14605" max="14605" width="9.88671875" style="2589" customWidth="1"/>
    <col min="14606" max="14606" width="11.109375" style="2589" customWidth="1"/>
    <col min="14607" max="14607" width="9.109375" style="2589" customWidth="1"/>
    <col min="14608" max="14608" width="10.5546875" style="2589" customWidth="1"/>
    <col min="14609" max="14610" width="9.109375" style="2589" customWidth="1"/>
    <col min="14611" max="14611" width="11.33203125" style="2589" customWidth="1"/>
    <col min="14612" max="14612" width="9.109375" style="2589" customWidth="1"/>
    <col min="14613" max="14614" width="10.33203125" style="2589" customWidth="1"/>
    <col min="14615" max="14615" width="10.109375" style="2589" customWidth="1"/>
    <col min="14616" max="14638" width="9.109375" style="2589" customWidth="1"/>
    <col min="14639" max="14848" width="9.109375" style="2589"/>
    <col min="14849" max="14849" width="7.88671875" style="2589" customWidth="1"/>
    <col min="14850" max="14850" width="36.44140625" style="2589" customWidth="1"/>
    <col min="14851" max="14851" width="9.88671875" style="2589" customWidth="1"/>
    <col min="14852" max="14852" width="10.33203125" style="2589" customWidth="1"/>
    <col min="14853" max="14853" width="10" style="2589" customWidth="1"/>
    <col min="14854" max="14854" width="9.88671875" style="2589" customWidth="1"/>
    <col min="14855" max="14855" width="9.5546875" style="2589" customWidth="1"/>
    <col min="14856" max="14856" width="10" style="2589" customWidth="1"/>
    <col min="14857" max="14857" width="9.33203125" style="2589" customWidth="1"/>
    <col min="14858" max="14858" width="9.6640625" style="2589" customWidth="1"/>
    <col min="14859" max="14859" width="11.5546875" style="2589" customWidth="1"/>
    <col min="14860" max="14860" width="13.6640625" style="2589" customWidth="1"/>
    <col min="14861" max="14861" width="9.88671875" style="2589" customWidth="1"/>
    <col min="14862" max="14862" width="11.109375" style="2589" customWidth="1"/>
    <col min="14863" max="14863" width="9.109375" style="2589" customWidth="1"/>
    <col min="14864" max="14864" width="10.5546875" style="2589" customWidth="1"/>
    <col min="14865" max="14866" width="9.109375" style="2589" customWidth="1"/>
    <col min="14867" max="14867" width="11.33203125" style="2589" customWidth="1"/>
    <col min="14868" max="14868" width="9.109375" style="2589" customWidth="1"/>
    <col min="14869" max="14870" width="10.33203125" style="2589" customWidth="1"/>
    <col min="14871" max="14871" width="10.109375" style="2589" customWidth="1"/>
    <col min="14872" max="14894" width="9.109375" style="2589" customWidth="1"/>
    <col min="14895" max="15104" width="9.109375" style="2589"/>
    <col min="15105" max="15105" width="7.88671875" style="2589" customWidth="1"/>
    <col min="15106" max="15106" width="36.44140625" style="2589" customWidth="1"/>
    <col min="15107" max="15107" width="9.88671875" style="2589" customWidth="1"/>
    <col min="15108" max="15108" width="10.33203125" style="2589" customWidth="1"/>
    <col min="15109" max="15109" width="10" style="2589" customWidth="1"/>
    <col min="15110" max="15110" width="9.88671875" style="2589" customWidth="1"/>
    <col min="15111" max="15111" width="9.5546875" style="2589" customWidth="1"/>
    <col min="15112" max="15112" width="10" style="2589" customWidth="1"/>
    <col min="15113" max="15113" width="9.33203125" style="2589" customWidth="1"/>
    <col min="15114" max="15114" width="9.6640625" style="2589" customWidth="1"/>
    <col min="15115" max="15115" width="11.5546875" style="2589" customWidth="1"/>
    <col min="15116" max="15116" width="13.6640625" style="2589" customWidth="1"/>
    <col min="15117" max="15117" width="9.88671875" style="2589" customWidth="1"/>
    <col min="15118" max="15118" width="11.109375" style="2589" customWidth="1"/>
    <col min="15119" max="15119" width="9.109375" style="2589" customWidth="1"/>
    <col min="15120" max="15120" width="10.5546875" style="2589" customWidth="1"/>
    <col min="15121" max="15122" width="9.109375" style="2589" customWidth="1"/>
    <col min="15123" max="15123" width="11.33203125" style="2589" customWidth="1"/>
    <col min="15124" max="15124" width="9.109375" style="2589" customWidth="1"/>
    <col min="15125" max="15126" width="10.33203125" style="2589" customWidth="1"/>
    <col min="15127" max="15127" width="10.109375" style="2589" customWidth="1"/>
    <col min="15128" max="15150" width="9.109375" style="2589" customWidth="1"/>
    <col min="15151" max="15360" width="9.109375" style="2589"/>
    <col min="15361" max="15361" width="7.88671875" style="2589" customWidth="1"/>
    <col min="15362" max="15362" width="36.44140625" style="2589" customWidth="1"/>
    <col min="15363" max="15363" width="9.88671875" style="2589" customWidth="1"/>
    <col min="15364" max="15364" width="10.33203125" style="2589" customWidth="1"/>
    <col min="15365" max="15365" width="10" style="2589" customWidth="1"/>
    <col min="15366" max="15366" width="9.88671875" style="2589" customWidth="1"/>
    <col min="15367" max="15367" width="9.5546875" style="2589" customWidth="1"/>
    <col min="15368" max="15368" width="10" style="2589" customWidth="1"/>
    <col min="15369" max="15369" width="9.33203125" style="2589" customWidth="1"/>
    <col min="15370" max="15370" width="9.6640625" style="2589" customWidth="1"/>
    <col min="15371" max="15371" width="11.5546875" style="2589" customWidth="1"/>
    <col min="15372" max="15372" width="13.6640625" style="2589" customWidth="1"/>
    <col min="15373" max="15373" width="9.88671875" style="2589" customWidth="1"/>
    <col min="15374" max="15374" width="11.109375" style="2589" customWidth="1"/>
    <col min="15375" max="15375" width="9.109375" style="2589" customWidth="1"/>
    <col min="15376" max="15376" width="10.5546875" style="2589" customWidth="1"/>
    <col min="15377" max="15378" width="9.109375" style="2589" customWidth="1"/>
    <col min="15379" max="15379" width="11.33203125" style="2589" customWidth="1"/>
    <col min="15380" max="15380" width="9.109375" style="2589" customWidth="1"/>
    <col min="15381" max="15382" width="10.33203125" style="2589" customWidth="1"/>
    <col min="15383" max="15383" width="10.109375" style="2589" customWidth="1"/>
    <col min="15384" max="15406" width="9.109375" style="2589" customWidth="1"/>
    <col min="15407" max="15616" width="9.109375" style="2589"/>
    <col min="15617" max="15617" width="7.88671875" style="2589" customWidth="1"/>
    <col min="15618" max="15618" width="36.44140625" style="2589" customWidth="1"/>
    <col min="15619" max="15619" width="9.88671875" style="2589" customWidth="1"/>
    <col min="15620" max="15620" width="10.33203125" style="2589" customWidth="1"/>
    <col min="15621" max="15621" width="10" style="2589" customWidth="1"/>
    <col min="15622" max="15622" width="9.88671875" style="2589" customWidth="1"/>
    <col min="15623" max="15623" width="9.5546875" style="2589" customWidth="1"/>
    <col min="15624" max="15624" width="10" style="2589" customWidth="1"/>
    <col min="15625" max="15625" width="9.33203125" style="2589" customWidth="1"/>
    <col min="15626" max="15626" width="9.6640625" style="2589" customWidth="1"/>
    <col min="15627" max="15627" width="11.5546875" style="2589" customWidth="1"/>
    <col min="15628" max="15628" width="13.6640625" style="2589" customWidth="1"/>
    <col min="15629" max="15629" width="9.88671875" style="2589" customWidth="1"/>
    <col min="15630" max="15630" width="11.109375" style="2589" customWidth="1"/>
    <col min="15631" max="15631" width="9.109375" style="2589" customWidth="1"/>
    <col min="15632" max="15632" width="10.5546875" style="2589" customWidth="1"/>
    <col min="15633" max="15634" width="9.109375" style="2589" customWidth="1"/>
    <col min="15635" max="15635" width="11.33203125" style="2589" customWidth="1"/>
    <col min="15636" max="15636" width="9.109375" style="2589" customWidth="1"/>
    <col min="15637" max="15638" width="10.33203125" style="2589" customWidth="1"/>
    <col min="15639" max="15639" width="10.109375" style="2589" customWidth="1"/>
    <col min="15640" max="15662" width="9.109375" style="2589" customWidth="1"/>
    <col min="15663" max="15872" width="9.109375" style="2589"/>
    <col min="15873" max="15873" width="7.88671875" style="2589" customWidth="1"/>
    <col min="15874" max="15874" width="36.44140625" style="2589" customWidth="1"/>
    <col min="15875" max="15875" width="9.88671875" style="2589" customWidth="1"/>
    <col min="15876" max="15876" width="10.33203125" style="2589" customWidth="1"/>
    <col min="15877" max="15877" width="10" style="2589" customWidth="1"/>
    <col min="15878" max="15878" width="9.88671875" style="2589" customWidth="1"/>
    <col min="15879" max="15879" width="9.5546875" style="2589" customWidth="1"/>
    <col min="15880" max="15880" width="10" style="2589" customWidth="1"/>
    <col min="15881" max="15881" width="9.33203125" style="2589" customWidth="1"/>
    <col min="15882" max="15882" width="9.6640625" style="2589" customWidth="1"/>
    <col min="15883" max="15883" width="11.5546875" style="2589" customWidth="1"/>
    <col min="15884" max="15884" width="13.6640625" style="2589" customWidth="1"/>
    <col min="15885" max="15885" width="9.88671875" style="2589" customWidth="1"/>
    <col min="15886" max="15886" width="11.109375" style="2589" customWidth="1"/>
    <col min="15887" max="15887" width="9.109375" style="2589" customWidth="1"/>
    <col min="15888" max="15888" width="10.5546875" style="2589" customWidth="1"/>
    <col min="15889" max="15890" width="9.109375" style="2589" customWidth="1"/>
    <col min="15891" max="15891" width="11.33203125" style="2589" customWidth="1"/>
    <col min="15892" max="15892" width="9.109375" style="2589" customWidth="1"/>
    <col min="15893" max="15894" width="10.33203125" style="2589" customWidth="1"/>
    <col min="15895" max="15895" width="10.109375" style="2589" customWidth="1"/>
    <col min="15896" max="15918" width="9.109375" style="2589" customWidth="1"/>
    <col min="15919" max="16128" width="9.109375" style="2589"/>
    <col min="16129" max="16129" width="7.88671875" style="2589" customWidth="1"/>
    <col min="16130" max="16130" width="36.44140625" style="2589" customWidth="1"/>
    <col min="16131" max="16131" width="9.88671875" style="2589" customWidth="1"/>
    <col min="16132" max="16132" width="10.33203125" style="2589" customWidth="1"/>
    <col min="16133" max="16133" width="10" style="2589" customWidth="1"/>
    <col min="16134" max="16134" width="9.88671875" style="2589" customWidth="1"/>
    <col min="16135" max="16135" width="9.5546875" style="2589" customWidth="1"/>
    <col min="16136" max="16136" width="10" style="2589" customWidth="1"/>
    <col min="16137" max="16137" width="9.33203125" style="2589" customWidth="1"/>
    <col min="16138" max="16138" width="9.6640625" style="2589" customWidth="1"/>
    <col min="16139" max="16139" width="11.5546875" style="2589" customWidth="1"/>
    <col min="16140" max="16140" width="13.6640625" style="2589" customWidth="1"/>
    <col min="16141" max="16141" width="9.88671875" style="2589" customWidth="1"/>
    <col min="16142" max="16142" width="11.109375" style="2589" customWidth="1"/>
    <col min="16143" max="16143" width="9.109375" style="2589" customWidth="1"/>
    <col min="16144" max="16144" width="10.5546875" style="2589" customWidth="1"/>
    <col min="16145" max="16146" width="9.109375" style="2589" customWidth="1"/>
    <col min="16147" max="16147" width="11.33203125" style="2589" customWidth="1"/>
    <col min="16148" max="16148" width="9.109375" style="2589" customWidth="1"/>
    <col min="16149" max="16150" width="10.33203125" style="2589" customWidth="1"/>
    <col min="16151" max="16151" width="10.109375" style="2589" customWidth="1"/>
    <col min="16152" max="16174" width="9.109375" style="2589" customWidth="1"/>
    <col min="16175" max="16384" width="9.109375" style="2589"/>
  </cols>
  <sheetData>
    <row r="1" spans="1:50" ht="15.6">
      <c r="A1" s="2583"/>
      <c r="B1" s="2583"/>
      <c r="C1" s="2583"/>
      <c r="D1" s="2584"/>
      <c r="E1" s="2583"/>
      <c r="F1" s="2584"/>
      <c r="G1" s="2583"/>
      <c r="H1" s="2736" t="s">
        <v>985</v>
      </c>
      <c r="K1" s="2593">
        <v>24879.768391399997</v>
      </c>
      <c r="L1" s="2737">
        <v>22293.2886</v>
      </c>
      <c r="N1" s="2737">
        <v>24879.768391399997</v>
      </c>
      <c r="P1" s="2589">
        <v>7786.2764676182242</v>
      </c>
      <c r="R1" s="2738" t="s">
        <v>2385</v>
      </c>
      <c r="Z1" s="2619" t="s">
        <v>2118</v>
      </c>
      <c r="AA1" s="2619"/>
      <c r="AB1" s="2619"/>
      <c r="AC1" s="2619"/>
      <c r="AF1" s="3056" t="s">
        <v>2540</v>
      </c>
      <c r="AG1" s="3056"/>
      <c r="AH1" s="3056"/>
      <c r="AI1" s="3056"/>
      <c r="AJ1" s="3056"/>
      <c r="AU1" s="3057" t="s">
        <v>2615</v>
      </c>
      <c r="AW1" s="2589" t="s">
        <v>2616</v>
      </c>
    </row>
    <row r="2" spans="1:50">
      <c r="A2" s="2583"/>
      <c r="B2" s="2583"/>
      <c r="C2" s="2583"/>
      <c r="D2" s="2584"/>
      <c r="E2" s="2583"/>
      <c r="F2" s="2584"/>
      <c r="G2" s="2583"/>
      <c r="H2" s="2583"/>
      <c r="K2" s="3133">
        <v>3.1777264628142001</v>
      </c>
      <c r="L2" s="2739">
        <v>3.9062940058463584</v>
      </c>
      <c r="N2" s="2739">
        <v>3.1777264628142001</v>
      </c>
      <c r="O2" s="2740">
        <v>-0.72856754303215832</v>
      </c>
      <c r="P2" s="2605">
        <v>-5.0968861338557047E-6</v>
      </c>
      <c r="AF2" s="3056" t="s">
        <v>2541</v>
      </c>
      <c r="AG2" s="3056"/>
      <c r="AH2" s="3056"/>
      <c r="AI2" s="3056"/>
      <c r="AJ2" s="3056"/>
      <c r="AW2" s="2589" t="s">
        <v>2617</v>
      </c>
      <c r="AX2" s="2589" t="s">
        <v>2618</v>
      </c>
    </row>
    <row r="3" spans="1:50">
      <c r="A3" s="2583"/>
      <c r="B3" s="2583"/>
      <c r="C3" s="2583"/>
      <c r="D3" s="2584"/>
      <c r="E3" s="2583"/>
      <c r="F3" s="2584"/>
      <c r="G3" s="2583"/>
      <c r="H3" s="2741" t="s">
        <v>986</v>
      </c>
      <c r="K3" s="2583"/>
      <c r="P3" s="2589">
        <v>-2.5484430669278524E-6</v>
      </c>
      <c r="AW3" s="2589" t="s">
        <v>901</v>
      </c>
    </row>
    <row r="4" spans="1:50" ht="15.6">
      <c r="A4" s="4001" t="s">
        <v>987</v>
      </c>
      <c r="B4" s="4001"/>
      <c r="C4" s="4001"/>
      <c r="D4" s="4001"/>
      <c r="E4" s="4001"/>
      <c r="F4" s="4001"/>
      <c r="G4" s="4001"/>
      <c r="H4" s="4001"/>
      <c r="K4" s="2583"/>
      <c r="L4" s="2737">
        <v>7016.3542959999995</v>
      </c>
      <c r="N4" s="2742">
        <v>0.93151607121511937</v>
      </c>
      <c r="O4" s="2737" t="s">
        <v>2119</v>
      </c>
      <c r="AW4" s="2589" t="s">
        <v>2382</v>
      </c>
    </row>
    <row r="5" spans="1:50" ht="15.6">
      <c r="A5" s="4001" t="s">
        <v>2936</v>
      </c>
      <c r="B5" s="4001"/>
      <c r="C5" s="4001"/>
      <c r="D5" s="4001"/>
      <c r="E5" s="4001"/>
      <c r="F5" s="4001"/>
      <c r="G5" s="4001"/>
      <c r="H5" s="4001"/>
      <c r="I5" s="2743"/>
      <c r="J5" s="2743"/>
      <c r="K5" s="2583" t="s">
        <v>2382</v>
      </c>
      <c r="L5" s="2737">
        <v>7016.3542959999995</v>
      </c>
      <c r="N5" s="2739">
        <v>0.93151607121511937</v>
      </c>
      <c r="O5" s="2737" t="s">
        <v>2120</v>
      </c>
    </row>
    <row r="6" spans="1:50" ht="12.75" customHeight="1">
      <c r="A6" s="4002" t="s">
        <v>616</v>
      </c>
      <c r="B6" s="2585" t="s">
        <v>2121</v>
      </c>
      <c r="C6" s="2586" t="s">
        <v>2122</v>
      </c>
      <c r="D6" s="2587"/>
      <c r="E6" s="2586" t="s">
        <v>2123</v>
      </c>
      <c r="F6" s="2587"/>
      <c r="G6" s="2586" t="s">
        <v>2937</v>
      </c>
      <c r="H6" s="2587"/>
      <c r="I6" s="4004" t="s">
        <v>2124</v>
      </c>
      <c r="J6" s="3999" t="s">
        <v>991</v>
      </c>
      <c r="K6" s="2584">
        <v>12315.699274300001</v>
      </c>
      <c r="L6" s="2588">
        <v>3.1634374467741706</v>
      </c>
      <c r="M6" s="2584">
        <v>12477.0351171</v>
      </c>
      <c r="N6" s="2588">
        <v>3.1634320147309714</v>
      </c>
      <c r="O6" s="2583">
        <v>24792.734391399998</v>
      </c>
      <c r="P6" s="2588">
        <v>3.1634009628142001</v>
      </c>
    </row>
    <row r="7" spans="1:50" ht="39.6">
      <c r="A7" s="4003"/>
      <c r="B7" s="2585"/>
      <c r="C7" s="2585" t="s">
        <v>988</v>
      </c>
      <c r="D7" s="2590" t="s">
        <v>989</v>
      </c>
      <c r="E7" s="2585" t="s">
        <v>988</v>
      </c>
      <c r="F7" s="2590" t="s">
        <v>989</v>
      </c>
      <c r="G7" s="2585" t="s">
        <v>988</v>
      </c>
      <c r="H7" s="2590" t="s">
        <v>989</v>
      </c>
      <c r="I7" s="4005"/>
      <c r="J7" s="4000"/>
      <c r="K7" s="2744">
        <v>7016.3542959999995</v>
      </c>
      <c r="L7" s="2744">
        <v>7.1669999999999998E-2</v>
      </c>
      <c r="M7" s="2746">
        <v>7016.3542959999995</v>
      </c>
      <c r="N7" s="2744">
        <v>7.1669999999999998E-2</v>
      </c>
      <c r="O7" s="2901">
        <v>22497.592000000004</v>
      </c>
      <c r="P7" s="2744">
        <v>3.8559999999999999</v>
      </c>
    </row>
    <row r="8" spans="1:50">
      <c r="A8" s="2591">
        <v>1</v>
      </c>
      <c r="B8" s="2591">
        <v>2</v>
      </c>
      <c r="C8" s="2592">
        <v>3</v>
      </c>
      <c r="D8" s="2592">
        <v>4</v>
      </c>
      <c r="E8" s="2592">
        <v>5</v>
      </c>
      <c r="F8" s="2592">
        <v>6</v>
      </c>
      <c r="G8" s="2592">
        <v>7</v>
      </c>
      <c r="H8" s="2592">
        <v>8</v>
      </c>
      <c r="I8" s="2745">
        <v>9</v>
      </c>
      <c r="J8" s="2745">
        <v>10</v>
      </c>
      <c r="K8" s="2744">
        <v>7016.3542959999995</v>
      </c>
      <c r="L8" s="2744">
        <v>0.93151607121511937</v>
      </c>
      <c r="M8" s="2746">
        <v>7016.3542959999995</v>
      </c>
      <c r="N8" s="2744">
        <v>0.93151607121511937</v>
      </c>
      <c r="O8" s="2901"/>
      <c r="P8" s="2744"/>
      <c r="R8" s="3058">
        <v>9430.2883914000013</v>
      </c>
      <c r="S8" s="3058">
        <v>1.1942409628142006</v>
      </c>
    </row>
    <row r="9" spans="1:50">
      <c r="A9" s="2594" t="s">
        <v>992</v>
      </c>
      <c r="B9" s="2595" t="s">
        <v>993</v>
      </c>
      <c r="C9" s="2596">
        <v>12358.066274300001</v>
      </c>
      <c r="D9" s="2597">
        <v>3.1777444467741707</v>
      </c>
      <c r="E9" s="2596">
        <v>12521.7021171</v>
      </c>
      <c r="F9" s="2597">
        <v>3.1777780147309711</v>
      </c>
      <c r="G9" s="2596">
        <v>24879.768391399997</v>
      </c>
      <c r="H9" s="2597">
        <v>3.1777264628142001</v>
      </c>
      <c r="I9" s="2745"/>
      <c r="J9" s="2745"/>
      <c r="K9" s="2744">
        <v>12469.699187331973</v>
      </c>
      <c r="L9" s="2744">
        <v>3.2064463348469414</v>
      </c>
      <c r="M9" s="2746">
        <v>12634.813546725454</v>
      </c>
      <c r="N9" s="2744">
        <v>3.2064824333057005</v>
      </c>
      <c r="O9" s="2901">
        <v>25104.512734057425</v>
      </c>
      <c r="P9" s="2744">
        <v>3.2064162413315414</v>
      </c>
      <c r="Q9" s="2593"/>
      <c r="S9" s="2589">
        <v>22941.249</v>
      </c>
      <c r="T9" s="2589">
        <v>3.907314483366763</v>
      </c>
      <c r="V9" s="2740"/>
    </row>
    <row r="10" spans="1:50">
      <c r="A10" s="2594"/>
      <c r="B10" s="2598" t="s">
        <v>994</v>
      </c>
      <c r="C10" s="2596"/>
      <c r="D10" s="2599"/>
      <c r="E10" s="2596"/>
      <c r="F10" s="2599"/>
      <c r="G10" s="2596"/>
      <c r="H10" s="2599"/>
      <c r="I10" s="2745"/>
      <c r="J10" s="2745"/>
      <c r="K10" s="2589">
        <v>11549.023000000001</v>
      </c>
      <c r="L10" s="2619">
        <v>3.916084759754737</v>
      </c>
      <c r="M10" s="2589">
        <v>11387.950999999999</v>
      </c>
      <c r="N10" s="2589">
        <v>3.896602982488993</v>
      </c>
      <c r="O10" s="2902">
        <v>22936.973000000002</v>
      </c>
      <c r="P10" s="2619">
        <v>3.9062938711218647</v>
      </c>
    </row>
    <row r="11" spans="1:50">
      <c r="A11" s="2594" t="s">
        <v>995</v>
      </c>
      <c r="B11" s="2598" t="s">
        <v>1015</v>
      </c>
      <c r="C11" s="2593"/>
      <c r="D11" s="2599"/>
      <c r="E11" s="2593"/>
      <c r="F11" s="2599"/>
      <c r="G11" s="2593"/>
      <c r="H11" s="2599"/>
      <c r="I11" s="2745"/>
      <c r="J11" s="2745"/>
      <c r="K11" s="2593"/>
      <c r="L11" s="2746">
        <v>7829.4241755995672</v>
      </c>
      <c r="O11" s="2902">
        <v>1942.7953913999954</v>
      </c>
      <c r="P11" s="2747">
        <v>-0.72856740830766453</v>
      </c>
      <c r="U11" s="3059" t="s">
        <v>2619</v>
      </c>
      <c r="V11" s="3059"/>
    </row>
    <row r="12" spans="1:50" ht="13.8">
      <c r="A12" s="2594" t="s">
        <v>996</v>
      </c>
      <c r="B12" s="2598" t="s">
        <v>997</v>
      </c>
      <c r="C12" s="2596">
        <v>12358.066274300001</v>
      </c>
      <c r="D12" s="2597">
        <v>3.1777444467741707</v>
      </c>
      <c r="E12" s="2596">
        <v>12521.7021171</v>
      </c>
      <c r="F12" s="2597">
        <v>3.1777780147309711</v>
      </c>
      <c r="G12" s="2596">
        <v>24879.768391399997</v>
      </c>
      <c r="H12" s="2597">
        <v>3.1777264628142001</v>
      </c>
      <c r="I12" s="2745"/>
      <c r="J12" s="2745"/>
      <c r="K12" s="3060">
        <v>2.980968334079138</v>
      </c>
      <c r="L12" s="3060" t="s">
        <v>2736</v>
      </c>
      <c r="M12" s="2600" t="s">
        <v>1543</v>
      </c>
      <c r="O12" s="2619">
        <v>3.9770000000000003</v>
      </c>
      <c r="P12" s="2748">
        <v>8.2122448979591841E-4</v>
      </c>
      <c r="U12" s="3059"/>
      <c r="V12" s="3059"/>
      <c r="AU12" s="2749">
        <v>3.1777264628142001</v>
      </c>
    </row>
    <row r="13" spans="1:50">
      <c r="A13" s="2594"/>
      <c r="B13" s="2598" t="s">
        <v>994</v>
      </c>
      <c r="C13" s="2596"/>
      <c r="D13" s="2599"/>
      <c r="E13" s="2596"/>
      <c r="F13" s="2599"/>
      <c r="G13" s="2596"/>
      <c r="H13" s="2599"/>
      <c r="I13" s="2745"/>
      <c r="J13" s="2745"/>
      <c r="K13" s="2600">
        <v>7837.3670245532448</v>
      </c>
      <c r="L13" s="2750"/>
      <c r="M13" s="2600" t="e">
        <v>#DIV/0!</v>
      </c>
      <c r="P13" s="2599" t="s">
        <v>2125</v>
      </c>
      <c r="U13" s="3059">
        <v>3.6752038589640519E-3</v>
      </c>
      <c r="V13" s="3061">
        <v>1.3247961410359482E-3</v>
      </c>
      <c r="AU13" s="2751">
        <v>2.9816464628142003</v>
      </c>
    </row>
    <row r="14" spans="1:50">
      <c r="A14" s="2594" t="s">
        <v>998</v>
      </c>
      <c r="B14" s="3062" t="s">
        <v>2542</v>
      </c>
      <c r="C14" s="3063">
        <v>12315.699274300001</v>
      </c>
      <c r="D14" s="3063">
        <v>3.1634374467741706</v>
      </c>
      <c r="E14" s="3063">
        <v>12477.0351171</v>
      </c>
      <c r="F14" s="3324">
        <v>3.1634320147309714</v>
      </c>
      <c r="G14" s="3063">
        <v>24792.734391399998</v>
      </c>
      <c r="H14" s="3064">
        <v>3.1634009628142001</v>
      </c>
      <c r="I14" s="3065"/>
      <c r="J14" s="2745"/>
      <c r="K14" s="2752" t="s">
        <v>641</v>
      </c>
      <c r="L14" s="3066">
        <v>3239.7343913999975</v>
      </c>
      <c r="M14" s="3066">
        <v>0.36340096281420031</v>
      </c>
      <c r="N14" s="2607">
        <v>3.8559999999999999</v>
      </c>
      <c r="O14" s="2601">
        <v>2.5443199999999999</v>
      </c>
      <c r="P14" s="2599">
        <v>0.69259903718579974</v>
      </c>
      <c r="Q14" s="3067">
        <v>7837.3670245532448</v>
      </c>
      <c r="R14" s="3067">
        <v>8854.5479969285716</v>
      </c>
      <c r="S14" s="2601">
        <v>7227.8498</v>
      </c>
      <c r="T14" s="2601">
        <v>1.5905992828395166</v>
      </c>
      <c r="U14" s="2601">
        <v>7293.0925339999994</v>
      </c>
      <c r="V14" s="2601">
        <v>1.5911627685103256</v>
      </c>
      <c r="W14" s="2601">
        <v>14520.942334000001</v>
      </c>
      <c r="X14" s="2601">
        <v>1.5908860256749213</v>
      </c>
      <c r="AU14" s="2605">
        <v>0.19839596281420047</v>
      </c>
      <c r="AV14" s="2751">
        <v>-0.3926400000000001</v>
      </c>
    </row>
    <row r="15" spans="1:50">
      <c r="A15" s="3134" t="s">
        <v>999</v>
      </c>
      <c r="B15" s="3093" t="s">
        <v>2543</v>
      </c>
      <c r="C15" s="3096">
        <v>0</v>
      </c>
      <c r="D15" s="3135">
        <v>0</v>
      </c>
      <c r="E15" s="3096">
        <v>0</v>
      </c>
      <c r="F15" s="3135">
        <v>0</v>
      </c>
      <c r="G15" s="3096">
        <v>0</v>
      </c>
      <c r="H15" s="3135">
        <v>0</v>
      </c>
      <c r="I15" s="2947"/>
      <c r="J15" s="2745"/>
      <c r="K15" s="3068">
        <v>6.1700011666130317E-2</v>
      </c>
      <c r="L15" s="3068">
        <v>6.1704492911687309E-2</v>
      </c>
      <c r="O15" s="2589">
        <v>3895.0872497956229</v>
      </c>
      <c r="Q15" s="2589">
        <v>7837.3670245532448</v>
      </c>
      <c r="S15" s="3069">
        <v>2.8302208209360726</v>
      </c>
      <c r="T15" s="2605">
        <v>-0.3331801418781275</v>
      </c>
    </row>
    <row r="16" spans="1:50">
      <c r="A16" s="3070" t="s">
        <v>999</v>
      </c>
      <c r="B16" s="3071" t="s">
        <v>2544</v>
      </c>
      <c r="C16" s="3072">
        <v>14.446</v>
      </c>
      <c r="D16" s="3073">
        <v>5.0000000000000001E-3</v>
      </c>
      <c r="E16" s="3072">
        <v>16.63</v>
      </c>
      <c r="F16" s="3074">
        <v>5.0000000000000001E-3</v>
      </c>
      <c r="G16" s="3072">
        <v>31.076000000000001</v>
      </c>
      <c r="H16" s="3073">
        <v>5.0000000000000001E-3</v>
      </c>
      <c r="I16" s="2947"/>
      <c r="J16" s="2745"/>
      <c r="K16" s="2602" t="s">
        <v>2128</v>
      </c>
      <c r="L16" s="2753"/>
      <c r="R16" s="2589">
        <v>2.3999999999999799E-2</v>
      </c>
      <c r="S16" s="2751">
        <v>0.3331801418781275</v>
      </c>
      <c r="T16" s="2614">
        <v>0.52926014187812753</v>
      </c>
    </row>
    <row r="17" spans="1:50">
      <c r="A17" s="2594" t="s">
        <v>2127</v>
      </c>
      <c r="B17" s="3062" t="s">
        <v>2361</v>
      </c>
      <c r="C17" s="3063">
        <v>27.920999999999999</v>
      </c>
      <c r="D17" s="3325">
        <v>9.3069999999999993E-3</v>
      </c>
      <c r="E17" s="3063">
        <v>28.036999999999999</v>
      </c>
      <c r="F17" s="3325">
        <v>9.3460000000000001E-3</v>
      </c>
      <c r="G17" s="3063">
        <v>55.957999999999998</v>
      </c>
      <c r="H17" s="3325">
        <v>9.3255000000000005E-3</v>
      </c>
      <c r="I17" s="2947"/>
      <c r="J17" s="2745"/>
      <c r="K17" s="2602">
        <v>56.457410107526883</v>
      </c>
      <c r="L17" s="2753"/>
      <c r="N17" s="2605">
        <v>-3.648395997046805E-5</v>
      </c>
      <c r="O17" s="2605">
        <v>-3.1051916771218657E-5</v>
      </c>
      <c r="T17" s="2605">
        <v>1535.0820000000001</v>
      </c>
    </row>
    <row r="18" spans="1:50">
      <c r="A18" s="2594" t="s">
        <v>263</v>
      </c>
      <c r="B18" s="2598"/>
      <c r="C18" s="2596"/>
      <c r="D18" s="2607"/>
      <c r="E18" s="2596"/>
      <c r="F18" s="2607"/>
      <c r="G18" s="2596"/>
      <c r="H18" s="2607"/>
      <c r="I18" s="2745"/>
      <c r="J18" s="2745"/>
      <c r="K18" s="2602"/>
      <c r="L18" s="2904">
        <v>7837.3670245532448</v>
      </c>
      <c r="N18" s="3087">
        <v>-6.574766666666676E-2</v>
      </c>
      <c r="O18" s="3087">
        <v>6.5877666666666723E-2</v>
      </c>
      <c r="T18" s="2589">
        <v>7.1841335370370185E-2</v>
      </c>
      <c r="U18" s="2589">
        <v>15357.161643950036</v>
      </c>
    </row>
    <row r="19" spans="1:50">
      <c r="A19" s="2594" t="s">
        <v>1000</v>
      </c>
      <c r="B19" s="2598" t="s">
        <v>1001</v>
      </c>
      <c r="C19" s="3076">
        <v>762.49300000000005</v>
      </c>
      <c r="D19" s="3077">
        <v>0.19606999999999999</v>
      </c>
      <c r="E19" s="3076">
        <v>772.58900000000006</v>
      </c>
      <c r="F19" s="3077">
        <v>0.19606999999999997</v>
      </c>
      <c r="G19" s="3076">
        <v>1535.0820000000001</v>
      </c>
      <c r="H19" s="3077">
        <v>0.19608</v>
      </c>
      <c r="I19" s="2948"/>
      <c r="J19" s="2745"/>
      <c r="K19" s="3078">
        <v>762.49300000000005</v>
      </c>
      <c r="L19" s="3079">
        <v>0.19606999999999999</v>
      </c>
      <c r="M19" s="3078">
        <v>772.58900000000006</v>
      </c>
      <c r="N19" s="3079">
        <v>0.19606999999999999</v>
      </c>
      <c r="O19" s="3078">
        <v>1535.0820000000001</v>
      </c>
      <c r="P19" s="3079">
        <v>0.19606000000000001</v>
      </c>
      <c r="Q19" s="3080" t="s">
        <v>2620</v>
      </c>
      <c r="R19" s="3080"/>
      <c r="T19" s="2589">
        <v>1103.279</v>
      </c>
      <c r="AU19" s="2754">
        <v>6.1700011666130317E-2</v>
      </c>
      <c r="AV19" s="2754">
        <v>6.1704492911687309E-2</v>
      </c>
    </row>
    <row r="20" spans="1:50" ht="26.4">
      <c r="A20" s="2603" t="s">
        <v>1002</v>
      </c>
      <c r="B20" s="2598" t="s">
        <v>1003</v>
      </c>
      <c r="C20" s="2596">
        <v>11595.573274300001</v>
      </c>
      <c r="D20" s="2599">
        <v>2.9816744467741705</v>
      </c>
      <c r="E20" s="2596">
        <v>11749.1131171</v>
      </c>
      <c r="F20" s="2599">
        <v>2.9817080147309709</v>
      </c>
      <c r="G20" s="2596">
        <v>23344.686391399999</v>
      </c>
      <c r="H20" s="2599">
        <v>2.9816464628142003</v>
      </c>
      <c r="I20" s="2745"/>
      <c r="J20" s="2745"/>
      <c r="K20" s="2946">
        <v>6.1704492911687309E-2</v>
      </c>
      <c r="L20" s="2946">
        <v>6.1700011666130317E-2</v>
      </c>
      <c r="M20" s="2604"/>
      <c r="N20" s="2605"/>
      <c r="O20" s="2755">
        <v>1535.0820000000001</v>
      </c>
      <c r="P20" s="2756">
        <v>0.19606999999999999</v>
      </c>
      <c r="R20" s="2754">
        <v>6.1700011666130317E-2</v>
      </c>
      <c r="S20" s="2754">
        <v>6.1704492911687309E-2</v>
      </c>
    </row>
    <row r="21" spans="1:50" ht="13.8">
      <c r="A21" s="2594"/>
      <c r="B21" s="2598" t="s">
        <v>643</v>
      </c>
      <c r="C21" s="2596"/>
      <c r="D21" s="2599"/>
      <c r="E21" s="2596"/>
      <c r="F21" s="2599"/>
      <c r="G21" s="2596"/>
      <c r="H21" s="2606"/>
      <c r="I21" s="2745"/>
      <c r="J21" s="2008"/>
      <c r="K21" s="3060">
        <v>-0.18246911269503263</v>
      </c>
      <c r="L21" s="3060">
        <v>-0.18246368065183338</v>
      </c>
      <c r="M21" s="3060">
        <v>-0.18243262873506216</v>
      </c>
      <c r="N21" s="3060">
        <v>-0.18246639667343301</v>
      </c>
    </row>
    <row r="22" spans="1:50">
      <c r="A22" s="2594" t="s">
        <v>1004</v>
      </c>
      <c r="B22" s="3052" t="s">
        <v>1005</v>
      </c>
      <c r="C22" s="3053">
        <v>4670.3632742999998</v>
      </c>
      <c r="D22" s="3054">
        <v>1.3117269007777985</v>
      </c>
      <c r="E22" s="3053">
        <v>5239.9851171</v>
      </c>
      <c r="F22" s="3054">
        <v>1.3117226350989419</v>
      </c>
      <c r="G22" s="3053">
        <v>9910.3483913999989</v>
      </c>
      <c r="H22" s="3054">
        <v>1.31168</v>
      </c>
      <c r="I22" s="2948"/>
      <c r="J22" s="2008"/>
      <c r="K22" s="3081">
        <v>9910.3483914000008</v>
      </c>
      <c r="L22" s="3136">
        <v>1.3117247679383703</v>
      </c>
      <c r="M22" s="3081">
        <v>7555.204135526109</v>
      </c>
      <c r="N22" s="3082">
        <v>7555.4619963710657</v>
      </c>
      <c r="O22" s="2605">
        <v>0</v>
      </c>
      <c r="P22" s="2599">
        <v>2.0042790371857997</v>
      </c>
      <c r="AU22" s="3083"/>
      <c r="AV22" s="3083">
        <v>10742.60678870753</v>
      </c>
      <c r="AW22" s="3083">
        <v>1.3414190018373007</v>
      </c>
      <c r="AX22" s="3083"/>
    </row>
    <row r="23" spans="1:50">
      <c r="A23" s="2594" t="s">
        <v>1006</v>
      </c>
      <c r="B23" s="2598" t="s">
        <v>1007</v>
      </c>
      <c r="C23" s="2596">
        <v>6925.21</v>
      </c>
      <c r="D23" s="2599">
        <v>1.669947545996372</v>
      </c>
      <c r="E23" s="2596">
        <v>6509.1279999999997</v>
      </c>
      <c r="F23" s="2599">
        <v>1.669985379632029</v>
      </c>
      <c r="G23" s="2596">
        <v>13434.338000000002</v>
      </c>
      <c r="H23" s="2599">
        <v>1.6699664628142004</v>
      </c>
      <c r="I23" s="2596">
        <v>0</v>
      </c>
      <c r="J23" s="2599">
        <v>0</v>
      </c>
      <c r="K23" s="2605">
        <v>9910.3483913999989</v>
      </c>
      <c r="L23" s="2614">
        <v>1.31168</v>
      </c>
      <c r="N23" s="2604"/>
      <c r="O23" s="2614">
        <v>1.0016799999999999</v>
      </c>
    </row>
    <row r="24" spans="1:50">
      <c r="A24" s="2594" t="s">
        <v>2364</v>
      </c>
      <c r="B24" s="2598" t="s">
        <v>643</v>
      </c>
      <c r="C24" s="2596"/>
      <c r="D24" s="2599"/>
      <c r="E24" s="2596"/>
      <c r="F24" s="2599"/>
      <c r="G24" s="2596"/>
      <c r="H24" s="2606"/>
      <c r="I24" s="2745"/>
      <c r="J24" s="2745"/>
      <c r="L24" s="2600" t="s">
        <v>1240</v>
      </c>
      <c r="O24" s="2589">
        <v>9893.7269301573378</v>
      </c>
    </row>
    <row r="25" spans="1:50">
      <c r="A25" s="2594" t="s">
        <v>263</v>
      </c>
      <c r="B25" s="2598"/>
      <c r="C25" s="2596"/>
      <c r="D25" s="2599"/>
      <c r="E25" s="2596"/>
      <c r="F25" s="2599"/>
      <c r="G25" s="2596"/>
      <c r="H25" s="2606"/>
      <c r="I25" s="2745"/>
      <c r="J25" s="2745"/>
      <c r="K25" s="3084">
        <v>2.5834329558589886E-2</v>
      </c>
      <c r="L25" s="3085">
        <v>3.4292771593079419E-2</v>
      </c>
      <c r="M25" s="3084">
        <v>3.0053550575834365E-2</v>
      </c>
      <c r="O25" s="2601">
        <v>10742.60678870753</v>
      </c>
      <c r="P25" s="2614">
        <v>1.3414190018373007</v>
      </c>
    </row>
    <row r="26" spans="1:50" ht="12.75" hidden="1" customHeight="1">
      <c r="A26" s="3051" t="s">
        <v>1275</v>
      </c>
      <c r="B26" s="3052" t="s">
        <v>2129</v>
      </c>
      <c r="C26" s="3053"/>
      <c r="D26" s="3054"/>
      <c r="E26" s="3053"/>
      <c r="F26" s="3054"/>
      <c r="G26" s="3053"/>
      <c r="H26" s="3054"/>
      <c r="I26" s="2745"/>
      <c r="J26" s="2745"/>
      <c r="L26" s="2600" t="e">
        <v>#DIV/0!</v>
      </c>
    </row>
    <row r="27" spans="1:50" ht="25.5" hidden="1" customHeight="1">
      <c r="A27" s="2757" t="s">
        <v>1277</v>
      </c>
      <c r="B27" s="2598" t="s">
        <v>2362</v>
      </c>
      <c r="C27" s="2596"/>
      <c r="D27" s="2599"/>
      <c r="E27" s="2596"/>
      <c r="F27" s="2599"/>
      <c r="G27" s="2596"/>
      <c r="H27" s="2606"/>
      <c r="I27" s="2745"/>
      <c r="J27" s="2745"/>
    </row>
    <row r="28" spans="1:50">
      <c r="A28" s="2594" t="s">
        <v>1275</v>
      </c>
      <c r="B28" s="2598" t="s">
        <v>1270</v>
      </c>
      <c r="C28" s="2596">
        <v>409.05799999999999</v>
      </c>
      <c r="D28" s="2599">
        <v>9.2999999999999999E-2</v>
      </c>
      <c r="E28" s="2596">
        <v>398.76600000000002</v>
      </c>
      <c r="F28" s="2599">
        <v>9.2999999999999999E-2</v>
      </c>
      <c r="G28" s="2596">
        <v>807.82400000000007</v>
      </c>
      <c r="H28" s="2607">
        <v>9.2999999999999999E-2</v>
      </c>
      <c r="I28" s="2758"/>
      <c r="J28" s="2745"/>
      <c r="K28" s="2589">
        <v>0.19606999999999997</v>
      </c>
      <c r="O28" s="2614">
        <v>1.31168</v>
      </c>
    </row>
    <row r="29" spans="1:50" ht="26.4">
      <c r="A29" s="2757" t="s">
        <v>1277</v>
      </c>
      <c r="B29" s="2598" t="s">
        <v>2362</v>
      </c>
      <c r="C29" s="2596"/>
      <c r="D29" s="2599"/>
      <c r="E29" s="2596"/>
      <c r="F29" s="2599"/>
      <c r="G29" s="2596"/>
      <c r="H29" s="2606"/>
      <c r="I29" s="2745"/>
      <c r="J29" s="2745"/>
      <c r="K29" s="2604">
        <v>7786.2764676182242</v>
      </c>
      <c r="L29" s="2604">
        <v>7888.2903498471978</v>
      </c>
      <c r="M29" s="2604">
        <v>7837.3670245532448</v>
      </c>
    </row>
    <row r="30" spans="1:50">
      <c r="A30" s="3137" t="s">
        <v>2366</v>
      </c>
      <c r="B30" s="3138" t="s">
        <v>2848</v>
      </c>
      <c r="C30" s="3076">
        <v>1329.5</v>
      </c>
      <c r="D30" s="3076">
        <v>0.30399999999999999</v>
      </c>
      <c r="E30" s="3076">
        <v>1329.5</v>
      </c>
      <c r="F30" s="3076">
        <v>0.30399999999999999</v>
      </c>
      <c r="G30" s="3076">
        <v>2659</v>
      </c>
      <c r="H30" s="3076">
        <v>0.30399999999999999</v>
      </c>
      <c r="I30" s="2745"/>
      <c r="J30" s="2745"/>
    </row>
    <row r="31" spans="1:50" ht="26.4">
      <c r="A31" s="2757" t="s">
        <v>2363</v>
      </c>
      <c r="B31" s="2598" t="s">
        <v>2365</v>
      </c>
      <c r="C31" s="2596"/>
      <c r="D31" s="2607"/>
      <c r="E31" s="2596"/>
      <c r="F31" s="2607"/>
      <c r="G31" s="2596"/>
      <c r="H31" s="2607"/>
      <c r="I31" s="2745"/>
      <c r="J31" s="2745"/>
      <c r="L31" s="3087" t="s">
        <v>2080</v>
      </c>
      <c r="M31" s="3088"/>
      <c r="N31" s="3088"/>
      <c r="AF31" s="3056" t="s">
        <v>963</v>
      </c>
      <c r="AG31" s="3056"/>
    </row>
    <row r="32" spans="1:50">
      <c r="A32" s="3055" t="s">
        <v>2367</v>
      </c>
      <c r="B32" s="3052" t="s">
        <v>2621</v>
      </c>
      <c r="C32" s="3053">
        <v>5177.67</v>
      </c>
      <c r="D32" s="3089">
        <v>1.2706199999999999</v>
      </c>
      <c r="E32" s="3053">
        <v>4771.7339999999995</v>
      </c>
      <c r="F32" s="3089">
        <v>1.2706199999999999</v>
      </c>
      <c r="G32" s="3053">
        <v>9949.4040000000005</v>
      </c>
      <c r="H32" s="3089">
        <v>1.2706199999999999</v>
      </c>
      <c r="I32" s="2745"/>
      <c r="J32" s="2745"/>
      <c r="K32" s="3139" t="s">
        <v>2623</v>
      </c>
      <c r="L32" s="3087">
        <v>9927.4110000000001</v>
      </c>
      <c r="M32" s="3087">
        <v>1.33318</v>
      </c>
      <c r="N32" s="3091">
        <v>21.993000000000393</v>
      </c>
      <c r="O32" s="3087">
        <v>-6.2560000000000171E-2</v>
      </c>
      <c r="AF32" s="3056">
        <v>7462.9112347920009</v>
      </c>
      <c r="AG32" s="3056" t="s">
        <v>1815</v>
      </c>
      <c r="AU32" s="2589">
        <v>7830.3536856023056</v>
      </c>
    </row>
    <row r="33" spans="1:47" ht="26.4">
      <c r="A33" s="2757" t="s">
        <v>2368</v>
      </c>
      <c r="B33" s="2598" t="s">
        <v>2369</v>
      </c>
      <c r="C33" s="2596"/>
      <c r="D33" s="2607"/>
      <c r="E33" s="2596"/>
      <c r="F33" s="2607"/>
      <c r="G33" s="2596"/>
      <c r="H33" s="2607"/>
      <c r="I33" s="2745"/>
      <c r="J33" s="2745"/>
      <c r="O33" s="2589" t="s">
        <v>2545</v>
      </c>
    </row>
    <row r="34" spans="1:47">
      <c r="A34" s="3326" t="s">
        <v>2938</v>
      </c>
      <c r="B34" s="3327" t="s">
        <v>2940</v>
      </c>
      <c r="C34" s="3328">
        <v>8.9819999999999993</v>
      </c>
      <c r="D34" s="3329">
        <v>2.3275459963721171E-3</v>
      </c>
      <c r="E34" s="3328">
        <v>9.1280000000000001</v>
      </c>
      <c r="F34" s="3329">
        <v>2.3653796320290232E-3</v>
      </c>
      <c r="G34" s="3328">
        <v>18.11</v>
      </c>
      <c r="H34" s="3329">
        <v>2.3464628142005704E-3</v>
      </c>
      <c r="I34" s="2745"/>
      <c r="J34" s="2745"/>
      <c r="K34" s="3139" t="s">
        <v>2623</v>
      </c>
      <c r="L34" s="3087">
        <v>0</v>
      </c>
      <c r="M34" s="3087">
        <v>0</v>
      </c>
      <c r="N34" s="3091">
        <v>18.11</v>
      </c>
      <c r="O34" s="3087">
        <v>2.3464628142005704E-3</v>
      </c>
      <c r="AF34" s="3056">
        <v>13.584062167149222</v>
      </c>
      <c r="AG34" s="3056" t="s">
        <v>1815</v>
      </c>
      <c r="AU34" s="2589">
        <v>7717.9999999999991</v>
      </c>
    </row>
    <row r="35" spans="1:47" ht="26.4">
      <c r="A35" s="2757" t="s">
        <v>2939</v>
      </c>
      <c r="B35" s="2598" t="s">
        <v>2369</v>
      </c>
      <c r="C35" s="2596"/>
      <c r="D35" s="2607"/>
      <c r="E35" s="2596"/>
      <c r="F35" s="2607"/>
      <c r="G35" s="2596"/>
      <c r="H35" s="2607"/>
      <c r="I35" s="2745"/>
      <c r="J35" s="2745"/>
      <c r="O35" s="2589" t="s">
        <v>2545</v>
      </c>
    </row>
    <row r="36" spans="1:47">
      <c r="A36" s="2608"/>
      <c r="B36" s="2598" t="s">
        <v>263</v>
      </c>
      <c r="C36" s="2596"/>
      <c r="D36" s="2607"/>
      <c r="E36" s="2596"/>
      <c r="F36" s="2607"/>
      <c r="G36" s="2596"/>
      <c r="H36" s="2607"/>
      <c r="I36" s="2745"/>
      <c r="J36" s="2745"/>
      <c r="O36" s="2589">
        <v>2.7797900000000002</v>
      </c>
    </row>
    <row r="37" spans="1:47">
      <c r="A37" s="2609" t="s">
        <v>1012</v>
      </c>
      <c r="B37" s="2598" t="s">
        <v>1013</v>
      </c>
      <c r="C37" s="2596"/>
      <c r="D37" s="2607"/>
      <c r="E37" s="2596"/>
      <c r="F37" s="2607"/>
      <c r="G37" s="2596"/>
      <c r="H37" s="2607"/>
      <c r="I37" s="2745"/>
      <c r="J37" s="2745"/>
      <c r="O37" s="2751">
        <v>2.7172299999999998</v>
      </c>
    </row>
    <row r="38" spans="1:47">
      <c r="A38" s="2594"/>
      <c r="B38" s="2598" t="s">
        <v>994</v>
      </c>
      <c r="C38" s="2596"/>
      <c r="D38" s="2607"/>
      <c r="E38" s="2596"/>
      <c r="F38" s="2607"/>
      <c r="G38" s="2596"/>
      <c r="H38" s="2607"/>
      <c r="I38" s="2745"/>
      <c r="J38" s="2745"/>
    </row>
    <row r="39" spans="1:47">
      <c r="A39" s="2594" t="s">
        <v>1014</v>
      </c>
      <c r="B39" s="2598" t="s">
        <v>1015</v>
      </c>
      <c r="C39" s="2596"/>
      <c r="D39" s="2607"/>
      <c r="E39" s="2596"/>
      <c r="F39" s="2607"/>
      <c r="G39" s="2596"/>
      <c r="H39" s="2607"/>
      <c r="I39" s="2745"/>
      <c r="J39" s="2745"/>
    </row>
    <row r="40" spans="1:47">
      <c r="A40" s="2594" t="s">
        <v>1016</v>
      </c>
      <c r="B40" s="2598" t="s">
        <v>997</v>
      </c>
      <c r="C40" s="2596"/>
      <c r="D40" s="2607"/>
      <c r="E40" s="2596"/>
      <c r="F40" s="2607"/>
      <c r="G40" s="2596"/>
      <c r="H40" s="2607"/>
      <c r="I40" s="2745"/>
      <c r="J40" s="2745"/>
    </row>
    <row r="41" spans="1:47">
      <c r="A41" s="2594"/>
      <c r="B41" s="2598" t="s">
        <v>994</v>
      </c>
      <c r="C41" s="2596"/>
      <c r="D41" s="2607"/>
      <c r="E41" s="2596"/>
      <c r="F41" s="2607"/>
      <c r="G41" s="2596"/>
      <c r="H41" s="2607"/>
      <c r="I41" s="2745"/>
      <c r="J41" s="2745"/>
    </row>
    <row r="42" spans="1:47">
      <c r="A42" s="2594" t="s">
        <v>1017</v>
      </c>
      <c r="B42" s="2598" t="s">
        <v>1018</v>
      </c>
      <c r="C42" s="2596"/>
      <c r="D42" s="2607"/>
      <c r="E42" s="2596"/>
      <c r="F42" s="2607"/>
      <c r="G42" s="2596"/>
      <c r="H42" s="2607"/>
      <c r="I42" s="2745"/>
      <c r="J42" s="2745"/>
    </row>
    <row r="43" spans="1:47">
      <c r="A43" s="2594" t="s">
        <v>1019</v>
      </c>
      <c r="B43" s="2598" t="s">
        <v>1020</v>
      </c>
      <c r="C43" s="2596"/>
      <c r="D43" s="2607"/>
      <c r="E43" s="2596"/>
      <c r="F43" s="2607"/>
      <c r="G43" s="2596"/>
      <c r="H43" s="2607"/>
      <c r="I43" s="2745"/>
      <c r="J43" s="2745"/>
    </row>
    <row r="44" spans="1:47">
      <c r="A44" s="2594"/>
      <c r="B44" s="2598" t="s">
        <v>263</v>
      </c>
      <c r="C44" s="2596"/>
      <c r="D44" s="2607"/>
      <c r="E44" s="2596"/>
      <c r="F44" s="2607"/>
      <c r="G44" s="2596"/>
      <c r="H44" s="2607"/>
      <c r="I44" s="2745"/>
      <c r="J44" s="2745"/>
    </row>
    <row r="45" spans="1:47">
      <c r="A45" s="2594" t="s">
        <v>1021</v>
      </c>
      <c r="B45" s="2598" t="s">
        <v>1022</v>
      </c>
      <c r="C45" s="2596"/>
      <c r="D45" s="2607"/>
      <c r="E45" s="2596"/>
      <c r="F45" s="2607"/>
      <c r="G45" s="2596"/>
      <c r="H45" s="2607"/>
      <c r="I45" s="2745"/>
      <c r="J45" s="2745"/>
    </row>
    <row r="46" spans="1:47">
      <c r="A46" s="2594" t="s">
        <v>1023</v>
      </c>
      <c r="B46" s="2598" t="s">
        <v>1024</v>
      </c>
      <c r="C46" s="2596"/>
      <c r="D46" s="2607"/>
      <c r="E46" s="2596"/>
      <c r="F46" s="2607"/>
      <c r="G46" s="2596"/>
      <c r="H46" s="2607"/>
      <c r="I46" s="2745"/>
      <c r="J46" s="2745"/>
    </row>
    <row r="47" spans="1:47">
      <c r="A47" s="2594"/>
      <c r="B47" s="2598" t="s">
        <v>643</v>
      </c>
      <c r="C47" s="2596"/>
      <c r="D47" s="2607"/>
      <c r="E47" s="2596"/>
      <c r="F47" s="2607"/>
      <c r="G47" s="2596"/>
      <c r="H47" s="2607"/>
      <c r="I47" s="2745"/>
      <c r="J47" s="2745"/>
    </row>
    <row r="48" spans="1:47">
      <c r="A48" s="2594" t="s">
        <v>1025</v>
      </c>
      <c r="B48" s="2598" t="s">
        <v>1005</v>
      </c>
      <c r="C48" s="2596"/>
      <c r="D48" s="2607"/>
      <c r="E48" s="2596"/>
      <c r="F48" s="2607"/>
      <c r="G48" s="2596"/>
      <c r="H48" s="2607"/>
      <c r="I48" s="2745"/>
      <c r="J48" s="2745"/>
    </row>
    <row r="49" spans="1:47">
      <c r="A49" s="2594" t="s">
        <v>1026</v>
      </c>
      <c r="B49" s="2598" t="s">
        <v>1007</v>
      </c>
      <c r="C49" s="2596"/>
      <c r="D49" s="2607"/>
      <c r="E49" s="2596"/>
      <c r="F49" s="2607"/>
      <c r="G49" s="2596"/>
      <c r="H49" s="2607"/>
      <c r="I49" s="2745"/>
      <c r="J49" s="2745"/>
    </row>
    <row r="50" spans="1:47">
      <c r="A50" s="2594"/>
      <c r="B50" s="2598" t="s">
        <v>643</v>
      </c>
      <c r="C50" s="2596"/>
      <c r="D50" s="2607"/>
      <c r="E50" s="2596"/>
      <c r="F50" s="2607"/>
      <c r="G50" s="2596"/>
      <c r="H50" s="2607"/>
      <c r="I50" s="2759"/>
      <c r="J50" s="2759"/>
    </row>
    <row r="51" spans="1:47">
      <c r="A51" s="2594" t="s">
        <v>1027</v>
      </c>
      <c r="B51" s="2598" t="s">
        <v>1018</v>
      </c>
      <c r="C51" s="2596"/>
      <c r="D51" s="2607"/>
      <c r="E51" s="2596"/>
      <c r="F51" s="2607"/>
      <c r="G51" s="2596"/>
      <c r="H51" s="2607"/>
      <c r="I51" s="2745"/>
      <c r="J51" s="2745"/>
    </row>
    <row r="52" spans="1:47" ht="26.4">
      <c r="A52" s="2603" t="s">
        <v>1028</v>
      </c>
      <c r="B52" s="2598" t="s">
        <v>1029</v>
      </c>
      <c r="C52" s="2596"/>
      <c r="D52" s="2607"/>
      <c r="E52" s="2596"/>
      <c r="F52" s="2607"/>
      <c r="G52" s="2596"/>
      <c r="H52" s="2607"/>
      <c r="I52" s="2745"/>
      <c r="J52" s="2745"/>
    </row>
    <row r="53" spans="1:47">
      <c r="A53" s="2609" t="s">
        <v>1030</v>
      </c>
      <c r="B53" s="2610" t="s">
        <v>1020</v>
      </c>
      <c r="C53" s="2611"/>
      <c r="D53" s="2612"/>
      <c r="E53" s="2611"/>
      <c r="F53" s="2612"/>
      <c r="G53" s="2611"/>
      <c r="H53" s="2612"/>
      <c r="I53" s="2745"/>
      <c r="J53" s="2745"/>
    </row>
    <row r="54" spans="1:47" ht="26.4">
      <c r="A54" s="2603" t="s">
        <v>1031</v>
      </c>
      <c r="B54" s="2598" t="s">
        <v>1032</v>
      </c>
      <c r="C54" s="2596"/>
      <c r="D54" s="2607"/>
      <c r="E54" s="2596"/>
      <c r="F54" s="2607"/>
      <c r="G54" s="2596"/>
      <c r="H54" s="2607"/>
      <c r="I54" s="2745"/>
      <c r="J54" s="2745"/>
    </row>
    <row r="55" spans="1:47">
      <c r="A55" s="2594"/>
      <c r="B55" s="2598" t="s">
        <v>263</v>
      </c>
      <c r="C55" s="2596"/>
      <c r="D55" s="2607"/>
      <c r="E55" s="2596"/>
      <c r="F55" s="2607"/>
      <c r="G55" s="2596"/>
      <c r="H55" s="2607"/>
      <c r="I55" s="2745"/>
      <c r="J55" s="2745"/>
    </row>
    <row r="56" spans="1:47">
      <c r="A56" s="2594" t="s">
        <v>1033</v>
      </c>
      <c r="B56" s="2598" t="s">
        <v>1034</v>
      </c>
      <c r="C56" s="2596"/>
      <c r="D56" s="2607"/>
      <c r="E56" s="2596"/>
      <c r="F56" s="2607"/>
      <c r="G56" s="2596"/>
      <c r="H56" s="2607"/>
      <c r="I56" s="2745"/>
      <c r="J56" s="2745"/>
    </row>
    <row r="57" spans="1:47">
      <c r="A57" s="2594" t="s">
        <v>1035</v>
      </c>
      <c r="B57" s="2613" t="s">
        <v>1036</v>
      </c>
      <c r="C57" s="2596"/>
      <c r="D57" s="2607"/>
      <c r="E57" s="2596"/>
      <c r="F57" s="2607"/>
      <c r="G57" s="2596"/>
      <c r="H57" s="2607"/>
      <c r="I57" s="2745"/>
      <c r="J57" s="2745"/>
    </row>
    <row r="58" spans="1:47">
      <c r="A58" s="2594" t="s">
        <v>1037</v>
      </c>
      <c r="B58" s="2613" t="s">
        <v>1038</v>
      </c>
      <c r="C58" s="2596"/>
      <c r="D58" s="2607"/>
      <c r="E58" s="2596"/>
      <c r="F58" s="2607"/>
      <c r="G58" s="2596"/>
      <c r="H58" s="2607"/>
      <c r="I58" s="2745"/>
      <c r="J58" s="2745"/>
    </row>
    <row r="59" spans="1:47">
      <c r="A59" s="2594" t="s">
        <v>1039</v>
      </c>
      <c r="B59" s="2613" t="s">
        <v>1040</v>
      </c>
      <c r="C59" s="2596"/>
      <c r="D59" s="2607"/>
      <c r="E59" s="2596"/>
      <c r="F59" s="2607"/>
      <c r="G59" s="2596"/>
      <c r="H59" s="2607"/>
      <c r="I59" s="2745"/>
      <c r="J59" s="2745"/>
    </row>
    <row r="60" spans="1:47">
      <c r="A60" s="2594" t="s">
        <v>1041</v>
      </c>
      <c r="B60" s="2613" t="s">
        <v>1042</v>
      </c>
      <c r="C60" s="2596"/>
      <c r="D60" s="2607"/>
      <c r="E60" s="2596"/>
      <c r="F60" s="2607"/>
      <c r="G60" s="2596"/>
      <c r="H60" s="2607"/>
      <c r="I60" s="2745"/>
      <c r="J60" s="2745"/>
    </row>
    <row r="61" spans="1:47" ht="26.4">
      <c r="A61" s="2594" t="s">
        <v>1043</v>
      </c>
      <c r="B61" s="2598" t="s">
        <v>1044</v>
      </c>
      <c r="C61" s="2596">
        <v>12315.699274300001</v>
      </c>
      <c r="D61" s="2607">
        <v>3.1634374467741706</v>
      </c>
      <c r="E61" s="2596">
        <v>12477.035117099998</v>
      </c>
      <c r="F61" s="2607">
        <v>3.1634320147309705</v>
      </c>
      <c r="G61" s="2596">
        <v>24792.734391400001</v>
      </c>
      <c r="H61" s="2607">
        <v>3.1634009628142001</v>
      </c>
      <c r="I61" s="2745"/>
      <c r="J61" s="2745"/>
      <c r="AU61" s="2605">
        <v>9399.212391400004</v>
      </c>
    </row>
    <row r="62" spans="1:47">
      <c r="A62" s="2594"/>
      <c r="B62" s="2598" t="s">
        <v>994</v>
      </c>
      <c r="C62" s="2596"/>
      <c r="D62" s="2607"/>
      <c r="E62" s="2596"/>
      <c r="F62" s="2607"/>
      <c r="G62" s="2596"/>
      <c r="H62" s="2607"/>
      <c r="I62" s="2745"/>
      <c r="J62" s="2745"/>
    </row>
    <row r="63" spans="1:47">
      <c r="A63" s="2594" t="s">
        <v>1045</v>
      </c>
      <c r="B63" s="2598" t="s">
        <v>1015</v>
      </c>
      <c r="C63" s="2760"/>
      <c r="D63" s="2607"/>
      <c r="E63" s="2760"/>
      <c r="F63" s="2607"/>
      <c r="G63" s="2760"/>
      <c r="H63" s="2607"/>
      <c r="I63" s="2761"/>
      <c r="J63" s="2761"/>
    </row>
    <row r="64" spans="1:47">
      <c r="A64" s="2609" t="s">
        <v>1046</v>
      </c>
      <c r="B64" s="2610" t="s">
        <v>997</v>
      </c>
      <c r="C64" s="2611">
        <v>12315.699274300001</v>
      </c>
      <c r="D64" s="2612">
        <v>3.1634374467741706</v>
      </c>
      <c r="E64" s="2611">
        <v>12477.035117099998</v>
      </c>
      <c r="F64" s="2612">
        <v>3.1634320147309705</v>
      </c>
      <c r="G64" s="2611">
        <v>24792.734391400001</v>
      </c>
      <c r="H64" s="2612">
        <v>3.1634009628142001</v>
      </c>
      <c r="I64" s="2759"/>
      <c r="J64" s="2759"/>
    </row>
    <row r="65" spans="1:48">
      <c r="A65" s="2594"/>
      <c r="B65" s="2598" t="s">
        <v>994</v>
      </c>
      <c r="C65" s="2596"/>
      <c r="D65" s="2599"/>
      <c r="E65" s="2596"/>
      <c r="F65" s="2607"/>
      <c r="G65" s="2596"/>
      <c r="H65" s="2607"/>
      <c r="I65" s="2745"/>
      <c r="J65" s="2745"/>
      <c r="K65" s="2619" t="s">
        <v>2494</v>
      </c>
      <c r="L65" s="2619">
        <v>3.8559999999999999</v>
      </c>
    </row>
    <row r="66" spans="1:48">
      <c r="A66" s="2594" t="s">
        <v>1047</v>
      </c>
      <c r="B66" s="2598" t="s">
        <v>2542</v>
      </c>
      <c r="C66" s="2596">
        <v>12315.699274300001</v>
      </c>
      <c r="D66" s="2607">
        <v>3.1634374467741706</v>
      </c>
      <c r="E66" s="2596">
        <v>12477.035117099998</v>
      </c>
      <c r="F66" s="2607">
        <v>3.1634320147309705</v>
      </c>
      <c r="G66" s="2596">
        <v>24792.734391400001</v>
      </c>
      <c r="H66" s="2607">
        <v>3.1634009628142001</v>
      </c>
      <c r="I66" s="2745"/>
      <c r="J66" s="2745"/>
    </row>
    <row r="67" spans="1:48">
      <c r="A67" s="2594" t="s">
        <v>1048</v>
      </c>
      <c r="B67" s="2598" t="s">
        <v>1020</v>
      </c>
      <c r="C67" s="2596"/>
      <c r="D67" s="2599"/>
      <c r="E67" s="2596"/>
      <c r="F67" s="2599"/>
      <c r="G67" s="2596"/>
      <c r="H67" s="2599"/>
      <c r="I67" s="2745"/>
      <c r="J67" s="2745"/>
      <c r="K67" s="2601">
        <v>-5299.3449783000015</v>
      </c>
      <c r="L67" s="2614">
        <v>-3.0917674467741705</v>
      </c>
      <c r="M67" s="2601">
        <v>-5460.6808211000007</v>
      </c>
      <c r="N67" s="2614">
        <v>-3.0917620147309712</v>
      </c>
      <c r="O67" s="2601">
        <v>-2295.1423913999934</v>
      </c>
      <c r="P67" s="2614">
        <v>0.69259903718579974</v>
      </c>
    </row>
    <row r="68" spans="1:48">
      <c r="A68" s="2594"/>
      <c r="B68" s="2598" t="s">
        <v>263</v>
      </c>
      <c r="C68" s="2596"/>
      <c r="D68" s="2599"/>
      <c r="E68" s="2596"/>
      <c r="F68" s="2599"/>
      <c r="G68" s="2596"/>
      <c r="H68" s="2599"/>
      <c r="I68" s="2745"/>
      <c r="J68" s="2745"/>
      <c r="K68" s="2601">
        <v>7.0967742067296058E-4</v>
      </c>
      <c r="L68" s="2614">
        <v>-2.2172266893560888E-4</v>
      </c>
      <c r="M68" s="2601">
        <v>6.3440860139962751E-4</v>
      </c>
      <c r="N68" s="2614">
        <v>3.8830107013332338E-5</v>
      </c>
      <c r="O68" s="2601">
        <v>3.4408602368785068E-4</v>
      </c>
      <c r="P68" s="2614">
        <v>-1.4144628096124379E-4</v>
      </c>
    </row>
    <row r="69" spans="1:48">
      <c r="A69" s="2594" t="s">
        <v>1049</v>
      </c>
      <c r="B69" s="2598" t="s">
        <v>1022</v>
      </c>
      <c r="C69" s="3076">
        <v>483.67600000000004</v>
      </c>
      <c r="D69" s="3077">
        <v>0.12114</v>
      </c>
      <c r="E69" s="3076">
        <v>464.745</v>
      </c>
      <c r="F69" s="3077">
        <v>0.12210999999999998</v>
      </c>
      <c r="G69" s="2596">
        <v>948.42100000000005</v>
      </c>
      <c r="H69" s="2767">
        <v>0.12163</v>
      </c>
      <c r="I69" s="2745"/>
      <c r="J69" s="2745"/>
      <c r="K69" s="2604">
        <v>3992.7026580815591</v>
      </c>
      <c r="L69" s="2752">
        <v>3.9273125238557853E-2</v>
      </c>
      <c r="M69" s="2752" t="s">
        <v>641</v>
      </c>
      <c r="N69" s="2752">
        <v>3.8293787071253527E-2</v>
      </c>
    </row>
    <row r="70" spans="1:48">
      <c r="A70" s="2594" t="s">
        <v>1050</v>
      </c>
      <c r="B70" s="2598" t="s">
        <v>1024</v>
      </c>
      <c r="C70" s="2596">
        <v>7366.2539999999999</v>
      </c>
      <c r="D70" s="2599">
        <v>1.8451412939602609</v>
      </c>
      <c r="E70" s="2596">
        <v>7078.8469999999998</v>
      </c>
      <c r="F70" s="2599">
        <v>1.8600028296653339</v>
      </c>
      <c r="G70" s="2596">
        <v>14445.100999999999</v>
      </c>
      <c r="H70" s="2599">
        <v>1.8525299999999998</v>
      </c>
      <c r="I70" s="2745"/>
      <c r="J70" s="2745"/>
      <c r="K70" s="3092">
        <v>7797.4990958311073</v>
      </c>
      <c r="L70" s="2621">
        <v>7797.4990958311073</v>
      </c>
      <c r="M70" s="2752" t="s">
        <v>963</v>
      </c>
    </row>
    <row r="71" spans="1:48">
      <c r="A71" s="2594"/>
      <c r="B71" s="2598" t="s">
        <v>643</v>
      </c>
      <c r="C71" s="2616"/>
      <c r="D71" s="2617"/>
      <c r="E71" s="2616"/>
      <c r="F71" s="2617"/>
      <c r="G71" s="2616"/>
      <c r="H71" s="2617"/>
      <c r="I71" s="2745"/>
      <c r="J71" s="2745"/>
      <c r="K71" s="3092">
        <v>7797.5910548384445</v>
      </c>
      <c r="M71" s="2601"/>
      <c r="N71" s="2762"/>
    </row>
    <row r="72" spans="1:48">
      <c r="A72" s="2594" t="s">
        <v>1051</v>
      </c>
      <c r="B72" s="3093" t="s">
        <v>1005</v>
      </c>
      <c r="C72" s="3064">
        <v>1952.2449999999999</v>
      </c>
      <c r="D72" s="3140">
        <v>0.52391129396026104</v>
      </c>
      <c r="E72" s="3064">
        <v>2067.5239999999999</v>
      </c>
      <c r="F72" s="3140">
        <v>0.53877282966533413</v>
      </c>
      <c r="G72" s="3064">
        <v>4019.7689999999998</v>
      </c>
      <c r="H72" s="3094">
        <v>0.53129999999999999</v>
      </c>
      <c r="I72" s="2745"/>
      <c r="J72" s="2745"/>
      <c r="K72" s="3088" t="s">
        <v>2546</v>
      </c>
      <c r="L72" s="2742">
        <v>4019.7690000000002</v>
      </c>
      <c r="M72" s="2742">
        <v>0.53134206181279764</v>
      </c>
      <c r="N72" s="3095">
        <v>7565.9119141727833</v>
      </c>
      <c r="O72" s="2589">
        <v>0.45887773972602736</v>
      </c>
      <c r="AU72" s="3056">
        <v>3013.9821973075304</v>
      </c>
      <c r="AV72" s="3056">
        <v>0.34521143826238138</v>
      </c>
    </row>
    <row r="73" spans="1:48">
      <c r="A73" s="2594" t="s">
        <v>1052</v>
      </c>
      <c r="B73" s="2598" t="s">
        <v>1007</v>
      </c>
      <c r="C73" s="2596">
        <v>5414.009</v>
      </c>
      <c r="D73" s="2596">
        <v>1.3212299999999999</v>
      </c>
      <c r="E73" s="2596">
        <v>5011.3229999999994</v>
      </c>
      <c r="F73" s="2596">
        <v>1.3212299999999999</v>
      </c>
      <c r="G73" s="2596">
        <v>10425.331999999999</v>
      </c>
      <c r="H73" s="2599">
        <v>1.3212299999999999</v>
      </c>
      <c r="I73" s="2745"/>
      <c r="J73" s="2745"/>
      <c r="K73" s="3064">
        <v>2765.223</v>
      </c>
      <c r="L73" s="2621">
        <v>7890.6261589579399</v>
      </c>
      <c r="M73" s="2752" t="s">
        <v>963</v>
      </c>
    </row>
    <row r="74" spans="1:48" ht="12.75" hidden="1" customHeight="1">
      <c r="A74" s="2594"/>
      <c r="B74" s="2598" t="s">
        <v>643</v>
      </c>
      <c r="C74" s="2596"/>
      <c r="D74" s="2599"/>
      <c r="E74" s="2596"/>
      <c r="F74" s="2599"/>
      <c r="G74" s="2596"/>
      <c r="H74" s="2599"/>
      <c r="I74" s="2745"/>
      <c r="J74" s="2745"/>
      <c r="K74" s="3064">
        <v>1783.3489999999999</v>
      </c>
    </row>
    <row r="75" spans="1:48" ht="25.5" hidden="1" customHeight="1">
      <c r="A75" s="2594" t="s">
        <v>263</v>
      </c>
      <c r="B75" s="2598"/>
      <c r="C75" s="2596"/>
      <c r="D75" s="2599"/>
      <c r="E75" s="2596"/>
      <c r="F75" s="2599"/>
      <c r="G75" s="2596"/>
      <c r="H75" s="2599"/>
      <c r="I75" s="2745"/>
      <c r="J75" s="2745"/>
    </row>
    <row r="76" spans="1:48">
      <c r="A76" s="3051" t="s">
        <v>2370</v>
      </c>
      <c r="B76" s="3052" t="s">
        <v>2129</v>
      </c>
      <c r="C76" s="3053"/>
      <c r="D76" s="3054"/>
      <c r="E76" s="3053"/>
      <c r="F76" s="3054"/>
      <c r="G76" s="3053">
        <v>0</v>
      </c>
      <c r="H76" s="3054">
        <v>0</v>
      </c>
      <c r="I76" s="2745"/>
      <c r="J76" s="2745"/>
      <c r="L76" s="2621" t="e">
        <v>#DIV/0!</v>
      </c>
      <c r="M76" s="2752" t="s">
        <v>963</v>
      </c>
      <c r="N76" s="2763">
        <v>1.06</v>
      </c>
    </row>
    <row r="77" spans="1:48" ht="26.4">
      <c r="A77" s="2603" t="s">
        <v>2371</v>
      </c>
      <c r="B77" s="2598" t="s">
        <v>2372</v>
      </c>
      <c r="C77" s="2596"/>
      <c r="D77" s="2599"/>
      <c r="E77" s="2596"/>
      <c r="F77" s="2599"/>
      <c r="G77" s="2596"/>
      <c r="H77" s="2599"/>
      <c r="I77" s="2745"/>
      <c r="J77" s="2745"/>
    </row>
    <row r="78" spans="1:48">
      <c r="A78" s="2594" t="s">
        <v>2370</v>
      </c>
      <c r="B78" s="3093" t="s">
        <v>1281</v>
      </c>
      <c r="C78" s="3096">
        <v>409.05799999999999</v>
      </c>
      <c r="D78" s="3097">
        <v>9.2999999999999999E-2</v>
      </c>
      <c r="E78" s="3096">
        <v>398.76600000000002</v>
      </c>
      <c r="F78" s="3097">
        <v>9.2999999999999999E-2</v>
      </c>
      <c r="G78" s="3096">
        <v>807.82400000000007</v>
      </c>
      <c r="H78" s="3097">
        <v>9.2999999999999999E-2</v>
      </c>
      <c r="I78" s="3098"/>
      <c r="J78" s="3098"/>
      <c r="K78" s="3139" t="s">
        <v>2623</v>
      </c>
      <c r="L78" s="2621">
        <v>8686.2795698924747</v>
      </c>
      <c r="M78" s="2752" t="s">
        <v>963</v>
      </c>
      <c r="N78" s="2764"/>
      <c r="AU78" s="3056" t="s">
        <v>2508</v>
      </c>
    </row>
    <row r="79" spans="1:48" ht="26.4">
      <c r="A79" s="2603" t="s">
        <v>2371</v>
      </c>
      <c r="B79" s="2598" t="s">
        <v>2372</v>
      </c>
      <c r="C79" s="2596"/>
      <c r="D79" s="2599"/>
      <c r="E79" s="2596"/>
      <c r="F79" s="2599"/>
      <c r="G79" s="2596"/>
      <c r="H79" s="2599"/>
      <c r="I79" s="2745"/>
      <c r="J79" s="2745"/>
    </row>
    <row r="80" spans="1:48">
      <c r="A80" s="3141" t="s">
        <v>2373</v>
      </c>
      <c r="B80" s="3138" t="s">
        <v>2848</v>
      </c>
      <c r="C80" s="3076"/>
      <c r="D80" s="3142"/>
      <c r="E80" s="3076"/>
      <c r="F80" s="3142"/>
      <c r="G80" s="3076">
        <v>0</v>
      </c>
      <c r="H80" s="3142">
        <v>0</v>
      </c>
      <c r="I80" s="3099"/>
      <c r="J80" s="3099"/>
      <c r="K80" s="3090" t="s">
        <v>2623</v>
      </c>
      <c r="L80" s="2621" t="e">
        <v>#DIV/0!</v>
      </c>
      <c r="M80" s="2752" t="s">
        <v>963</v>
      </c>
      <c r="N80" s="2764"/>
      <c r="AU80" s="3056" t="s">
        <v>2508</v>
      </c>
    </row>
    <row r="81" spans="1:50" ht="26.4">
      <c r="A81" s="2603" t="s">
        <v>2374</v>
      </c>
      <c r="B81" s="2598" t="s">
        <v>2375</v>
      </c>
      <c r="C81" s="2596"/>
      <c r="D81" s="2607"/>
      <c r="E81" s="2596"/>
      <c r="F81" s="2607"/>
      <c r="G81" s="2596"/>
      <c r="H81" s="2607"/>
      <c r="I81" s="2745"/>
      <c r="J81" s="2745"/>
      <c r="AE81" s="2589" t="s">
        <v>963</v>
      </c>
      <c r="AF81" s="3100" t="s">
        <v>2547</v>
      </c>
      <c r="AG81" s="3100"/>
    </row>
    <row r="82" spans="1:50">
      <c r="A82" s="3101" t="s">
        <v>2376</v>
      </c>
      <c r="B82" s="3102" t="s">
        <v>2621</v>
      </c>
      <c r="C82" s="3103">
        <v>5004.951</v>
      </c>
      <c r="D82" s="3104">
        <v>1.2282299999999999</v>
      </c>
      <c r="E82" s="3103">
        <v>4612.5569999999998</v>
      </c>
      <c r="F82" s="3104">
        <v>1.2282299999999999</v>
      </c>
      <c r="G82" s="3103">
        <v>9617.5079999999998</v>
      </c>
      <c r="H82" s="3104">
        <v>1.2282299999999999</v>
      </c>
      <c r="I82" s="3105"/>
      <c r="J82" s="2745"/>
      <c r="K82" s="3090" t="s">
        <v>2623</v>
      </c>
      <c r="L82" s="2621">
        <v>7830.3803033633767</v>
      </c>
      <c r="M82" s="2752" t="s">
        <v>963</v>
      </c>
      <c r="N82" s="2764"/>
      <c r="AE82" s="2589">
        <v>7830.3803033633767</v>
      </c>
      <c r="AF82" s="3053">
        <v>4584.5169999999998</v>
      </c>
      <c r="AG82" s="3054">
        <v>2.4138000000000002</v>
      </c>
      <c r="AH82" s="3053">
        <v>4490.643</v>
      </c>
      <c r="AI82" s="3054">
        <v>2.40002</v>
      </c>
      <c r="AJ82" s="3053">
        <v>9075.16</v>
      </c>
      <c r="AK82" s="3054">
        <v>2.4069099999999999</v>
      </c>
      <c r="AU82" s="3106">
        <v>3127.44</v>
      </c>
      <c r="AV82" s="3106" t="s">
        <v>2622</v>
      </c>
      <c r="AW82" s="3107">
        <v>7830.3803033633767</v>
      </c>
      <c r="AX82" s="3106">
        <v>0.39939822573581429</v>
      </c>
    </row>
    <row r="83" spans="1:50" ht="26.4">
      <c r="A83" s="2603" t="s">
        <v>2377</v>
      </c>
      <c r="B83" s="2598" t="s">
        <v>2378</v>
      </c>
      <c r="C83" s="2596"/>
      <c r="D83" s="2607"/>
      <c r="E83" s="2596"/>
      <c r="F83" s="2607"/>
      <c r="G83" s="2596"/>
      <c r="H83" s="2607"/>
      <c r="I83" s="2745"/>
      <c r="J83" s="2745"/>
      <c r="AF83" s="3100" t="s">
        <v>2548</v>
      </c>
      <c r="AG83" s="3100"/>
    </row>
    <row r="84" spans="1:50">
      <c r="A84" s="2594"/>
      <c r="B84" s="2598" t="s">
        <v>263</v>
      </c>
      <c r="C84" s="2596"/>
      <c r="D84" s="2607"/>
      <c r="E84" s="2596"/>
      <c r="F84" s="2607"/>
      <c r="G84" s="2596"/>
      <c r="H84" s="2607"/>
      <c r="I84" s="2745"/>
      <c r="J84" s="2745"/>
      <c r="AF84" s="3053">
        <v>4754.4759999999997</v>
      </c>
      <c r="AG84" s="3054">
        <v>1.2769839616149667</v>
      </c>
      <c r="AH84" s="3053">
        <v>4320.6840000000002</v>
      </c>
      <c r="AI84" s="3054">
        <v>1.1604736612838937</v>
      </c>
      <c r="AJ84" s="3053">
        <v>9075.16</v>
      </c>
      <c r="AK84" s="3054">
        <v>1.2187288114494303</v>
      </c>
    </row>
    <row r="85" spans="1:50">
      <c r="A85" s="2594" t="s">
        <v>1057</v>
      </c>
      <c r="B85" s="2598" t="s">
        <v>1058</v>
      </c>
      <c r="C85" s="2596">
        <v>4465.7692742999998</v>
      </c>
      <c r="D85" s="2599">
        <v>1.1971561528139096</v>
      </c>
      <c r="E85" s="2596">
        <v>4933.4431170999987</v>
      </c>
      <c r="F85" s="2597">
        <v>1.1813191850656368</v>
      </c>
      <c r="G85" s="2596">
        <v>9399.2123914000022</v>
      </c>
      <c r="H85" s="2597">
        <v>1.1892409628142007</v>
      </c>
      <c r="I85" s="2745"/>
      <c r="J85" s="2745"/>
      <c r="AU85" s="2605">
        <v>311.22139140000036</v>
      </c>
    </row>
    <row r="86" spans="1:50">
      <c r="A86" s="2594" t="s">
        <v>1059</v>
      </c>
      <c r="B86" s="2613" t="s">
        <v>1038</v>
      </c>
      <c r="C86" s="2596"/>
      <c r="D86" s="2599"/>
      <c r="E86" s="2596"/>
      <c r="F86" s="2597"/>
      <c r="G86" s="2596"/>
      <c r="H86" s="2597"/>
      <c r="I86" s="2745"/>
      <c r="J86" s="2745"/>
    </row>
    <row r="87" spans="1:50">
      <c r="A87" s="2594" t="s">
        <v>1060</v>
      </c>
      <c r="B87" s="2613" t="s">
        <v>1040</v>
      </c>
      <c r="C87" s="2596">
        <v>4465.7692742999998</v>
      </c>
      <c r="D87" s="2599">
        <v>1.1971561528139096</v>
      </c>
      <c r="E87" s="2596">
        <v>4933.4431170999987</v>
      </c>
      <c r="F87" s="2597">
        <v>1.1813191850656368</v>
      </c>
      <c r="G87" s="2596">
        <v>9399.2123914000022</v>
      </c>
      <c r="H87" s="2597">
        <v>1.1892409628142007</v>
      </c>
      <c r="I87" s="2745"/>
      <c r="J87" s="2745"/>
      <c r="L87" s="2765"/>
      <c r="M87" s="2601"/>
    </row>
    <row r="88" spans="1:50">
      <c r="A88" s="2594" t="s">
        <v>1061</v>
      </c>
      <c r="B88" s="2613" t="s">
        <v>1042</v>
      </c>
      <c r="C88" s="2596"/>
      <c r="D88" s="2599"/>
      <c r="E88" s="2596"/>
      <c r="F88" s="2597"/>
      <c r="G88" s="2596"/>
      <c r="H88" s="2597"/>
      <c r="I88" s="2745"/>
      <c r="J88" s="2745"/>
      <c r="AU88" s="2605">
        <v>287.20739140000035</v>
      </c>
    </row>
    <row r="89" spans="1:50">
      <c r="A89" s="2594" t="s">
        <v>1062</v>
      </c>
      <c r="B89" s="2598" t="s">
        <v>1063</v>
      </c>
      <c r="C89" s="2596">
        <v>0</v>
      </c>
      <c r="D89" s="2599">
        <v>0</v>
      </c>
      <c r="E89" s="2596">
        <v>0</v>
      </c>
      <c r="F89" s="2597">
        <v>0</v>
      </c>
      <c r="G89" s="2596">
        <v>0</v>
      </c>
      <c r="H89" s="2597">
        <v>0</v>
      </c>
      <c r="I89" s="2745"/>
      <c r="J89" s="2745"/>
    </row>
    <row r="90" spans="1:50">
      <c r="A90" s="2594"/>
      <c r="B90" s="2598" t="s">
        <v>994</v>
      </c>
      <c r="C90" s="2596"/>
      <c r="D90" s="2599"/>
      <c r="E90" s="2596"/>
      <c r="F90" s="2607"/>
      <c r="G90" s="2596"/>
      <c r="H90" s="2607"/>
      <c r="I90" s="2745"/>
      <c r="J90" s="2745"/>
    </row>
    <row r="91" spans="1:50">
      <c r="A91" s="2594" t="s">
        <v>1064</v>
      </c>
      <c r="B91" s="2598" t="s">
        <v>1015</v>
      </c>
      <c r="C91" s="2596"/>
      <c r="D91" s="2607"/>
      <c r="E91" s="2596"/>
      <c r="F91" s="2607"/>
      <c r="G91" s="2596"/>
      <c r="H91" s="2607"/>
      <c r="I91" s="2745"/>
      <c r="J91" s="2745"/>
    </row>
    <row r="92" spans="1:50">
      <c r="A92" s="2594" t="s">
        <v>1065</v>
      </c>
      <c r="B92" s="2598" t="s">
        <v>997</v>
      </c>
      <c r="C92" s="2596">
        <v>0</v>
      </c>
      <c r="D92" s="2597">
        <v>0</v>
      </c>
      <c r="E92" s="2596">
        <v>0</v>
      </c>
      <c r="F92" s="2597">
        <v>0</v>
      </c>
      <c r="G92" s="2596">
        <v>0</v>
      </c>
      <c r="H92" s="2597">
        <v>0</v>
      </c>
      <c r="I92" s="2745"/>
      <c r="J92" s="2745"/>
    </row>
    <row r="93" spans="1:50">
      <c r="A93" s="2594"/>
      <c r="B93" s="2598" t="s">
        <v>1066</v>
      </c>
      <c r="C93" s="2596"/>
      <c r="D93" s="2607"/>
      <c r="E93" s="2596"/>
      <c r="F93" s="2607"/>
      <c r="G93" s="2596"/>
      <c r="H93" s="2607"/>
      <c r="I93" s="2745"/>
      <c r="J93" s="2745"/>
      <c r="K93" s="3114" t="s">
        <v>2875</v>
      </c>
    </row>
    <row r="94" spans="1:50">
      <c r="A94" s="3134" t="s">
        <v>1068</v>
      </c>
      <c r="B94" s="3093" t="s">
        <v>2543</v>
      </c>
      <c r="C94" s="3096"/>
      <c r="D94" s="3114"/>
      <c r="E94" s="3096"/>
      <c r="F94" s="3114"/>
      <c r="G94" s="3096">
        <v>0</v>
      </c>
      <c r="H94" s="3114">
        <v>0</v>
      </c>
      <c r="I94" s="2745"/>
      <c r="J94" s="2745"/>
      <c r="K94" s="3139" t="s">
        <v>2623</v>
      </c>
      <c r="L94" s="2618" t="e">
        <v>#DIV/0!</v>
      </c>
      <c r="X94" s="2619" t="s">
        <v>2130</v>
      </c>
      <c r="Y94" s="2619"/>
      <c r="AU94" s="3083" t="s">
        <v>2623</v>
      </c>
    </row>
    <row r="95" spans="1:50">
      <c r="A95" s="2594"/>
      <c r="B95" s="2598" t="s">
        <v>2379</v>
      </c>
      <c r="C95" s="2596"/>
      <c r="D95" s="2607"/>
      <c r="E95" s="2596"/>
      <c r="F95" s="2607"/>
      <c r="G95" s="2596"/>
      <c r="H95" s="2607"/>
      <c r="I95" s="2745"/>
      <c r="J95" s="2745"/>
    </row>
    <row r="96" spans="1:50">
      <c r="A96" s="2594" t="s">
        <v>263</v>
      </c>
      <c r="B96" s="2598" t="s">
        <v>263</v>
      </c>
      <c r="C96" s="2596"/>
      <c r="D96" s="2607"/>
      <c r="E96" s="2596"/>
      <c r="F96" s="2607"/>
      <c r="G96" s="2596"/>
      <c r="H96" s="2607"/>
      <c r="I96" s="2745"/>
      <c r="J96" s="2745"/>
    </row>
    <row r="97" spans="1:16">
      <c r="A97" s="2594" t="s">
        <v>1069</v>
      </c>
      <c r="B97" s="2598" t="s">
        <v>1022</v>
      </c>
      <c r="C97" s="2596"/>
      <c r="D97" s="2607"/>
      <c r="E97" s="2596"/>
      <c r="F97" s="2607"/>
      <c r="G97" s="2596"/>
      <c r="H97" s="2607"/>
      <c r="I97" s="2745"/>
      <c r="J97" s="2745"/>
    </row>
    <row r="98" spans="1:16">
      <c r="A98" s="2594" t="s">
        <v>1070</v>
      </c>
      <c r="B98" s="2598" t="s">
        <v>1024</v>
      </c>
      <c r="C98" s="2596"/>
      <c r="D98" s="2607"/>
      <c r="E98" s="2596"/>
      <c r="F98" s="2607"/>
      <c r="G98" s="2596"/>
      <c r="H98" s="2607"/>
      <c r="I98" s="2745"/>
      <c r="J98" s="2745"/>
    </row>
    <row r="99" spans="1:16">
      <c r="A99" s="2594"/>
      <c r="B99" s="2598" t="s">
        <v>643</v>
      </c>
      <c r="C99" s="2596"/>
      <c r="D99" s="2607"/>
      <c r="E99" s="2596"/>
      <c r="F99" s="2607"/>
      <c r="G99" s="2596"/>
      <c r="H99" s="2607"/>
      <c r="I99" s="2745"/>
      <c r="J99" s="2745"/>
    </row>
    <row r="100" spans="1:16">
      <c r="A100" s="2594" t="s">
        <v>1071</v>
      </c>
      <c r="B100" s="2598" t="s">
        <v>1005</v>
      </c>
      <c r="C100" s="2596"/>
      <c r="D100" s="2607"/>
      <c r="E100" s="2596"/>
      <c r="F100" s="2607"/>
      <c r="G100" s="2596"/>
      <c r="H100" s="2607"/>
      <c r="I100" s="2745"/>
      <c r="J100" s="2745"/>
    </row>
    <row r="101" spans="1:16">
      <c r="A101" s="2594" t="s">
        <v>1072</v>
      </c>
      <c r="B101" s="2598" t="s">
        <v>1007</v>
      </c>
      <c r="C101" s="2596"/>
      <c r="D101" s="2607"/>
      <c r="E101" s="2596"/>
      <c r="F101" s="2607"/>
      <c r="G101" s="2596"/>
      <c r="H101" s="2607"/>
      <c r="I101" s="2745"/>
      <c r="J101" s="2745"/>
    </row>
    <row r="102" spans="1:16">
      <c r="A102" s="2594"/>
      <c r="B102" s="2598" t="s">
        <v>643</v>
      </c>
      <c r="C102" s="2596"/>
      <c r="D102" s="2607"/>
      <c r="E102" s="2596"/>
      <c r="F102" s="2607"/>
      <c r="G102" s="2596"/>
      <c r="H102" s="2607"/>
      <c r="I102" s="2745"/>
      <c r="J102" s="2745"/>
    </row>
    <row r="103" spans="1:16">
      <c r="A103" s="2594" t="s">
        <v>1073</v>
      </c>
      <c r="B103" s="2598" t="s">
        <v>1018</v>
      </c>
      <c r="C103" s="2596"/>
      <c r="D103" s="2607"/>
      <c r="E103" s="2596"/>
      <c r="F103" s="2607"/>
      <c r="G103" s="2596"/>
      <c r="H103" s="2607"/>
      <c r="I103" s="2745"/>
      <c r="J103" s="2745"/>
    </row>
    <row r="104" spans="1:16" ht="26.4">
      <c r="A104" s="2603" t="s">
        <v>1074</v>
      </c>
      <c r="B104" s="2598" t="s">
        <v>1075</v>
      </c>
      <c r="C104" s="2596"/>
      <c r="D104" s="2607"/>
      <c r="E104" s="2596"/>
      <c r="F104" s="2607"/>
      <c r="G104" s="2596"/>
      <c r="H104" s="2607"/>
      <c r="I104" s="2745"/>
      <c r="J104" s="2745"/>
    </row>
    <row r="105" spans="1:16">
      <c r="A105" s="2594" t="s">
        <v>1076</v>
      </c>
      <c r="B105" s="2598" t="s">
        <v>1020</v>
      </c>
      <c r="C105" s="2596"/>
      <c r="D105" s="2607"/>
      <c r="E105" s="2596"/>
      <c r="F105" s="2607"/>
      <c r="G105" s="2596"/>
      <c r="H105" s="2607"/>
      <c r="I105" s="2745"/>
      <c r="J105" s="2745"/>
    </row>
    <row r="106" spans="1:16" ht="26.4">
      <c r="A106" s="2603" t="s">
        <v>1077</v>
      </c>
      <c r="B106" s="2598" t="s">
        <v>1078</v>
      </c>
      <c r="C106" s="2596"/>
      <c r="D106" s="2607"/>
      <c r="E106" s="2596"/>
      <c r="F106" s="2607"/>
      <c r="G106" s="2596"/>
      <c r="H106" s="2607"/>
      <c r="I106" s="2745"/>
      <c r="J106" s="2745"/>
    </row>
    <row r="107" spans="1:16">
      <c r="A107" s="2594"/>
      <c r="B107" s="2598" t="s">
        <v>263</v>
      </c>
      <c r="C107" s="2596"/>
      <c r="D107" s="2607"/>
      <c r="E107" s="2596"/>
      <c r="F107" s="2607"/>
      <c r="G107" s="2596"/>
      <c r="H107" s="2607"/>
      <c r="I107" s="2745"/>
      <c r="J107" s="2745"/>
    </row>
    <row r="108" spans="1:16">
      <c r="A108" s="2594" t="s">
        <v>1079</v>
      </c>
      <c r="B108" s="2598" t="s">
        <v>1080</v>
      </c>
      <c r="C108" s="2596"/>
      <c r="D108" s="2607"/>
      <c r="E108" s="2596"/>
      <c r="F108" s="2607"/>
      <c r="G108" s="2596"/>
      <c r="H108" s="2607"/>
      <c r="I108" s="2745"/>
      <c r="J108" s="2745"/>
    </row>
    <row r="109" spans="1:16">
      <c r="A109" s="2594" t="s">
        <v>1081</v>
      </c>
      <c r="B109" s="2613" t="s">
        <v>1040</v>
      </c>
      <c r="C109" s="2596">
        <v>0</v>
      </c>
      <c r="D109" s="2597">
        <v>0</v>
      </c>
      <c r="E109" s="2596">
        <v>0</v>
      </c>
      <c r="F109" s="2597">
        <v>0</v>
      </c>
      <c r="G109" s="2596">
        <v>0</v>
      </c>
      <c r="H109" s="2597">
        <v>0</v>
      </c>
      <c r="I109" s="2745"/>
      <c r="J109" s="2745"/>
      <c r="L109" s="2621" t="e">
        <v>#DIV/0!</v>
      </c>
    </row>
    <row r="110" spans="1:16">
      <c r="A110" s="2594" t="s">
        <v>1082</v>
      </c>
      <c r="B110" s="2613" t="s">
        <v>1042</v>
      </c>
      <c r="C110" s="2596"/>
      <c r="D110" s="2607"/>
      <c r="E110" s="2596"/>
      <c r="F110" s="2607"/>
      <c r="G110" s="2596"/>
      <c r="H110" s="2607"/>
      <c r="I110" s="2745"/>
      <c r="J110" s="2745"/>
    </row>
    <row r="111" spans="1:16">
      <c r="A111" s="2594" t="s">
        <v>1083</v>
      </c>
      <c r="B111" s="2598" t="s">
        <v>1084</v>
      </c>
      <c r="C111" s="2596">
        <v>4480.2152742999997</v>
      </c>
      <c r="D111" s="2599">
        <v>1.2021561528139095</v>
      </c>
      <c r="E111" s="2596">
        <v>4950.0731170999989</v>
      </c>
      <c r="F111" s="2599">
        <v>1.1863191850656367</v>
      </c>
      <c r="G111" s="2596">
        <v>9430.2883914000013</v>
      </c>
      <c r="H111" s="2599">
        <v>1.1942409628142006</v>
      </c>
      <c r="I111" s="2745"/>
      <c r="J111" s="2745"/>
      <c r="K111" s="2589" t="s">
        <v>847</v>
      </c>
      <c r="L111" s="2621">
        <v>7896.4703816370102</v>
      </c>
      <c r="M111" s="2737">
        <v>1.1971561528139096</v>
      </c>
    </row>
    <row r="112" spans="1:16">
      <c r="A112" s="2594"/>
      <c r="B112" s="2598" t="s">
        <v>994</v>
      </c>
      <c r="C112" s="2596"/>
      <c r="D112" s="2607"/>
      <c r="E112" s="2596"/>
      <c r="F112" s="2607"/>
      <c r="G112" s="2596"/>
      <c r="H112" s="2607"/>
      <c r="I112" s="2745"/>
      <c r="J112" s="2745"/>
      <c r="K112" s="2620">
        <v>4480.2152742999997</v>
      </c>
      <c r="L112" s="2620">
        <v>1.2021561528139095</v>
      </c>
      <c r="M112" s="2620">
        <v>4950.0731170999989</v>
      </c>
      <c r="N112" s="2620">
        <v>1.1863191850656367</v>
      </c>
      <c r="O112" s="2620">
        <v>9430.2883914000013</v>
      </c>
      <c r="P112" s="2620">
        <v>1.1942409628142006</v>
      </c>
    </row>
    <row r="113" spans="1:49">
      <c r="A113" s="2594" t="s">
        <v>1085</v>
      </c>
      <c r="B113" s="2598" t="s">
        <v>1015</v>
      </c>
      <c r="C113" s="2596"/>
      <c r="D113" s="2607"/>
      <c r="E113" s="2596"/>
      <c r="F113" s="2607"/>
      <c r="G113" s="2596"/>
      <c r="H113" s="2607"/>
      <c r="I113" s="2745"/>
      <c r="J113" s="2745"/>
    </row>
    <row r="114" spans="1:49">
      <c r="A114" s="2594" t="s">
        <v>1086</v>
      </c>
      <c r="B114" s="2598" t="s">
        <v>997</v>
      </c>
      <c r="C114" s="2596">
        <v>14.446</v>
      </c>
      <c r="D114" s="2597">
        <v>5.0000000000000001E-3</v>
      </c>
      <c r="E114" s="2596">
        <v>16.63</v>
      </c>
      <c r="F114" s="2597">
        <v>5.0000000000000001E-3</v>
      </c>
      <c r="G114" s="2596">
        <v>31.076000000000001</v>
      </c>
      <c r="H114" s="2597">
        <v>5.0000000000000001E-3</v>
      </c>
      <c r="I114" s="2745"/>
      <c r="J114" s="2745"/>
    </row>
    <row r="115" spans="1:49">
      <c r="A115" s="2594"/>
      <c r="B115" s="2598" t="s">
        <v>994</v>
      </c>
      <c r="C115" s="2596"/>
      <c r="D115" s="2607"/>
      <c r="E115" s="2596"/>
      <c r="F115" s="2607"/>
      <c r="G115" s="2596"/>
      <c r="H115" s="2607"/>
      <c r="I115" s="2745"/>
      <c r="J115" s="2745"/>
    </row>
    <row r="116" spans="1:49">
      <c r="A116" s="3070" t="s">
        <v>2380</v>
      </c>
      <c r="B116" s="3108" t="s">
        <v>2544</v>
      </c>
      <c r="C116" s="3109">
        <v>14.446</v>
      </c>
      <c r="D116" s="3110">
        <v>5.0000000000000001E-3</v>
      </c>
      <c r="E116" s="3109">
        <v>16.63</v>
      </c>
      <c r="F116" s="3110">
        <v>5.0000000000000001E-3</v>
      </c>
      <c r="G116" s="3109">
        <v>31.076000000000001</v>
      </c>
      <c r="H116" s="3110">
        <v>5.0000000000000001E-3</v>
      </c>
      <c r="I116" s="2745"/>
      <c r="J116" s="2745"/>
      <c r="K116" s="3139" t="s">
        <v>2623</v>
      </c>
      <c r="L116" s="2618">
        <v>7910.1223112610724</v>
      </c>
      <c r="M116" s="2589" t="s">
        <v>963</v>
      </c>
      <c r="AU116" s="3106" t="s">
        <v>2624</v>
      </c>
    </row>
    <row r="117" spans="1:49" ht="26.4">
      <c r="A117" s="3111" t="s">
        <v>2383</v>
      </c>
      <c r="B117" s="3112" t="s">
        <v>2384</v>
      </c>
      <c r="C117" s="3064"/>
      <c r="D117" s="3140"/>
      <c r="E117" s="3064"/>
      <c r="F117" s="3113"/>
      <c r="G117" s="3064">
        <v>0</v>
      </c>
      <c r="H117" s="3113">
        <v>0</v>
      </c>
      <c r="I117" s="2745"/>
      <c r="J117" s="2745"/>
      <c r="K117" s="2589">
        <v>2.56</v>
      </c>
      <c r="L117" s="2619">
        <v>8.1999999999999998E-4</v>
      </c>
      <c r="M117" s="2589">
        <v>2.66</v>
      </c>
      <c r="N117" s="2589">
        <v>8.1999999999999998E-4</v>
      </c>
      <c r="O117" s="2589">
        <v>5.2200000000000006</v>
      </c>
      <c r="P117" s="2589">
        <v>8.1999999999999998E-4</v>
      </c>
    </row>
    <row r="118" spans="1:49">
      <c r="A118" s="2594"/>
      <c r="B118" s="2598" t="s">
        <v>263</v>
      </c>
      <c r="C118" s="2596"/>
      <c r="D118" s="2607"/>
      <c r="E118" s="2596"/>
      <c r="F118" s="2607"/>
      <c r="G118" s="2596"/>
      <c r="H118" s="2607"/>
      <c r="I118" s="2745"/>
      <c r="J118" s="2745"/>
    </row>
    <row r="119" spans="1:49">
      <c r="A119" s="2594" t="s">
        <v>1089</v>
      </c>
      <c r="B119" s="2598" t="s">
        <v>1022</v>
      </c>
      <c r="C119" s="3076">
        <v>267.07600000000002</v>
      </c>
      <c r="D119" s="3077">
        <v>7.1669999999999998E-2</v>
      </c>
      <c r="E119" s="3076">
        <v>295.57100000000003</v>
      </c>
      <c r="F119" s="3077">
        <v>7.059E-2</v>
      </c>
      <c r="G119" s="2596">
        <v>562.64700000000005</v>
      </c>
      <c r="H119" s="2767">
        <v>7.1129999999999999E-2</v>
      </c>
      <c r="I119" s="2745"/>
      <c r="J119" s="2745"/>
      <c r="K119" s="2589">
        <v>7910.1223112610724</v>
      </c>
      <c r="L119" s="2752">
        <v>5.9612314062682768E-2</v>
      </c>
      <c r="M119" s="2752" t="s">
        <v>641</v>
      </c>
      <c r="N119" s="2752">
        <v>5.9617878952115066E-2</v>
      </c>
      <c r="P119" s="2589">
        <v>3726.4685363471472</v>
      </c>
    </row>
    <row r="120" spans="1:49">
      <c r="A120" s="2594" t="s">
        <v>1090</v>
      </c>
      <c r="B120" s="2598" t="s">
        <v>1024</v>
      </c>
      <c r="C120" s="2596">
        <v>4061.5389999999998</v>
      </c>
      <c r="D120" s="2599">
        <v>1.0899033941894538</v>
      </c>
      <c r="E120" s="2596">
        <v>4494.8809999999994</v>
      </c>
      <c r="F120" s="2599">
        <v>1.0735685860845732</v>
      </c>
      <c r="G120" s="2596">
        <v>8556.42</v>
      </c>
      <c r="H120" s="2599">
        <v>1.0817364628142006</v>
      </c>
      <c r="I120" s="2745"/>
      <c r="J120" s="2745"/>
      <c r="K120" s="2615"/>
      <c r="L120" s="2621">
        <v>7909.8933003885013</v>
      </c>
      <c r="M120" s="2752" t="s">
        <v>963</v>
      </c>
      <c r="N120" s="2601"/>
      <c r="O120" s="2601"/>
    </row>
    <row r="121" spans="1:49">
      <c r="A121" s="2594"/>
      <c r="B121" s="2598" t="s">
        <v>643</v>
      </c>
      <c r="C121" s="2596"/>
      <c r="D121" s="2599"/>
      <c r="E121" s="2596"/>
      <c r="F121" s="2599"/>
      <c r="G121" s="2596"/>
      <c r="H121" s="2599"/>
      <c r="I121" s="2745"/>
      <c r="J121" s="2745"/>
      <c r="K121" s="2737">
        <v>8556.42</v>
      </c>
      <c r="L121" s="2747">
        <v>1.0817364628142006</v>
      </c>
    </row>
    <row r="122" spans="1:49">
      <c r="A122" s="2594" t="s">
        <v>1091</v>
      </c>
      <c r="B122" s="3093" t="s">
        <v>1005</v>
      </c>
      <c r="C122" s="3096">
        <v>2550.3379999999997</v>
      </c>
      <c r="D122" s="3114">
        <v>0.74118584819308175</v>
      </c>
      <c r="E122" s="3096">
        <v>2997.076</v>
      </c>
      <c r="F122" s="3114">
        <v>0.7248132064525441</v>
      </c>
      <c r="G122" s="3096">
        <v>5547.4139999999998</v>
      </c>
      <c r="H122" s="3114">
        <v>0.73299999999999998</v>
      </c>
      <c r="I122" s="3098"/>
      <c r="J122" s="3098"/>
      <c r="K122" s="3081">
        <v>5547.4139999999998</v>
      </c>
      <c r="L122" s="2742">
        <v>5982.4030000000002</v>
      </c>
      <c r="M122" s="2742">
        <v>1.3641999999999999</v>
      </c>
      <c r="N122" s="3082">
        <v>7568.0954979536154</v>
      </c>
      <c r="O122" s="2589">
        <v>0.63326643835616436</v>
      </c>
    </row>
    <row r="123" spans="1:49" ht="12.75" customHeight="1">
      <c r="A123" s="2594" t="s">
        <v>1092</v>
      </c>
      <c r="B123" s="2598" t="s">
        <v>1007</v>
      </c>
      <c r="C123" s="2596">
        <v>1511.201</v>
      </c>
      <c r="D123" s="2599">
        <v>0.34871754599637211</v>
      </c>
      <c r="E123" s="2596">
        <v>1497.8049999999998</v>
      </c>
      <c r="F123" s="2599">
        <v>0.34875537963202902</v>
      </c>
      <c r="G123" s="2596">
        <v>3009.0059999999999</v>
      </c>
      <c r="H123" s="2599">
        <v>0.34873646281420057</v>
      </c>
      <c r="I123" s="2745"/>
      <c r="J123" s="2745"/>
      <c r="K123" s="2737">
        <v>2.4030000000002474</v>
      </c>
      <c r="L123" s="3081">
        <v>0.73299952732281282</v>
      </c>
    </row>
    <row r="124" spans="1:49" ht="25.5" customHeight="1">
      <c r="A124" s="2594"/>
      <c r="B124" s="2598" t="s">
        <v>643</v>
      </c>
      <c r="C124" s="2596"/>
      <c r="D124" s="2607"/>
      <c r="E124" s="2596"/>
      <c r="F124" s="2607"/>
      <c r="G124" s="2596"/>
      <c r="H124" s="2607"/>
      <c r="I124" s="2745"/>
      <c r="J124" s="2745"/>
      <c r="K124" s="2619">
        <v>2.403</v>
      </c>
      <c r="L124" s="2766"/>
    </row>
    <row r="125" spans="1:49" ht="12.75" customHeight="1">
      <c r="A125" s="3051"/>
      <c r="B125" s="3138" t="s">
        <v>2848</v>
      </c>
      <c r="C125" s="3076">
        <v>1329.5</v>
      </c>
      <c r="D125" s="3142">
        <v>0.30399999999999999</v>
      </c>
      <c r="E125" s="3076">
        <v>1329.5</v>
      </c>
      <c r="F125" s="3142">
        <v>0.30399999999999999</v>
      </c>
      <c r="G125" s="3076">
        <v>2659</v>
      </c>
      <c r="H125" s="3142">
        <v>0.30399999999999999</v>
      </c>
      <c r="I125" s="2745"/>
      <c r="J125" s="2745"/>
      <c r="K125" s="3143">
        <v>2727.415</v>
      </c>
      <c r="L125" s="3144">
        <v>0.62270000000000003</v>
      </c>
      <c r="M125" s="3143">
        <v>2727.415</v>
      </c>
      <c r="N125" s="3143">
        <v>0.62270000000000003</v>
      </c>
      <c r="O125" s="3143">
        <v>5454.83</v>
      </c>
      <c r="P125" s="3143">
        <v>0.62270000000000003</v>
      </c>
    </row>
    <row r="126" spans="1:49" ht="26.4">
      <c r="A126" s="2603"/>
      <c r="B126" s="2598" t="s">
        <v>2381</v>
      </c>
      <c r="C126" s="2596"/>
      <c r="D126" s="2607"/>
      <c r="E126" s="2596"/>
      <c r="F126" s="2607"/>
      <c r="G126" s="2596"/>
      <c r="H126" s="2607"/>
      <c r="I126" s="2745"/>
      <c r="J126" s="2745"/>
      <c r="K126" s="2589">
        <v>2991.2020000000002</v>
      </c>
      <c r="L126" s="2619">
        <v>1.3641999999999999</v>
      </c>
      <c r="M126" s="2589">
        <v>2991.201</v>
      </c>
      <c r="N126" s="2589">
        <v>1.3641999999999999</v>
      </c>
      <c r="O126" s="2589">
        <v>5982.4030000000002</v>
      </c>
      <c r="P126" s="2589">
        <v>1.3641999999999999</v>
      </c>
    </row>
    <row r="127" spans="1:49">
      <c r="A127" s="2594"/>
      <c r="B127" s="2598" t="s">
        <v>263</v>
      </c>
      <c r="C127" s="2596"/>
      <c r="D127" s="2607"/>
      <c r="E127" s="2596"/>
      <c r="F127" s="2607"/>
      <c r="G127" s="2596"/>
      <c r="H127" s="2607"/>
      <c r="I127" s="2745"/>
      <c r="J127" s="2745"/>
      <c r="O127" s="2589">
        <v>5983.280334</v>
      </c>
      <c r="P127" s="2614">
        <v>1.3642007225887527</v>
      </c>
      <c r="AF127" s="3100" t="s">
        <v>2547</v>
      </c>
      <c r="AG127" s="3100"/>
    </row>
    <row r="128" spans="1:49">
      <c r="A128" s="3101"/>
      <c r="B128" s="3102" t="s">
        <v>2621</v>
      </c>
      <c r="C128" s="3103">
        <v>172.71899999999999</v>
      </c>
      <c r="D128" s="3104">
        <v>4.2389999999999997E-2</v>
      </c>
      <c r="E128" s="3103">
        <v>159.17699999999999</v>
      </c>
      <c r="F128" s="3104">
        <v>4.2389999999999997E-2</v>
      </c>
      <c r="G128" s="3103">
        <v>331.89599999999996</v>
      </c>
      <c r="H128" s="3104">
        <v>4.2389999999999997E-2</v>
      </c>
      <c r="I128" s="2745"/>
      <c r="J128" s="2745"/>
      <c r="K128" s="2604">
        <v>7829.5824486907286</v>
      </c>
      <c r="L128" s="3116" t="s">
        <v>2623</v>
      </c>
      <c r="M128" s="2589">
        <v>7098.5331999999971</v>
      </c>
      <c r="AF128" s="3100">
        <v>394.80799999999999</v>
      </c>
      <c r="AG128" s="3117">
        <v>9.5310000000000006E-2</v>
      </c>
      <c r="AH128" s="3100">
        <v>377.94600000000003</v>
      </c>
      <c r="AI128" s="3117">
        <v>9.5310000000000006E-2</v>
      </c>
      <c r="AJ128" s="3100">
        <v>772.75400000000002</v>
      </c>
      <c r="AK128" s="3117">
        <v>9.5310000000000006E-2</v>
      </c>
      <c r="AU128" s="3106">
        <v>1068.136</v>
      </c>
      <c r="AV128" s="3107">
        <v>7829.5824486907286</v>
      </c>
      <c r="AW128" s="3106">
        <v>0.13642311157712056</v>
      </c>
    </row>
    <row r="129" spans="1:49">
      <c r="A129" s="3330"/>
      <c r="B129" s="3331" t="s">
        <v>2940</v>
      </c>
      <c r="C129" s="3332">
        <v>8.9819999999999993</v>
      </c>
      <c r="D129" s="3333">
        <v>2.3275459963721171E-3</v>
      </c>
      <c r="E129" s="3332">
        <v>9.1280000000000001</v>
      </c>
      <c r="F129" s="3333">
        <v>2.3653796320290232E-3</v>
      </c>
      <c r="G129" s="3332">
        <v>18.11</v>
      </c>
      <c r="H129" s="3333">
        <v>2.3464628142005704E-3</v>
      </c>
      <c r="I129" s="2745"/>
      <c r="J129" s="2745"/>
      <c r="K129" s="2604">
        <v>7717.9999999999991</v>
      </c>
      <c r="L129" s="3116" t="s">
        <v>2623</v>
      </c>
      <c r="M129" s="2589">
        <v>0.89777250194013813</v>
      </c>
      <c r="AF129" s="3100">
        <v>394.80799999999999</v>
      </c>
      <c r="AG129" s="3117">
        <v>9.5310000000000006E-2</v>
      </c>
      <c r="AH129" s="3100">
        <v>377.94600000000003</v>
      </c>
      <c r="AI129" s="3117">
        <v>9.5310000000000006E-2</v>
      </c>
      <c r="AJ129" s="3100">
        <v>772.75400000000002</v>
      </c>
      <c r="AK129" s="3117">
        <v>9.5310000000000006E-2</v>
      </c>
      <c r="AU129" s="3106">
        <v>1068.136</v>
      </c>
      <c r="AV129" s="3107">
        <v>7717.9999999999991</v>
      </c>
      <c r="AW129" s="3106">
        <v>0.13839543923296191</v>
      </c>
    </row>
    <row r="130" spans="1:49" ht="26.4">
      <c r="A130" s="2603"/>
      <c r="B130" s="2598" t="s">
        <v>2549</v>
      </c>
      <c r="C130" s="2596"/>
      <c r="D130" s="2607"/>
      <c r="E130" s="2596"/>
      <c r="F130" s="2607"/>
      <c r="G130" s="2596"/>
      <c r="H130" s="2607"/>
      <c r="I130" s="2745"/>
      <c r="J130" s="2745"/>
      <c r="AF130" s="3100" t="s">
        <v>2548</v>
      </c>
      <c r="AG130" s="3100"/>
    </row>
    <row r="131" spans="1:49">
      <c r="A131" s="2594"/>
      <c r="B131" s="2598"/>
      <c r="C131" s="2596"/>
      <c r="D131" s="2607"/>
      <c r="E131" s="2596"/>
      <c r="F131" s="2607"/>
      <c r="G131" s="2596">
        <v>0</v>
      </c>
      <c r="H131" s="2607">
        <v>0</v>
      </c>
      <c r="I131" s="2745"/>
      <c r="J131" s="2745"/>
      <c r="AF131" s="3145">
        <v>446.49400000000003</v>
      </c>
      <c r="AG131" s="3146">
        <v>0.11992187508304029</v>
      </c>
      <c r="AH131" s="3145">
        <v>405.75700000000001</v>
      </c>
      <c r="AI131" s="3146">
        <v>0.10898050201809918</v>
      </c>
      <c r="AJ131" s="3145">
        <v>852.25099999999998</v>
      </c>
      <c r="AK131" s="3146">
        <v>0.11445118855056974</v>
      </c>
    </row>
    <row r="132" spans="1:49">
      <c r="A132" s="2594" t="s">
        <v>1097</v>
      </c>
      <c r="B132" s="2598" t="s">
        <v>1098</v>
      </c>
      <c r="C132" s="2596">
        <v>151.60027430000002</v>
      </c>
      <c r="D132" s="2599">
        <v>4.0582758624455775E-2</v>
      </c>
      <c r="E132" s="2596">
        <v>159.62111709999999</v>
      </c>
      <c r="F132" s="2599">
        <v>4.2160598981063717E-2</v>
      </c>
      <c r="G132" s="2596">
        <v>311.22139140000002</v>
      </c>
      <c r="H132" s="2599">
        <v>4.1374499999999995E-2</v>
      </c>
      <c r="I132" s="2745"/>
      <c r="J132" s="2745"/>
    </row>
    <row r="133" spans="1:49">
      <c r="A133" s="2594" t="s">
        <v>1099</v>
      </c>
      <c r="B133" s="2613" t="s">
        <v>1042</v>
      </c>
      <c r="C133" s="2596">
        <v>151.60027430000002</v>
      </c>
      <c r="D133" s="2903">
        <v>4.0582758624455775E-2</v>
      </c>
      <c r="E133" s="2596">
        <v>159.62111709999999</v>
      </c>
      <c r="F133" s="2903">
        <v>4.2160598981063717E-2</v>
      </c>
      <c r="G133" s="2596">
        <v>311.22139140000002</v>
      </c>
      <c r="H133" s="2903">
        <v>4.1374499999999995E-2</v>
      </c>
      <c r="I133" s="2745"/>
      <c r="J133" s="2745"/>
    </row>
    <row r="134" spans="1:49">
      <c r="A134" s="2594" t="s">
        <v>1100</v>
      </c>
      <c r="B134" s="2598" t="s">
        <v>1101</v>
      </c>
      <c r="C134" s="2596">
        <v>179.52127430000002</v>
      </c>
      <c r="D134" s="2599">
        <v>4.9889758624455771E-2</v>
      </c>
      <c r="E134" s="2596">
        <v>187.6581171</v>
      </c>
      <c r="F134" s="2599">
        <v>5.1506598981063717E-2</v>
      </c>
      <c r="G134" s="2596">
        <v>367.17939139999999</v>
      </c>
      <c r="H134" s="2599">
        <v>5.0699999999999995E-2</v>
      </c>
      <c r="I134" s="2745"/>
      <c r="J134" s="2745"/>
      <c r="N134" s="2601"/>
      <c r="O134" s="2601"/>
    </row>
    <row r="135" spans="1:49">
      <c r="A135" s="2594"/>
      <c r="B135" s="2598" t="s">
        <v>994</v>
      </c>
      <c r="C135" s="2596"/>
      <c r="D135" s="2607"/>
      <c r="E135" s="2596"/>
      <c r="F135" s="2607"/>
      <c r="G135" s="2596"/>
      <c r="H135" s="2607"/>
      <c r="I135" s="2745"/>
      <c r="J135" s="2745"/>
      <c r="K135" s="2589" t="s">
        <v>681</v>
      </c>
      <c r="L135" s="2747">
        <v>4.0582758624455817E-2</v>
      </c>
      <c r="N135" s="2601"/>
      <c r="O135" s="2601"/>
    </row>
    <row r="136" spans="1:49">
      <c r="A136" s="2594" t="s">
        <v>1102</v>
      </c>
      <c r="B136" s="2598" t="s">
        <v>1015</v>
      </c>
      <c r="C136" s="2596"/>
      <c r="D136" s="2607"/>
      <c r="E136" s="2596"/>
      <c r="F136" s="2607"/>
      <c r="G136" s="2596"/>
      <c r="H136" s="2607"/>
      <c r="I136" s="2745"/>
      <c r="J136" s="2745"/>
      <c r="K136" s="2619">
        <v>367.17939139999999</v>
      </c>
      <c r="L136" s="2748">
        <v>5.0699999999999995E-2</v>
      </c>
    </row>
    <row r="137" spans="1:49">
      <c r="A137" s="2594" t="s">
        <v>1103</v>
      </c>
      <c r="B137" s="2598" t="s">
        <v>997</v>
      </c>
      <c r="C137" s="2596">
        <v>27.920999999999999</v>
      </c>
      <c r="D137" s="2903">
        <v>9.3069999999999993E-3</v>
      </c>
      <c r="E137" s="2596">
        <v>28.036999999999999</v>
      </c>
      <c r="F137" s="2903">
        <v>9.3460000000000001E-3</v>
      </c>
      <c r="G137" s="2596">
        <v>55.957999999999998</v>
      </c>
      <c r="H137" s="2903">
        <v>9.3255000000000005E-3</v>
      </c>
      <c r="I137" s="2745"/>
      <c r="J137" s="2745"/>
    </row>
    <row r="138" spans="1:49">
      <c r="A138" s="2594"/>
      <c r="B138" s="2598" t="s">
        <v>994</v>
      </c>
      <c r="C138" s="2596"/>
      <c r="D138" s="2607"/>
      <c r="E138" s="2596"/>
      <c r="F138" s="2607"/>
      <c r="G138" s="2596"/>
      <c r="H138" s="2607"/>
      <c r="I138" s="2745"/>
      <c r="J138" s="2745"/>
    </row>
    <row r="139" spans="1:49" ht="26.4">
      <c r="A139" s="2594" t="s">
        <v>1104</v>
      </c>
      <c r="B139" s="3062" t="s">
        <v>2384</v>
      </c>
      <c r="C139" s="3063">
        <v>27.920999999999999</v>
      </c>
      <c r="D139" s="3075">
        <v>9.3069999999999993E-3</v>
      </c>
      <c r="E139" s="3063">
        <v>28.036999999999999</v>
      </c>
      <c r="F139" s="3075">
        <v>9.3460000000000001E-3</v>
      </c>
      <c r="G139" s="3063">
        <v>55.957999999999998</v>
      </c>
      <c r="H139" s="3325">
        <v>9.3255000000000005E-3</v>
      </c>
      <c r="I139" s="2745"/>
      <c r="J139" s="2745"/>
      <c r="K139" s="3118" t="s">
        <v>2623</v>
      </c>
    </row>
    <row r="140" spans="1:49">
      <c r="A140" s="2594" t="s">
        <v>1105</v>
      </c>
      <c r="B140" s="2598" t="s">
        <v>1020</v>
      </c>
      <c r="C140" s="2596"/>
      <c r="D140" s="2607"/>
      <c r="E140" s="2596"/>
      <c r="F140" s="2607"/>
      <c r="G140" s="2596"/>
      <c r="H140" s="2607"/>
      <c r="I140" s="2745"/>
      <c r="J140" s="2745"/>
    </row>
    <row r="141" spans="1:49">
      <c r="A141" s="2594"/>
      <c r="B141" s="2598" t="s">
        <v>263</v>
      </c>
      <c r="C141" s="2596"/>
      <c r="D141" s="2607"/>
      <c r="E141" s="2596"/>
      <c r="F141" s="2607"/>
      <c r="G141" s="2596"/>
      <c r="H141" s="2607"/>
      <c r="I141" s="2745"/>
      <c r="J141" s="2745"/>
    </row>
    <row r="142" spans="1:49">
      <c r="A142" s="2594" t="s">
        <v>1106</v>
      </c>
      <c r="B142" s="2598" t="s">
        <v>1022</v>
      </c>
      <c r="C142" s="3076">
        <v>11.741</v>
      </c>
      <c r="D142" s="3077">
        <v>3.2599999999999999E-3</v>
      </c>
      <c r="E142" s="3076">
        <v>12.273</v>
      </c>
      <c r="F142" s="3077">
        <v>3.3700000000000002E-3</v>
      </c>
      <c r="G142" s="2607">
        <v>24.013999999999999</v>
      </c>
      <c r="H142" s="2767">
        <v>3.32E-3</v>
      </c>
      <c r="I142" s="2745"/>
      <c r="J142" s="2745"/>
    </row>
    <row r="143" spans="1:49">
      <c r="A143" s="2594" t="s">
        <v>1107</v>
      </c>
      <c r="B143" s="2598" t="s">
        <v>1024</v>
      </c>
      <c r="C143" s="2596">
        <v>167.7802743</v>
      </c>
      <c r="D143" s="2599">
        <v>4.6629758624455772E-2</v>
      </c>
      <c r="E143" s="2596">
        <v>175.3851171</v>
      </c>
      <c r="F143" s="2599">
        <v>4.8136598981063719E-2</v>
      </c>
      <c r="G143" s="2596">
        <v>343.16539139999998</v>
      </c>
      <c r="H143" s="2599">
        <v>4.7379999999999999E-2</v>
      </c>
      <c r="I143" s="2745"/>
      <c r="J143" s="2745"/>
      <c r="L143" s="2752">
        <v>6.5401719354885382E-2</v>
      </c>
      <c r="M143" s="2752" t="s">
        <v>641</v>
      </c>
      <c r="N143" s="2752">
        <v>6.5344072408519541E-2</v>
      </c>
    </row>
    <row r="144" spans="1:49">
      <c r="A144" s="2594"/>
      <c r="B144" s="2598" t="s">
        <v>643</v>
      </c>
      <c r="C144" s="2596"/>
      <c r="D144" s="2599"/>
      <c r="E144" s="2596"/>
      <c r="F144" s="2599"/>
      <c r="G144" s="2596"/>
      <c r="H144" s="2599"/>
      <c r="I144" s="2745"/>
      <c r="J144" s="2745"/>
      <c r="K144" s="2615"/>
      <c r="L144" s="2621">
        <v>7242.8322372308985</v>
      </c>
      <c r="M144" s="2752" t="s">
        <v>963</v>
      </c>
    </row>
    <row r="145" spans="1:16">
      <c r="A145" s="3119" t="s">
        <v>1004</v>
      </c>
      <c r="B145" s="3086" t="s">
        <v>1005</v>
      </c>
      <c r="C145" s="3147">
        <v>167.7802743</v>
      </c>
      <c r="D145" s="3120">
        <v>4.6629758624455772E-2</v>
      </c>
      <c r="E145" s="3147">
        <v>175.3851171</v>
      </c>
      <c r="F145" s="3120">
        <v>4.8136598981063719E-2</v>
      </c>
      <c r="G145" s="3121">
        <v>343.16539139999998</v>
      </c>
      <c r="H145" s="3120">
        <v>4.7379999999999999E-2</v>
      </c>
      <c r="I145" s="2745"/>
      <c r="J145" s="2745"/>
      <c r="K145" s="3115">
        <v>343.16539139999998</v>
      </c>
      <c r="L145" s="3136">
        <v>4.7383178802759746E-2</v>
      </c>
      <c r="M145" s="2589">
        <v>7242.346336206826</v>
      </c>
      <c r="O145" s="3122">
        <v>3.8628945050000002E-2</v>
      </c>
    </row>
    <row r="146" spans="1:16">
      <c r="A146" s="2594" t="s">
        <v>1006</v>
      </c>
      <c r="B146" s="2598" t="s">
        <v>1007</v>
      </c>
      <c r="C146" s="2768">
        <v>0</v>
      </c>
      <c r="D146" s="2768">
        <v>0</v>
      </c>
      <c r="E146" s="2768">
        <v>0</v>
      </c>
      <c r="F146" s="2768">
        <v>0</v>
      </c>
      <c r="G146" s="2768">
        <v>0</v>
      </c>
      <c r="H146" s="2768">
        <v>0</v>
      </c>
      <c r="I146" s="2745"/>
      <c r="J146" s="2745"/>
      <c r="K146" s="2614">
        <v>9.8435061634781107E-2</v>
      </c>
      <c r="L146" s="2737">
        <v>369.57400000000001</v>
      </c>
      <c r="M146" s="2747">
        <v>5.7521224489795922E-2</v>
      </c>
    </row>
    <row r="147" spans="1:16">
      <c r="A147" s="2594"/>
      <c r="B147" s="2598" t="s">
        <v>643</v>
      </c>
      <c r="C147" s="2607"/>
      <c r="D147" s="2607"/>
      <c r="E147" s="2607"/>
      <c r="F147" s="2607"/>
      <c r="G147" s="2607"/>
      <c r="H147" s="2607"/>
      <c r="I147" s="2745"/>
      <c r="J147" s="2745"/>
      <c r="L147" s="2765">
        <v>1.5739999999999554</v>
      </c>
    </row>
    <row r="148" spans="1:16">
      <c r="A148" s="2594" t="s">
        <v>1108</v>
      </c>
      <c r="B148" s="2598" t="s">
        <v>1018</v>
      </c>
      <c r="C148" s="2607"/>
      <c r="D148" s="2599"/>
      <c r="E148" s="2607"/>
      <c r="F148" s="2599"/>
      <c r="G148" s="2607"/>
      <c r="H148" s="2599"/>
      <c r="I148" s="2745"/>
      <c r="J148" s="2745"/>
      <c r="L148" s="2619">
        <v>1.5740000000000001</v>
      </c>
      <c r="N148" s="2589">
        <v>320.89111710000043</v>
      </c>
    </row>
    <row r="149" spans="1:16" ht="26.4">
      <c r="A149" s="2603" t="s">
        <v>1109</v>
      </c>
      <c r="B149" s="2598" t="s">
        <v>1110</v>
      </c>
      <c r="C149" s="2607"/>
      <c r="D149" s="2607"/>
      <c r="E149" s="2607"/>
      <c r="F149" s="2607"/>
      <c r="G149" s="2607"/>
      <c r="H149" s="2607"/>
      <c r="I149" s="2745"/>
      <c r="J149" s="2745"/>
      <c r="L149" s="2621" t="e">
        <v>#DIV/0!</v>
      </c>
    </row>
    <row r="150" spans="1:16">
      <c r="A150" s="2594" t="s">
        <v>1111</v>
      </c>
      <c r="B150" s="2598" t="s">
        <v>1020</v>
      </c>
      <c r="C150" s="2607"/>
      <c r="D150" s="2607"/>
      <c r="E150" s="2607"/>
      <c r="F150" s="2607"/>
      <c r="G150" s="2607"/>
      <c r="H150" s="2607"/>
      <c r="I150" s="2745"/>
      <c r="J150" s="2745"/>
      <c r="K150" s="2589">
        <v>184.78700000000001</v>
      </c>
      <c r="L150" s="2614">
        <v>5.7521224489795922E-2</v>
      </c>
      <c r="M150" s="2589">
        <v>184.78700000000001</v>
      </c>
      <c r="N150" s="2614">
        <v>5.7521224489795922E-2</v>
      </c>
      <c r="O150" s="2589">
        <v>369.57400000000001</v>
      </c>
      <c r="P150" s="2614">
        <v>5.7521224489795922E-2</v>
      </c>
    </row>
    <row r="151" spans="1:16" ht="31.5" customHeight="1">
      <c r="A151" s="2603" t="s">
        <v>1112</v>
      </c>
      <c r="B151" s="2598" t="s">
        <v>1113</v>
      </c>
      <c r="C151" s="2607"/>
      <c r="D151" s="2607"/>
      <c r="E151" s="2607"/>
      <c r="F151" s="2607"/>
      <c r="G151" s="2607"/>
      <c r="H151" s="2607"/>
      <c r="I151" s="2745"/>
      <c r="J151" s="2745"/>
      <c r="L151" s="2589"/>
      <c r="O151" s="2589">
        <v>369.57400000000001</v>
      </c>
      <c r="P151" s="2614">
        <v>5.7447251021049327E-2</v>
      </c>
    </row>
    <row r="152" spans="1:16" ht="15.75" customHeight="1">
      <c r="A152" s="2594"/>
      <c r="B152" s="2598" t="s">
        <v>263</v>
      </c>
      <c r="C152" s="2607"/>
      <c r="D152" s="2607"/>
      <c r="E152" s="2607"/>
      <c r="F152" s="2607"/>
      <c r="G152" s="2607"/>
      <c r="H152" s="2607"/>
      <c r="I152" s="2745"/>
      <c r="J152" s="2745"/>
    </row>
    <row r="153" spans="1:16">
      <c r="A153" s="2583"/>
      <c r="B153" s="2583"/>
      <c r="C153" s="2584"/>
      <c r="D153" s="2584"/>
      <c r="E153" s="2584"/>
      <c r="F153" s="2584"/>
      <c r="G153" s="2584"/>
      <c r="H153" s="2584"/>
      <c r="I153" s="2769"/>
      <c r="J153" s="2769"/>
    </row>
    <row r="154" spans="1:16">
      <c r="A154" s="3123" t="s">
        <v>1266</v>
      </c>
      <c r="B154" s="3123"/>
      <c r="C154" s="3124"/>
      <c r="D154" s="3125"/>
      <c r="E154" s="3124"/>
      <c r="F154" s="3125"/>
      <c r="G154" s="3124"/>
      <c r="H154" s="3125"/>
      <c r="I154" s="3126"/>
      <c r="J154" s="3126"/>
    </row>
    <row r="155" spans="1:16" s="3127" customFormat="1" ht="23.25" hidden="1" customHeight="1">
      <c r="A155" s="3123" t="s">
        <v>2550</v>
      </c>
      <c r="B155" s="3126"/>
      <c r="C155" s="3124"/>
      <c r="D155" s="3998" t="s">
        <v>2876</v>
      </c>
      <c r="E155" s="3998"/>
      <c r="F155" s="3998"/>
      <c r="G155" s="3998"/>
      <c r="H155" s="3998"/>
      <c r="I155" s="3126"/>
      <c r="J155" s="3126"/>
      <c r="L155" s="3128"/>
    </row>
    <row r="156" spans="1:16" s="3127" customFormat="1" ht="15.75" hidden="1" customHeight="1">
      <c r="A156" s="2622"/>
      <c r="B156" s="2583"/>
      <c r="C156" s="2584"/>
      <c r="D156" s="2584"/>
      <c r="E156" s="2584"/>
      <c r="F156" s="2584"/>
      <c r="G156" s="2584"/>
      <c r="H156" s="2584"/>
      <c r="I156" s="2583"/>
      <c r="J156" s="2583"/>
      <c r="L156" s="3128"/>
    </row>
    <row r="157" spans="1:16" ht="32.25" customHeight="1">
      <c r="A157" s="2583" t="s">
        <v>625</v>
      </c>
      <c r="B157" s="2583"/>
      <c r="C157" s="2584"/>
      <c r="D157" s="2584"/>
      <c r="E157" s="2584"/>
      <c r="F157" s="2584"/>
      <c r="G157" s="2584"/>
      <c r="H157" s="2584"/>
      <c r="I157" s="2770"/>
      <c r="J157" s="2771"/>
    </row>
    <row r="158" spans="1:16" ht="14.25" customHeight="1">
      <c r="A158" s="2583" t="s">
        <v>2551</v>
      </c>
      <c r="B158" s="2583"/>
      <c r="C158" s="2584"/>
      <c r="D158" s="2584"/>
      <c r="E158" s="2584"/>
      <c r="F158" s="2584"/>
      <c r="G158" s="2584"/>
      <c r="H158" s="2584"/>
      <c r="I158" s="2772"/>
      <c r="J158" s="2771"/>
    </row>
    <row r="159" spans="1:16" ht="30.75" customHeight="1">
      <c r="A159" s="2583"/>
      <c r="B159" s="2583"/>
      <c r="C159" s="2584"/>
      <c r="D159" s="2584"/>
      <c r="E159" s="2584"/>
      <c r="F159" s="2584"/>
      <c r="G159" s="2584"/>
      <c r="H159" s="2584"/>
    </row>
    <row r="160" spans="1:16" ht="45" customHeight="1">
      <c r="A160" s="2583" t="s">
        <v>2941</v>
      </c>
      <c r="B160" s="2583"/>
      <c r="C160" s="2584"/>
      <c r="D160" s="2584"/>
      <c r="E160" s="2584"/>
      <c r="F160" s="2584"/>
      <c r="G160" s="2584"/>
      <c r="H160" s="2584"/>
      <c r="I160" s="2773"/>
    </row>
    <row r="161" spans="1:256" ht="14.25" customHeight="1">
      <c r="A161" s="2583"/>
      <c r="B161" s="2583"/>
      <c r="C161" s="2584"/>
      <c r="D161" s="2584"/>
      <c r="E161" s="2584"/>
      <c r="F161" s="2584"/>
      <c r="G161" s="2584"/>
      <c r="H161" s="2584"/>
      <c r="I161" s="2773"/>
    </row>
    <row r="162" spans="1:256" ht="25.5" hidden="1" customHeight="1">
      <c r="A162" s="2583" t="s">
        <v>2942</v>
      </c>
      <c r="B162" s="2583"/>
      <c r="C162" s="2584"/>
      <c r="D162" s="2584"/>
      <c r="E162" s="2584"/>
      <c r="F162" s="2584"/>
      <c r="G162" s="2584"/>
      <c r="H162" s="2584"/>
      <c r="I162" s="2773"/>
    </row>
    <row r="163" spans="1:256" ht="18" hidden="1" customHeight="1">
      <c r="A163" s="2583" t="s">
        <v>2552</v>
      </c>
      <c r="B163" s="2583"/>
      <c r="C163" s="2584"/>
      <c r="D163" s="2584"/>
      <c r="E163" s="2584"/>
      <c r="F163" s="2584"/>
      <c r="G163" s="2584"/>
      <c r="H163" s="2584"/>
      <c r="I163" s="2773"/>
    </row>
    <row r="164" spans="1:256" ht="14.25" hidden="1" customHeight="1">
      <c r="A164" s="2583"/>
      <c r="B164" s="2583"/>
      <c r="C164" s="2584"/>
      <c r="D164" s="2584"/>
      <c r="E164" s="2584"/>
      <c r="F164" s="2584"/>
      <c r="G164" s="2584"/>
      <c r="H164" s="2584"/>
      <c r="I164" s="2773"/>
    </row>
    <row r="165" spans="1:256" ht="29.25" customHeight="1">
      <c r="A165" s="2583" t="s">
        <v>1290</v>
      </c>
      <c r="B165" s="2583"/>
      <c r="C165" s="2584"/>
      <c r="D165" s="2584"/>
      <c r="E165" s="2584"/>
      <c r="F165" s="2584"/>
      <c r="G165" s="2584"/>
      <c r="H165" s="2584"/>
    </row>
    <row r="166" spans="1:256" ht="15.6">
      <c r="A166" s="2583" t="s">
        <v>1544</v>
      </c>
      <c r="B166" s="2583"/>
      <c r="C166" s="2584"/>
      <c r="D166" s="2584"/>
      <c r="E166" s="2584"/>
      <c r="F166" s="2584"/>
      <c r="G166" s="2584"/>
      <c r="H166" s="2584"/>
      <c r="I166" s="3129"/>
    </row>
    <row r="167" spans="1:256" ht="40.5" customHeight="1">
      <c r="A167" s="2583"/>
      <c r="B167" s="2583"/>
      <c r="C167" s="2584"/>
      <c r="D167" s="2584"/>
      <c r="E167" s="2584"/>
      <c r="F167" s="2584"/>
      <c r="G167" s="2584"/>
      <c r="H167" s="2584"/>
      <c r="I167" s="2774"/>
      <c r="J167" s="2589"/>
    </row>
    <row r="168" spans="1:256">
      <c r="A168" s="2583" t="s">
        <v>2943</v>
      </c>
      <c r="B168" s="2583"/>
      <c r="C168" s="2584"/>
      <c r="D168" s="2584"/>
      <c r="E168" s="2584"/>
      <c r="F168" s="2584"/>
      <c r="G168" s="2584"/>
      <c r="H168" s="3297"/>
      <c r="I168" s="3297"/>
      <c r="J168" s="3297"/>
    </row>
    <row r="169" spans="1:256" ht="24.75" customHeight="1">
      <c r="A169" s="2583"/>
      <c r="B169" s="2583"/>
      <c r="C169" s="2584"/>
      <c r="D169" s="2589"/>
      <c r="F169" s="2589"/>
      <c r="H169" s="2589"/>
      <c r="I169" s="2773"/>
    </row>
    <row r="170" spans="1:256">
      <c r="A170" s="2583" t="s">
        <v>2944</v>
      </c>
      <c r="B170" s="2583"/>
      <c r="C170" s="2584"/>
      <c r="D170" s="2584"/>
      <c r="E170" s="2584"/>
      <c r="F170" s="2584"/>
      <c r="G170" s="2584"/>
      <c r="H170" s="2584"/>
    </row>
    <row r="171" spans="1:256">
      <c r="A171" s="2583"/>
      <c r="B171" s="2583"/>
      <c r="C171" s="2584"/>
      <c r="D171" s="2584"/>
      <c r="E171" s="2584"/>
      <c r="F171" s="2584"/>
      <c r="G171" s="2584"/>
      <c r="H171" s="2584"/>
    </row>
    <row r="172" spans="1:256">
      <c r="A172" s="2583"/>
      <c r="B172" s="2583"/>
      <c r="C172" s="2584"/>
      <c r="D172" s="2584"/>
      <c r="E172" s="2584"/>
      <c r="F172" s="2584"/>
      <c r="G172" s="2584"/>
      <c r="H172" s="2584"/>
      <c r="AC172" s="2583"/>
      <c r="AD172" s="2583"/>
      <c r="AE172" s="2583"/>
      <c r="AF172" s="2583"/>
      <c r="AG172" s="2583"/>
      <c r="AH172" s="2583"/>
      <c r="AI172" s="2583"/>
      <c r="AJ172" s="2583"/>
      <c r="AK172" s="2583"/>
      <c r="AL172" s="2583"/>
      <c r="AM172" s="2583"/>
      <c r="AN172" s="2583"/>
      <c r="AO172" s="2583"/>
      <c r="AP172" s="2583"/>
      <c r="AQ172" s="2583"/>
      <c r="AR172" s="2583"/>
      <c r="AS172" s="2583"/>
      <c r="AT172" s="2583"/>
      <c r="AU172" s="2583"/>
      <c r="AV172" s="2583"/>
      <c r="AW172" s="2583"/>
      <c r="AX172" s="2583"/>
      <c r="AY172" s="2583"/>
      <c r="AZ172" s="2583"/>
      <c r="BA172" s="2583"/>
      <c r="BB172" s="2583"/>
      <c r="BC172" s="2583"/>
      <c r="BD172" s="2583"/>
      <c r="BE172" s="2583"/>
      <c r="BF172" s="2583"/>
      <c r="BG172" s="2583"/>
      <c r="BH172" s="2583"/>
      <c r="BI172" s="2583"/>
      <c r="BJ172" s="2583"/>
      <c r="BK172" s="2583"/>
      <c r="BL172" s="2583"/>
      <c r="BM172" s="2583"/>
      <c r="BN172" s="2583"/>
      <c r="BO172" s="2583"/>
      <c r="BP172" s="2583"/>
      <c r="BQ172" s="2583"/>
      <c r="BR172" s="2583"/>
      <c r="BS172" s="2583"/>
      <c r="BT172" s="2583"/>
      <c r="BU172" s="2583"/>
      <c r="BV172" s="2583"/>
      <c r="BW172" s="2583"/>
      <c r="BX172" s="2583"/>
      <c r="BY172" s="2583"/>
      <c r="BZ172" s="2583"/>
      <c r="CA172" s="2583"/>
      <c r="CB172" s="2583"/>
      <c r="CC172" s="2583"/>
      <c r="CD172" s="2583"/>
      <c r="CE172" s="2583"/>
      <c r="CF172" s="2583"/>
      <c r="CG172" s="2583"/>
      <c r="CH172" s="2583"/>
      <c r="CI172" s="2583"/>
      <c r="CJ172" s="2583"/>
      <c r="CK172" s="2583"/>
      <c r="CL172" s="2583"/>
      <c r="CM172" s="2583"/>
      <c r="CN172" s="2583"/>
      <c r="CO172" s="2583"/>
      <c r="CP172" s="2583"/>
      <c r="CQ172" s="2583"/>
      <c r="CR172" s="2583"/>
      <c r="CS172" s="2583"/>
      <c r="CT172" s="2583"/>
      <c r="CU172" s="2583"/>
      <c r="CV172" s="2583"/>
      <c r="CW172" s="2583"/>
      <c r="CX172" s="2583"/>
      <c r="CY172" s="2583"/>
      <c r="CZ172" s="2583"/>
      <c r="DA172" s="2583"/>
      <c r="DB172" s="2583"/>
      <c r="DC172" s="2583"/>
      <c r="DD172" s="2583"/>
      <c r="DE172" s="2583"/>
      <c r="DF172" s="2583"/>
      <c r="DG172" s="2583"/>
      <c r="DH172" s="2583"/>
      <c r="DI172" s="2583"/>
      <c r="DJ172" s="2583"/>
      <c r="DK172" s="2583"/>
      <c r="DL172" s="2583"/>
      <c r="DM172" s="2583"/>
      <c r="DN172" s="2583"/>
      <c r="DO172" s="2583"/>
      <c r="DP172" s="2583"/>
      <c r="DQ172" s="2583"/>
      <c r="DR172" s="2583"/>
      <c r="DS172" s="2583"/>
      <c r="DT172" s="2583"/>
      <c r="DU172" s="2583"/>
      <c r="DV172" s="2583"/>
      <c r="DW172" s="2583"/>
      <c r="DX172" s="2583"/>
      <c r="DY172" s="2583"/>
      <c r="DZ172" s="2583"/>
      <c r="EA172" s="2583"/>
      <c r="EB172" s="2583"/>
      <c r="EC172" s="2583"/>
      <c r="ED172" s="2583"/>
      <c r="EE172" s="2583"/>
      <c r="EF172" s="2583"/>
      <c r="EG172" s="2583"/>
      <c r="EH172" s="2583"/>
      <c r="EI172" s="2583"/>
      <c r="EJ172" s="2583"/>
      <c r="EK172" s="2583"/>
      <c r="EL172" s="2583"/>
      <c r="EM172" s="2583"/>
      <c r="EN172" s="2583"/>
      <c r="EO172" s="2583"/>
      <c r="EP172" s="2583"/>
      <c r="EQ172" s="2583"/>
      <c r="ER172" s="2583"/>
      <c r="ES172" s="2583"/>
      <c r="ET172" s="2583"/>
      <c r="EU172" s="2583"/>
      <c r="EV172" s="2583"/>
      <c r="EW172" s="2583"/>
      <c r="EX172" s="2583"/>
      <c r="EY172" s="2583"/>
      <c r="EZ172" s="2583"/>
      <c r="FA172" s="2583"/>
      <c r="FB172" s="2583"/>
      <c r="FC172" s="2583"/>
      <c r="FD172" s="2583"/>
      <c r="FE172" s="2583"/>
      <c r="FF172" s="2583"/>
      <c r="FG172" s="2583"/>
      <c r="FH172" s="2583"/>
      <c r="FI172" s="2583"/>
      <c r="FJ172" s="2583"/>
      <c r="FK172" s="2583"/>
      <c r="FL172" s="2583"/>
      <c r="FM172" s="2583"/>
      <c r="FN172" s="2583"/>
      <c r="FO172" s="2583"/>
      <c r="FP172" s="2583"/>
      <c r="FQ172" s="2583"/>
      <c r="FR172" s="2583"/>
      <c r="FS172" s="2583"/>
      <c r="FT172" s="2583"/>
      <c r="FU172" s="2583"/>
      <c r="FV172" s="2583"/>
      <c r="FW172" s="2583"/>
      <c r="FX172" s="2583"/>
      <c r="FY172" s="2583"/>
      <c r="FZ172" s="2583"/>
      <c r="GA172" s="2583"/>
      <c r="GB172" s="2583"/>
      <c r="GC172" s="2583"/>
      <c r="GD172" s="2583"/>
      <c r="GE172" s="2583"/>
      <c r="GF172" s="2583"/>
      <c r="GG172" s="2583"/>
      <c r="GH172" s="2583"/>
      <c r="GI172" s="2583"/>
      <c r="GJ172" s="2583"/>
      <c r="GK172" s="2583"/>
      <c r="GL172" s="2583"/>
      <c r="GM172" s="2583"/>
      <c r="GN172" s="2583"/>
      <c r="GO172" s="2583"/>
      <c r="GP172" s="2583"/>
      <c r="GQ172" s="2583"/>
      <c r="GR172" s="2583"/>
      <c r="GS172" s="2583"/>
      <c r="GT172" s="2583"/>
      <c r="GU172" s="2583"/>
      <c r="GV172" s="2583"/>
      <c r="GW172" s="2583"/>
      <c r="GX172" s="2583"/>
      <c r="GY172" s="2583"/>
      <c r="GZ172" s="2583"/>
      <c r="HA172" s="2583"/>
      <c r="HB172" s="2583"/>
      <c r="HC172" s="2583"/>
      <c r="HD172" s="2583"/>
      <c r="HE172" s="2583"/>
      <c r="HF172" s="2583"/>
      <c r="HG172" s="2583"/>
      <c r="HH172" s="2583"/>
      <c r="HI172" s="2583"/>
      <c r="HJ172" s="2583"/>
      <c r="HK172" s="2583"/>
      <c r="HL172" s="2583"/>
      <c r="HM172" s="2583"/>
      <c r="HN172" s="2583"/>
      <c r="HO172" s="2583"/>
      <c r="HP172" s="2583"/>
      <c r="HQ172" s="2583"/>
      <c r="HR172" s="2583"/>
      <c r="HS172" s="2583"/>
      <c r="HT172" s="2583"/>
      <c r="HU172" s="2583"/>
      <c r="HV172" s="2583"/>
      <c r="HW172" s="2583"/>
      <c r="HX172" s="2583"/>
      <c r="HY172" s="2583"/>
      <c r="HZ172" s="2583"/>
      <c r="IA172" s="2583"/>
      <c r="IB172" s="2583"/>
      <c r="IC172" s="2583"/>
      <c r="ID172" s="2583"/>
      <c r="IE172" s="2583"/>
      <c r="IF172" s="2583"/>
      <c r="IG172" s="2583"/>
      <c r="IH172" s="2583"/>
      <c r="II172" s="2583"/>
      <c r="IJ172" s="2583"/>
      <c r="IK172" s="2583"/>
      <c r="IL172" s="2583"/>
      <c r="IM172" s="2583"/>
      <c r="IN172" s="2583"/>
      <c r="IO172" s="2583"/>
      <c r="IP172" s="2583"/>
      <c r="IQ172" s="2583"/>
      <c r="IR172" s="2583"/>
      <c r="IS172" s="2583"/>
      <c r="IT172" s="2583"/>
      <c r="IU172" s="2583"/>
      <c r="IV172" s="2583"/>
    </row>
    <row r="173" spans="1:256">
      <c r="A173" s="2583" t="s">
        <v>2901</v>
      </c>
      <c r="B173" s="2583"/>
      <c r="C173" s="2584"/>
      <c r="D173" s="2584"/>
      <c r="E173" s="2584"/>
      <c r="F173" s="2584"/>
      <c r="G173" s="2584"/>
      <c r="H173" s="2584"/>
    </row>
    <row r="174" spans="1:256">
      <c r="A174" s="2583"/>
      <c r="B174" s="2583"/>
      <c r="C174" s="2584"/>
      <c r="D174" s="2584"/>
      <c r="E174" s="2584"/>
      <c r="F174" s="2584"/>
      <c r="G174" s="2584"/>
      <c r="H174" s="2584"/>
      <c r="AC174" s="2583"/>
      <c r="AD174" s="2583"/>
      <c r="AE174" s="2583"/>
      <c r="AF174" s="2583"/>
      <c r="AG174" s="2583"/>
      <c r="AH174" s="2583"/>
      <c r="AI174" s="2583"/>
      <c r="AJ174" s="2583"/>
      <c r="AK174" s="2583"/>
      <c r="AL174" s="2583"/>
      <c r="AM174" s="2583"/>
      <c r="AN174" s="2583"/>
      <c r="AO174" s="2583"/>
      <c r="AP174" s="2583"/>
      <c r="AQ174" s="2583"/>
      <c r="AR174" s="2583"/>
      <c r="AS174" s="2583"/>
      <c r="AT174" s="2583"/>
      <c r="AU174" s="2583"/>
      <c r="AV174" s="2583"/>
      <c r="AW174" s="2583"/>
      <c r="AX174" s="2583"/>
      <c r="AY174" s="2583"/>
      <c r="AZ174" s="2583"/>
      <c r="BA174" s="2583"/>
      <c r="BB174" s="2583"/>
      <c r="BC174" s="2583"/>
      <c r="BD174" s="2583"/>
      <c r="BE174" s="2583"/>
      <c r="BF174" s="2583"/>
      <c r="BG174" s="2583"/>
      <c r="BH174" s="2583"/>
      <c r="BI174" s="2583"/>
      <c r="BJ174" s="2583"/>
      <c r="BK174" s="2583"/>
      <c r="BL174" s="2583"/>
      <c r="BM174" s="2583"/>
      <c r="BN174" s="2583"/>
      <c r="BO174" s="2583"/>
      <c r="BP174" s="2583"/>
      <c r="BQ174" s="2583"/>
      <c r="BR174" s="2583"/>
      <c r="BS174" s="2583"/>
      <c r="BT174" s="2583"/>
      <c r="BU174" s="2583"/>
      <c r="BV174" s="2583"/>
      <c r="BW174" s="2583"/>
      <c r="BX174" s="2583"/>
      <c r="BY174" s="2583"/>
      <c r="BZ174" s="2583"/>
      <c r="CA174" s="2583"/>
      <c r="CB174" s="2583"/>
      <c r="CC174" s="2583"/>
      <c r="CD174" s="2583"/>
      <c r="CE174" s="2583"/>
      <c r="CF174" s="2583"/>
      <c r="CG174" s="2583"/>
      <c r="CH174" s="2583"/>
      <c r="CI174" s="2583"/>
      <c r="CJ174" s="2583"/>
      <c r="CK174" s="2583"/>
      <c r="CL174" s="2583"/>
      <c r="CM174" s="2583"/>
      <c r="CN174" s="2583"/>
      <c r="CO174" s="2583"/>
      <c r="CP174" s="2583"/>
      <c r="CQ174" s="2583"/>
      <c r="CR174" s="2583"/>
      <c r="CS174" s="2583"/>
      <c r="CT174" s="2583"/>
      <c r="CU174" s="2583"/>
      <c r="CV174" s="2583"/>
      <c r="CW174" s="2583"/>
      <c r="CX174" s="2583"/>
      <c r="CY174" s="2583"/>
      <c r="CZ174" s="2583"/>
      <c r="DA174" s="2583"/>
      <c r="DB174" s="2583"/>
      <c r="DC174" s="2583"/>
      <c r="DD174" s="2583"/>
      <c r="DE174" s="2583"/>
      <c r="DF174" s="2583"/>
      <c r="DG174" s="2583"/>
      <c r="DH174" s="2583"/>
      <c r="DI174" s="2583"/>
      <c r="DJ174" s="2583"/>
      <c r="DK174" s="2583"/>
      <c r="DL174" s="2583"/>
      <c r="DM174" s="2583"/>
      <c r="DN174" s="2583"/>
      <c r="DO174" s="2583"/>
      <c r="DP174" s="2583"/>
      <c r="DQ174" s="2583"/>
      <c r="DR174" s="2583"/>
      <c r="DS174" s="2583"/>
      <c r="DT174" s="2583"/>
      <c r="DU174" s="2583"/>
      <c r="DV174" s="2583"/>
      <c r="DW174" s="2583"/>
      <c r="DX174" s="2583"/>
      <c r="DY174" s="2583"/>
      <c r="DZ174" s="2583"/>
      <c r="EA174" s="2583"/>
      <c r="EB174" s="2583"/>
      <c r="EC174" s="2583"/>
      <c r="ED174" s="2583"/>
      <c r="EE174" s="2583"/>
      <c r="EF174" s="2583"/>
      <c r="EG174" s="2583"/>
      <c r="EH174" s="2583"/>
      <c r="EI174" s="2583"/>
      <c r="EJ174" s="2583"/>
      <c r="EK174" s="2583"/>
      <c r="EL174" s="2583"/>
      <c r="EM174" s="2583"/>
      <c r="EN174" s="2583"/>
      <c r="EO174" s="2583"/>
      <c r="EP174" s="2583"/>
      <c r="EQ174" s="2583"/>
      <c r="ER174" s="2583"/>
      <c r="ES174" s="2583"/>
      <c r="ET174" s="2583"/>
      <c r="EU174" s="2583"/>
      <c r="EV174" s="2583"/>
      <c r="EW174" s="2583"/>
      <c r="EX174" s="2583"/>
      <c r="EY174" s="2583"/>
      <c r="EZ174" s="2583"/>
      <c r="FA174" s="2583"/>
      <c r="FB174" s="2583"/>
      <c r="FC174" s="2583"/>
      <c r="FD174" s="2583"/>
      <c r="FE174" s="2583"/>
      <c r="FF174" s="2583"/>
      <c r="FG174" s="2583"/>
      <c r="FH174" s="2583"/>
      <c r="FI174" s="2583"/>
      <c r="FJ174" s="2583"/>
      <c r="FK174" s="2583"/>
      <c r="FL174" s="2583"/>
      <c r="FM174" s="2583"/>
      <c r="FN174" s="2583"/>
      <c r="FO174" s="2583"/>
      <c r="FP174" s="2583"/>
      <c r="FQ174" s="2583"/>
      <c r="FR174" s="2583"/>
      <c r="FS174" s="2583"/>
      <c r="FT174" s="2583"/>
      <c r="FU174" s="2583"/>
      <c r="FV174" s="2583"/>
      <c r="FW174" s="2583"/>
      <c r="FX174" s="2583"/>
      <c r="FY174" s="2583"/>
      <c r="FZ174" s="2583"/>
      <c r="GA174" s="2583"/>
      <c r="GB174" s="2583"/>
      <c r="GC174" s="2583"/>
      <c r="GD174" s="2583"/>
      <c r="GE174" s="2583"/>
      <c r="GF174" s="2583"/>
      <c r="GG174" s="2583"/>
      <c r="GH174" s="2583"/>
      <c r="GI174" s="2583"/>
      <c r="GJ174" s="2583"/>
      <c r="GK174" s="2583"/>
      <c r="GL174" s="2583"/>
      <c r="GM174" s="2583"/>
      <c r="GN174" s="2583"/>
      <c r="GO174" s="2583"/>
      <c r="GP174" s="2583"/>
      <c r="GQ174" s="2583"/>
      <c r="GR174" s="2583"/>
      <c r="GS174" s="2583"/>
      <c r="GT174" s="2583"/>
      <c r="GU174" s="2583"/>
      <c r="GV174" s="2583"/>
      <c r="GW174" s="2583"/>
      <c r="GX174" s="2583"/>
      <c r="GY174" s="2583"/>
      <c r="GZ174" s="2583"/>
      <c r="HA174" s="2583"/>
      <c r="HB174" s="2583"/>
      <c r="HC174" s="2583"/>
      <c r="HD174" s="2583"/>
      <c r="HE174" s="2583"/>
      <c r="HF174" s="2583"/>
      <c r="HG174" s="2583"/>
      <c r="HH174" s="2583"/>
      <c r="HI174" s="2583"/>
      <c r="HJ174" s="2583"/>
      <c r="HK174" s="2583"/>
      <c r="HL174" s="2583"/>
      <c r="HM174" s="2583"/>
      <c r="HN174" s="2583"/>
      <c r="HO174" s="2583"/>
      <c r="HP174" s="2583"/>
      <c r="HQ174" s="2583"/>
      <c r="HR174" s="2583"/>
      <c r="HS174" s="2583"/>
      <c r="HT174" s="2583"/>
      <c r="HU174" s="2583"/>
      <c r="HV174" s="2583"/>
      <c r="HW174" s="2583"/>
      <c r="HX174" s="2583"/>
      <c r="HY174" s="2583"/>
      <c r="HZ174" s="2583"/>
      <c r="IA174" s="2583"/>
      <c r="IB174" s="2583"/>
      <c r="IC174" s="2583"/>
      <c r="ID174" s="2583"/>
      <c r="IE174" s="2583"/>
      <c r="IF174" s="2583"/>
      <c r="IG174" s="2583"/>
      <c r="IH174" s="2583"/>
      <c r="II174" s="2583"/>
      <c r="IJ174" s="2583"/>
      <c r="IK174" s="2583"/>
      <c r="IL174" s="2583"/>
      <c r="IM174" s="2583"/>
      <c r="IN174" s="2583"/>
      <c r="IO174" s="2583"/>
      <c r="IP174" s="2583"/>
      <c r="IQ174" s="2583"/>
      <c r="IR174" s="2583"/>
      <c r="IS174" s="2583"/>
      <c r="IT174" s="2583"/>
      <c r="IU174" s="2583"/>
      <c r="IV174" s="2583"/>
    </row>
    <row r="175" spans="1:256">
      <c r="A175" s="2583"/>
      <c r="B175" s="2583"/>
      <c r="C175" s="2584"/>
      <c r="D175" s="2584"/>
      <c r="E175" s="2584"/>
      <c r="F175" s="2584"/>
      <c r="G175" s="2584"/>
      <c r="H175" s="2584"/>
      <c r="AC175" s="2583"/>
      <c r="AD175" s="2583"/>
      <c r="AE175" s="2583"/>
      <c r="AF175" s="2583"/>
      <c r="AG175" s="2583"/>
      <c r="AH175" s="2583"/>
      <c r="AI175" s="2583"/>
      <c r="AJ175" s="2583"/>
      <c r="AK175" s="2583"/>
      <c r="AL175" s="2583"/>
      <c r="AM175" s="2583"/>
      <c r="AN175" s="2583"/>
      <c r="AO175" s="2583"/>
      <c r="AP175" s="2583"/>
      <c r="AQ175" s="2583"/>
      <c r="AR175" s="2583"/>
      <c r="AS175" s="2583"/>
      <c r="AT175" s="2583"/>
      <c r="AU175" s="2583"/>
      <c r="AV175" s="2583"/>
      <c r="AW175" s="2583"/>
      <c r="AX175" s="2583"/>
      <c r="AY175" s="2583"/>
      <c r="AZ175" s="2583"/>
      <c r="BA175" s="2583"/>
      <c r="BB175" s="2583"/>
      <c r="BC175" s="2583"/>
      <c r="BD175" s="2583"/>
      <c r="BE175" s="2583"/>
      <c r="BF175" s="2583"/>
      <c r="BG175" s="2583"/>
      <c r="BH175" s="2583"/>
      <c r="BI175" s="2583"/>
      <c r="BJ175" s="2583"/>
      <c r="BK175" s="2583"/>
      <c r="BL175" s="2583"/>
      <c r="BM175" s="2583"/>
      <c r="BN175" s="2583"/>
      <c r="BO175" s="2583"/>
      <c r="BP175" s="2583"/>
      <c r="BQ175" s="2583"/>
      <c r="BR175" s="2583"/>
      <c r="BS175" s="2583"/>
      <c r="BT175" s="2583"/>
      <c r="BU175" s="2583"/>
      <c r="BV175" s="2583"/>
      <c r="BW175" s="2583"/>
      <c r="BX175" s="2583"/>
      <c r="BY175" s="2583"/>
      <c r="BZ175" s="2583"/>
      <c r="CA175" s="2583"/>
      <c r="CB175" s="2583"/>
      <c r="CC175" s="2583"/>
      <c r="CD175" s="2583"/>
      <c r="CE175" s="2583"/>
      <c r="CF175" s="2583"/>
      <c r="CG175" s="2583"/>
      <c r="CH175" s="2583"/>
      <c r="CI175" s="2583"/>
      <c r="CJ175" s="2583"/>
      <c r="CK175" s="2583"/>
      <c r="CL175" s="2583"/>
      <c r="CM175" s="2583"/>
      <c r="CN175" s="2583"/>
      <c r="CO175" s="2583"/>
      <c r="CP175" s="2583"/>
      <c r="CQ175" s="2583"/>
      <c r="CR175" s="2583"/>
      <c r="CS175" s="2583"/>
      <c r="CT175" s="2583"/>
      <c r="CU175" s="2583"/>
      <c r="CV175" s="2583"/>
      <c r="CW175" s="2583"/>
      <c r="CX175" s="2583"/>
      <c r="CY175" s="2583"/>
      <c r="CZ175" s="2583"/>
      <c r="DA175" s="2583"/>
      <c r="DB175" s="2583"/>
      <c r="DC175" s="2583"/>
      <c r="DD175" s="2583"/>
      <c r="DE175" s="2583"/>
      <c r="DF175" s="2583"/>
      <c r="DG175" s="2583"/>
      <c r="DH175" s="2583"/>
      <c r="DI175" s="2583"/>
      <c r="DJ175" s="2583"/>
      <c r="DK175" s="2583"/>
      <c r="DL175" s="2583"/>
      <c r="DM175" s="2583"/>
      <c r="DN175" s="2583"/>
      <c r="DO175" s="2583"/>
      <c r="DP175" s="2583"/>
      <c r="DQ175" s="2583"/>
      <c r="DR175" s="2583"/>
      <c r="DS175" s="2583"/>
      <c r="DT175" s="2583"/>
      <c r="DU175" s="2583"/>
      <c r="DV175" s="2583"/>
      <c r="DW175" s="2583"/>
      <c r="DX175" s="2583"/>
      <c r="DY175" s="2583"/>
      <c r="DZ175" s="2583"/>
      <c r="EA175" s="2583"/>
      <c r="EB175" s="2583"/>
      <c r="EC175" s="2583"/>
      <c r="ED175" s="2583"/>
      <c r="EE175" s="2583"/>
      <c r="EF175" s="2583"/>
      <c r="EG175" s="2583"/>
      <c r="EH175" s="2583"/>
      <c r="EI175" s="2583"/>
      <c r="EJ175" s="2583"/>
      <c r="EK175" s="2583"/>
      <c r="EL175" s="2583"/>
      <c r="EM175" s="2583"/>
      <c r="EN175" s="2583"/>
      <c r="EO175" s="2583"/>
      <c r="EP175" s="2583"/>
      <c r="EQ175" s="2583"/>
      <c r="ER175" s="2583"/>
      <c r="ES175" s="2583"/>
      <c r="ET175" s="2583"/>
      <c r="EU175" s="2583"/>
      <c r="EV175" s="2583"/>
      <c r="EW175" s="2583"/>
      <c r="EX175" s="2583"/>
      <c r="EY175" s="2583"/>
      <c r="EZ175" s="2583"/>
      <c r="FA175" s="2583"/>
      <c r="FB175" s="2583"/>
      <c r="FC175" s="2583"/>
      <c r="FD175" s="2583"/>
      <c r="FE175" s="2583"/>
      <c r="FF175" s="2583"/>
      <c r="FG175" s="2583"/>
      <c r="FH175" s="2583"/>
      <c r="FI175" s="2583"/>
      <c r="FJ175" s="2583"/>
      <c r="FK175" s="2583"/>
      <c r="FL175" s="2583"/>
      <c r="FM175" s="2583"/>
      <c r="FN175" s="2583"/>
      <c r="FO175" s="2583"/>
      <c r="FP175" s="2583"/>
      <c r="FQ175" s="2583"/>
      <c r="FR175" s="2583"/>
      <c r="FS175" s="2583"/>
      <c r="FT175" s="2583"/>
      <c r="FU175" s="2583"/>
      <c r="FV175" s="2583"/>
      <c r="FW175" s="2583"/>
      <c r="FX175" s="2583"/>
      <c r="FY175" s="2583"/>
      <c r="FZ175" s="2583"/>
      <c r="GA175" s="2583"/>
      <c r="GB175" s="2583"/>
      <c r="GC175" s="2583"/>
      <c r="GD175" s="2583"/>
      <c r="GE175" s="2583"/>
      <c r="GF175" s="2583"/>
      <c r="GG175" s="2583"/>
      <c r="GH175" s="2583"/>
      <c r="GI175" s="2583"/>
      <c r="GJ175" s="2583"/>
      <c r="GK175" s="2583"/>
      <c r="GL175" s="2583"/>
      <c r="GM175" s="2583"/>
      <c r="GN175" s="2583"/>
      <c r="GO175" s="2583"/>
      <c r="GP175" s="2583"/>
      <c r="GQ175" s="2583"/>
      <c r="GR175" s="2583"/>
      <c r="GS175" s="2583"/>
      <c r="GT175" s="2583"/>
      <c r="GU175" s="2583"/>
      <c r="GV175" s="2583"/>
      <c r="GW175" s="2583"/>
      <c r="GX175" s="2583"/>
      <c r="GY175" s="2583"/>
      <c r="GZ175" s="2583"/>
      <c r="HA175" s="2583"/>
      <c r="HB175" s="2583"/>
      <c r="HC175" s="2583"/>
      <c r="HD175" s="2583"/>
      <c r="HE175" s="2583"/>
      <c r="HF175" s="2583"/>
      <c r="HG175" s="2583"/>
      <c r="HH175" s="2583"/>
      <c r="HI175" s="2583"/>
      <c r="HJ175" s="2583"/>
      <c r="HK175" s="2583"/>
      <c r="HL175" s="2583"/>
      <c r="HM175" s="2583"/>
      <c r="HN175" s="2583"/>
      <c r="HO175" s="2583"/>
      <c r="HP175" s="2583"/>
      <c r="HQ175" s="2583"/>
      <c r="HR175" s="2583"/>
      <c r="HS175" s="2583"/>
      <c r="HT175" s="2583"/>
      <c r="HU175" s="2583"/>
      <c r="HV175" s="2583"/>
      <c r="HW175" s="2583"/>
      <c r="HX175" s="2583"/>
      <c r="HY175" s="2583"/>
      <c r="HZ175" s="2583"/>
      <c r="IA175" s="2583"/>
      <c r="IB175" s="2583"/>
      <c r="IC175" s="2583"/>
      <c r="ID175" s="2583"/>
      <c r="IE175" s="2583"/>
      <c r="IF175" s="2583"/>
      <c r="IG175" s="2583"/>
      <c r="IH175" s="2583"/>
      <c r="II175" s="2583"/>
      <c r="IJ175" s="2583"/>
      <c r="IK175" s="2583"/>
      <c r="IL175" s="2583"/>
      <c r="IM175" s="2583"/>
      <c r="IN175" s="2583"/>
      <c r="IO175" s="2583"/>
      <c r="IP175" s="2583"/>
      <c r="IQ175" s="2583"/>
      <c r="IR175" s="2583"/>
      <c r="IS175" s="2583"/>
      <c r="IT175" s="2583"/>
      <c r="IU175" s="2583"/>
      <c r="IV175" s="2583"/>
    </row>
    <row r="176" spans="1:256">
      <c r="A176" s="2583" t="s">
        <v>2945</v>
      </c>
      <c r="B176" s="2583"/>
      <c r="C176" s="2584"/>
      <c r="D176" s="2584"/>
      <c r="E176" s="2584"/>
      <c r="F176" s="2584"/>
      <c r="G176" s="2584"/>
      <c r="H176" s="2584"/>
    </row>
    <row r="177" spans="1:256">
      <c r="A177" s="2583"/>
      <c r="B177" s="2583"/>
      <c r="C177" s="2584"/>
      <c r="D177" s="2584"/>
      <c r="E177" s="2584"/>
      <c r="F177" s="2584"/>
      <c r="G177" s="2584"/>
      <c r="H177" s="2584"/>
      <c r="AC177" s="2583"/>
      <c r="AD177" s="2583"/>
      <c r="AE177" s="2583"/>
      <c r="AF177" s="2583"/>
      <c r="AG177" s="2583"/>
      <c r="AH177" s="2583"/>
      <c r="AI177" s="2583"/>
      <c r="AJ177" s="2583"/>
      <c r="AK177" s="2583"/>
      <c r="AL177" s="2583"/>
      <c r="AM177" s="2583"/>
      <c r="AN177" s="2583"/>
      <c r="AO177" s="2583"/>
      <c r="AP177" s="2583"/>
      <c r="AQ177" s="2583"/>
      <c r="AR177" s="2583"/>
      <c r="AS177" s="2583"/>
      <c r="AT177" s="2583"/>
      <c r="AU177" s="2583"/>
      <c r="AV177" s="2583"/>
      <c r="AW177" s="2583"/>
      <c r="AX177" s="2583"/>
      <c r="AY177" s="2583"/>
      <c r="AZ177" s="2583"/>
      <c r="BA177" s="2583"/>
      <c r="BB177" s="2583"/>
      <c r="BC177" s="2583"/>
      <c r="BD177" s="2583"/>
      <c r="BE177" s="2583"/>
      <c r="BF177" s="2583"/>
      <c r="BG177" s="2583"/>
      <c r="BH177" s="2583"/>
      <c r="BI177" s="2583"/>
      <c r="BJ177" s="2583"/>
      <c r="BK177" s="2583"/>
      <c r="BL177" s="2583"/>
      <c r="BM177" s="2583"/>
      <c r="BN177" s="2583"/>
      <c r="BO177" s="2583"/>
      <c r="BP177" s="2583"/>
      <c r="BQ177" s="2583"/>
      <c r="BR177" s="2583"/>
      <c r="BS177" s="2583"/>
      <c r="BT177" s="2583"/>
      <c r="BU177" s="2583"/>
      <c r="BV177" s="2583"/>
      <c r="BW177" s="2583"/>
      <c r="BX177" s="2583"/>
      <c r="BY177" s="2583"/>
      <c r="BZ177" s="2583"/>
      <c r="CA177" s="2583"/>
      <c r="CB177" s="2583"/>
      <c r="CC177" s="2583"/>
      <c r="CD177" s="2583"/>
      <c r="CE177" s="2583"/>
      <c r="CF177" s="2583"/>
      <c r="CG177" s="2583"/>
      <c r="CH177" s="2583"/>
      <c r="CI177" s="2583"/>
      <c r="CJ177" s="2583"/>
      <c r="CK177" s="2583"/>
      <c r="CL177" s="2583"/>
      <c r="CM177" s="2583"/>
      <c r="CN177" s="2583"/>
      <c r="CO177" s="2583"/>
      <c r="CP177" s="2583"/>
      <c r="CQ177" s="2583"/>
      <c r="CR177" s="2583"/>
      <c r="CS177" s="2583"/>
      <c r="CT177" s="2583"/>
      <c r="CU177" s="2583"/>
      <c r="CV177" s="2583"/>
      <c r="CW177" s="2583"/>
      <c r="CX177" s="2583"/>
      <c r="CY177" s="2583"/>
      <c r="CZ177" s="2583"/>
      <c r="DA177" s="2583"/>
      <c r="DB177" s="2583"/>
      <c r="DC177" s="2583"/>
      <c r="DD177" s="2583"/>
      <c r="DE177" s="2583"/>
      <c r="DF177" s="2583"/>
      <c r="DG177" s="2583"/>
      <c r="DH177" s="2583"/>
      <c r="DI177" s="2583"/>
      <c r="DJ177" s="2583"/>
      <c r="DK177" s="2583"/>
      <c r="DL177" s="2583"/>
      <c r="DM177" s="2583"/>
      <c r="DN177" s="2583"/>
      <c r="DO177" s="2583"/>
      <c r="DP177" s="2583"/>
      <c r="DQ177" s="2583"/>
      <c r="DR177" s="2583"/>
      <c r="DS177" s="2583"/>
      <c r="DT177" s="2583"/>
      <c r="DU177" s="2583"/>
      <c r="DV177" s="2583"/>
      <c r="DW177" s="2583"/>
      <c r="DX177" s="2583"/>
      <c r="DY177" s="2583"/>
      <c r="DZ177" s="2583"/>
      <c r="EA177" s="2583"/>
      <c r="EB177" s="2583"/>
      <c r="EC177" s="2583"/>
      <c r="ED177" s="2583"/>
      <c r="EE177" s="2583"/>
      <c r="EF177" s="2583"/>
      <c r="EG177" s="2583"/>
      <c r="EH177" s="2583"/>
      <c r="EI177" s="2583"/>
      <c r="EJ177" s="2583"/>
      <c r="EK177" s="2583"/>
      <c r="EL177" s="2583"/>
      <c r="EM177" s="2583"/>
      <c r="EN177" s="2583"/>
      <c r="EO177" s="2583"/>
      <c r="EP177" s="2583"/>
      <c r="EQ177" s="2583"/>
      <c r="ER177" s="2583"/>
      <c r="ES177" s="2583"/>
      <c r="ET177" s="2583"/>
      <c r="EU177" s="2583"/>
      <c r="EV177" s="2583"/>
      <c r="EW177" s="2583"/>
      <c r="EX177" s="2583"/>
      <c r="EY177" s="2583"/>
      <c r="EZ177" s="2583"/>
      <c r="FA177" s="2583"/>
      <c r="FB177" s="2583"/>
      <c r="FC177" s="2583"/>
      <c r="FD177" s="2583"/>
      <c r="FE177" s="2583"/>
      <c r="FF177" s="2583"/>
      <c r="FG177" s="2583"/>
      <c r="FH177" s="2583"/>
      <c r="FI177" s="2583"/>
      <c r="FJ177" s="2583"/>
      <c r="FK177" s="2583"/>
      <c r="FL177" s="2583"/>
      <c r="FM177" s="2583"/>
      <c r="FN177" s="2583"/>
      <c r="FO177" s="2583"/>
      <c r="FP177" s="2583"/>
      <c r="FQ177" s="2583"/>
      <c r="FR177" s="2583"/>
      <c r="FS177" s="2583"/>
      <c r="FT177" s="2583"/>
      <c r="FU177" s="2583"/>
      <c r="FV177" s="2583"/>
      <c r="FW177" s="2583"/>
      <c r="FX177" s="2583"/>
      <c r="FY177" s="2583"/>
      <c r="FZ177" s="2583"/>
      <c r="GA177" s="2583"/>
      <c r="GB177" s="2583"/>
      <c r="GC177" s="2583"/>
      <c r="GD177" s="2583"/>
      <c r="GE177" s="2583"/>
      <c r="GF177" s="2583"/>
      <c r="GG177" s="2583"/>
      <c r="GH177" s="2583"/>
      <c r="GI177" s="2583"/>
      <c r="GJ177" s="2583"/>
      <c r="GK177" s="2583"/>
      <c r="GL177" s="2583"/>
      <c r="GM177" s="2583"/>
      <c r="GN177" s="2583"/>
      <c r="GO177" s="2583"/>
      <c r="GP177" s="2583"/>
      <c r="GQ177" s="2583"/>
      <c r="GR177" s="2583"/>
      <c r="GS177" s="2583"/>
      <c r="GT177" s="2583"/>
      <c r="GU177" s="2583"/>
      <c r="GV177" s="2583"/>
      <c r="GW177" s="2583"/>
      <c r="GX177" s="2583"/>
      <c r="GY177" s="2583"/>
      <c r="GZ177" s="2583"/>
      <c r="HA177" s="2583"/>
      <c r="HB177" s="2583"/>
      <c r="HC177" s="2583"/>
      <c r="HD177" s="2583"/>
      <c r="HE177" s="2583"/>
      <c r="HF177" s="2583"/>
      <c r="HG177" s="2583"/>
      <c r="HH177" s="2583"/>
      <c r="HI177" s="2583"/>
      <c r="HJ177" s="2583"/>
      <c r="HK177" s="2583"/>
      <c r="HL177" s="2583"/>
      <c r="HM177" s="2583"/>
      <c r="HN177" s="2583"/>
      <c r="HO177" s="2583"/>
      <c r="HP177" s="2583"/>
      <c r="HQ177" s="2583"/>
      <c r="HR177" s="2583"/>
      <c r="HS177" s="2583"/>
      <c r="HT177" s="2583"/>
      <c r="HU177" s="2583"/>
      <c r="HV177" s="2583"/>
      <c r="HW177" s="2583"/>
      <c r="HX177" s="2583"/>
      <c r="HY177" s="2583"/>
      <c r="HZ177" s="2583"/>
      <c r="IA177" s="2583"/>
      <c r="IB177" s="2583"/>
      <c r="IC177" s="2583"/>
      <c r="ID177" s="2583"/>
      <c r="IE177" s="2583"/>
      <c r="IF177" s="2583"/>
      <c r="IG177" s="2583"/>
      <c r="IH177" s="2583"/>
      <c r="II177" s="2583"/>
      <c r="IJ177" s="2583"/>
      <c r="IK177" s="2583"/>
      <c r="IL177" s="2583"/>
      <c r="IM177" s="2583"/>
      <c r="IN177" s="2583"/>
      <c r="IO177" s="2583"/>
      <c r="IP177" s="2583"/>
      <c r="IQ177" s="2583"/>
      <c r="IR177" s="2583"/>
      <c r="IS177" s="2583"/>
      <c r="IT177" s="2583"/>
      <c r="IU177" s="2583"/>
      <c r="IV177" s="2583"/>
    </row>
    <row r="178" spans="1:256">
      <c r="A178" s="2583"/>
      <c r="B178" s="2583"/>
      <c r="C178" s="2584"/>
      <c r="D178" s="2584"/>
      <c r="E178" s="2584"/>
      <c r="F178" s="2584"/>
      <c r="G178" s="2584"/>
      <c r="H178" s="2584"/>
      <c r="AC178" s="2583"/>
      <c r="AD178" s="2583"/>
      <c r="AE178" s="2583"/>
      <c r="AF178" s="2583"/>
      <c r="AG178" s="2583"/>
      <c r="AH178" s="2583"/>
      <c r="AI178" s="2583"/>
      <c r="AJ178" s="2583"/>
      <c r="AK178" s="2583"/>
      <c r="AL178" s="2583"/>
      <c r="AM178" s="2583"/>
      <c r="AN178" s="2583"/>
      <c r="AO178" s="2583"/>
      <c r="AP178" s="2583"/>
      <c r="AQ178" s="2583"/>
      <c r="AR178" s="2583"/>
      <c r="AS178" s="2583"/>
      <c r="AT178" s="2583"/>
      <c r="AU178" s="2583"/>
      <c r="AV178" s="2583"/>
      <c r="AW178" s="2583"/>
      <c r="AX178" s="2583"/>
      <c r="AY178" s="2583"/>
      <c r="AZ178" s="2583"/>
      <c r="BA178" s="2583"/>
      <c r="BB178" s="2583"/>
      <c r="BC178" s="2583"/>
      <c r="BD178" s="2583"/>
      <c r="BE178" s="2583"/>
      <c r="BF178" s="2583"/>
      <c r="BG178" s="2583"/>
      <c r="BH178" s="2583"/>
      <c r="BI178" s="2583"/>
      <c r="BJ178" s="2583"/>
      <c r="BK178" s="2583"/>
      <c r="BL178" s="2583"/>
      <c r="BM178" s="2583"/>
      <c r="BN178" s="2583"/>
      <c r="BO178" s="2583"/>
      <c r="BP178" s="2583"/>
      <c r="BQ178" s="2583"/>
      <c r="BR178" s="2583"/>
      <c r="BS178" s="2583"/>
      <c r="BT178" s="2583"/>
      <c r="BU178" s="2583"/>
      <c r="BV178" s="2583"/>
      <c r="BW178" s="2583"/>
      <c r="BX178" s="2583"/>
      <c r="BY178" s="2583"/>
      <c r="BZ178" s="2583"/>
      <c r="CA178" s="2583"/>
      <c r="CB178" s="2583"/>
      <c r="CC178" s="2583"/>
      <c r="CD178" s="2583"/>
      <c r="CE178" s="2583"/>
      <c r="CF178" s="2583"/>
      <c r="CG178" s="2583"/>
      <c r="CH178" s="2583"/>
      <c r="CI178" s="2583"/>
      <c r="CJ178" s="2583"/>
      <c r="CK178" s="2583"/>
      <c r="CL178" s="2583"/>
      <c r="CM178" s="2583"/>
      <c r="CN178" s="2583"/>
      <c r="CO178" s="2583"/>
      <c r="CP178" s="2583"/>
      <c r="CQ178" s="2583"/>
      <c r="CR178" s="2583"/>
      <c r="CS178" s="2583"/>
      <c r="CT178" s="2583"/>
      <c r="CU178" s="2583"/>
      <c r="CV178" s="2583"/>
      <c r="CW178" s="2583"/>
      <c r="CX178" s="2583"/>
      <c r="CY178" s="2583"/>
      <c r="CZ178" s="2583"/>
      <c r="DA178" s="2583"/>
      <c r="DB178" s="2583"/>
      <c r="DC178" s="2583"/>
      <c r="DD178" s="2583"/>
      <c r="DE178" s="2583"/>
      <c r="DF178" s="2583"/>
      <c r="DG178" s="2583"/>
      <c r="DH178" s="2583"/>
      <c r="DI178" s="2583"/>
      <c r="DJ178" s="2583"/>
      <c r="DK178" s="2583"/>
      <c r="DL178" s="2583"/>
      <c r="DM178" s="2583"/>
      <c r="DN178" s="2583"/>
      <c r="DO178" s="2583"/>
      <c r="DP178" s="2583"/>
      <c r="DQ178" s="2583"/>
      <c r="DR178" s="2583"/>
      <c r="DS178" s="2583"/>
      <c r="DT178" s="2583"/>
      <c r="DU178" s="2583"/>
      <c r="DV178" s="2583"/>
      <c r="DW178" s="2583"/>
      <c r="DX178" s="2583"/>
      <c r="DY178" s="2583"/>
      <c r="DZ178" s="2583"/>
      <c r="EA178" s="2583"/>
      <c r="EB178" s="2583"/>
      <c r="EC178" s="2583"/>
      <c r="ED178" s="2583"/>
      <c r="EE178" s="2583"/>
      <c r="EF178" s="2583"/>
      <c r="EG178" s="2583"/>
      <c r="EH178" s="2583"/>
      <c r="EI178" s="2583"/>
      <c r="EJ178" s="2583"/>
      <c r="EK178" s="2583"/>
      <c r="EL178" s="2583"/>
      <c r="EM178" s="2583"/>
      <c r="EN178" s="2583"/>
      <c r="EO178" s="2583"/>
      <c r="EP178" s="2583"/>
      <c r="EQ178" s="2583"/>
      <c r="ER178" s="2583"/>
      <c r="ES178" s="2583"/>
      <c r="ET178" s="2583"/>
      <c r="EU178" s="2583"/>
      <c r="EV178" s="2583"/>
      <c r="EW178" s="2583"/>
      <c r="EX178" s="2583"/>
      <c r="EY178" s="2583"/>
      <c r="EZ178" s="2583"/>
      <c r="FA178" s="2583"/>
      <c r="FB178" s="2583"/>
      <c r="FC178" s="2583"/>
      <c r="FD178" s="2583"/>
      <c r="FE178" s="2583"/>
      <c r="FF178" s="2583"/>
      <c r="FG178" s="2583"/>
      <c r="FH178" s="2583"/>
      <c r="FI178" s="2583"/>
      <c r="FJ178" s="2583"/>
      <c r="FK178" s="2583"/>
      <c r="FL178" s="2583"/>
      <c r="FM178" s="2583"/>
      <c r="FN178" s="2583"/>
      <c r="FO178" s="2583"/>
      <c r="FP178" s="2583"/>
      <c r="FQ178" s="2583"/>
      <c r="FR178" s="2583"/>
      <c r="FS178" s="2583"/>
      <c r="FT178" s="2583"/>
      <c r="FU178" s="2583"/>
      <c r="FV178" s="2583"/>
      <c r="FW178" s="2583"/>
      <c r="FX178" s="2583"/>
      <c r="FY178" s="2583"/>
      <c r="FZ178" s="2583"/>
      <c r="GA178" s="2583"/>
      <c r="GB178" s="2583"/>
      <c r="GC178" s="2583"/>
      <c r="GD178" s="2583"/>
      <c r="GE178" s="2583"/>
      <c r="GF178" s="2583"/>
      <c r="GG178" s="2583"/>
      <c r="GH178" s="2583"/>
      <c r="GI178" s="2583"/>
      <c r="GJ178" s="2583"/>
      <c r="GK178" s="2583"/>
      <c r="GL178" s="2583"/>
      <c r="GM178" s="2583"/>
      <c r="GN178" s="2583"/>
      <c r="GO178" s="2583"/>
      <c r="GP178" s="2583"/>
      <c r="GQ178" s="2583"/>
      <c r="GR178" s="2583"/>
      <c r="GS178" s="2583"/>
      <c r="GT178" s="2583"/>
      <c r="GU178" s="2583"/>
      <c r="GV178" s="2583"/>
      <c r="GW178" s="2583"/>
      <c r="GX178" s="2583"/>
      <c r="GY178" s="2583"/>
      <c r="GZ178" s="2583"/>
      <c r="HA178" s="2583"/>
      <c r="HB178" s="2583"/>
      <c r="HC178" s="2583"/>
      <c r="HD178" s="2583"/>
      <c r="HE178" s="2583"/>
      <c r="HF178" s="2583"/>
      <c r="HG178" s="2583"/>
      <c r="HH178" s="2583"/>
      <c r="HI178" s="2583"/>
      <c r="HJ178" s="2583"/>
      <c r="HK178" s="2583"/>
      <c r="HL178" s="2583"/>
      <c r="HM178" s="2583"/>
      <c r="HN178" s="2583"/>
      <c r="HO178" s="2583"/>
      <c r="HP178" s="2583"/>
      <c r="HQ178" s="2583"/>
      <c r="HR178" s="2583"/>
      <c r="HS178" s="2583"/>
      <c r="HT178" s="2583"/>
      <c r="HU178" s="2583"/>
      <c r="HV178" s="2583"/>
      <c r="HW178" s="2583"/>
      <c r="HX178" s="2583"/>
      <c r="HY178" s="2583"/>
      <c r="HZ178" s="2583"/>
      <c r="IA178" s="2583"/>
      <c r="IB178" s="2583"/>
      <c r="IC178" s="2583"/>
      <c r="ID178" s="2583"/>
      <c r="IE178" s="2583"/>
      <c r="IF178" s="2583"/>
      <c r="IG178" s="2583"/>
      <c r="IH178" s="2583"/>
      <c r="II178" s="2583"/>
      <c r="IJ178" s="2583"/>
      <c r="IK178" s="2583"/>
      <c r="IL178" s="2583"/>
      <c r="IM178" s="2583"/>
      <c r="IN178" s="2583"/>
      <c r="IO178" s="2583"/>
      <c r="IP178" s="2583"/>
      <c r="IQ178" s="2583"/>
      <c r="IR178" s="2583"/>
      <c r="IS178" s="2583"/>
      <c r="IT178" s="2583"/>
      <c r="IU178" s="2583"/>
      <c r="IV178" s="2583"/>
    </row>
    <row r="179" spans="1:256">
      <c r="A179" s="2583"/>
      <c r="B179" s="2583"/>
      <c r="C179" s="2584"/>
      <c r="D179" s="2584"/>
      <c r="E179" s="2584"/>
      <c r="F179" s="2584"/>
      <c r="G179" s="2584"/>
      <c r="H179" s="2584"/>
      <c r="AC179" s="2583"/>
      <c r="AD179" s="2583"/>
      <c r="AE179" s="2583"/>
      <c r="AF179" s="2583"/>
      <c r="AG179" s="2583"/>
      <c r="AH179" s="2583"/>
      <c r="AI179" s="2583"/>
      <c r="AJ179" s="2583"/>
      <c r="AK179" s="2583"/>
      <c r="AL179" s="2583"/>
      <c r="AM179" s="2583"/>
      <c r="AN179" s="2583"/>
      <c r="AO179" s="2583"/>
      <c r="AP179" s="2583"/>
      <c r="AQ179" s="2583"/>
      <c r="AR179" s="2583"/>
      <c r="AS179" s="2583"/>
      <c r="AT179" s="2583"/>
      <c r="AU179" s="2583"/>
      <c r="AV179" s="2583"/>
      <c r="AW179" s="2583"/>
      <c r="AX179" s="2583"/>
      <c r="AY179" s="2583"/>
      <c r="AZ179" s="2583"/>
      <c r="BA179" s="2583"/>
      <c r="BB179" s="2583"/>
      <c r="BC179" s="2583"/>
      <c r="BD179" s="2583"/>
      <c r="BE179" s="2583"/>
      <c r="BF179" s="2583"/>
      <c r="BG179" s="2583"/>
      <c r="BH179" s="2583"/>
      <c r="BI179" s="2583"/>
      <c r="BJ179" s="2583"/>
      <c r="BK179" s="2583"/>
      <c r="BL179" s="2583"/>
      <c r="BM179" s="2583"/>
      <c r="BN179" s="2583"/>
      <c r="BO179" s="2583"/>
      <c r="BP179" s="2583"/>
      <c r="BQ179" s="2583"/>
      <c r="BR179" s="2583"/>
      <c r="BS179" s="2583"/>
      <c r="BT179" s="2583"/>
      <c r="BU179" s="2583"/>
      <c r="BV179" s="2583"/>
      <c r="BW179" s="2583"/>
      <c r="BX179" s="2583"/>
      <c r="BY179" s="2583"/>
      <c r="BZ179" s="2583"/>
      <c r="CA179" s="2583"/>
      <c r="CB179" s="2583"/>
      <c r="CC179" s="2583"/>
      <c r="CD179" s="2583"/>
      <c r="CE179" s="2583"/>
      <c r="CF179" s="2583"/>
      <c r="CG179" s="2583"/>
      <c r="CH179" s="2583"/>
      <c r="CI179" s="2583"/>
      <c r="CJ179" s="2583"/>
      <c r="CK179" s="2583"/>
      <c r="CL179" s="2583"/>
      <c r="CM179" s="2583"/>
      <c r="CN179" s="2583"/>
      <c r="CO179" s="2583"/>
      <c r="CP179" s="2583"/>
      <c r="CQ179" s="2583"/>
      <c r="CR179" s="2583"/>
      <c r="CS179" s="2583"/>
      <c r="CT179" s="2583"/>
      <c r="CU179" s="2583"/>
      <c r="CV179" s="2583"/>
      <c r="CW179" s="2583"/>
      <c r="CX179" s="2583"/>
      <c r="CY179" s="2583"/>
      <c r="CZ179" s="2583"/>
      <c r="DA179" s="2583"/>
      <c r="DB179" s="2583"/>
      <c r="DC179" s="2583"/>
      <c r="DD179" s="2583"/>
      <c r="DE179" s="2583"/>
      <c r="DF179" s="2583"/>
      <c r="DG179" s="2583"/>
      <c r="DH179" s="2583"/>
      <c r="DI179" s="2583"/>
      <c r="DJ179" s="2583"/>
      <c r="DK179" s="2583"/>
      <c r="DL179" s="2583"/>
      <c r="DM179" s="2583"/>
      <c r="DN179" s="2583"/>
      <c r="DO179" s="2583"/>
      <c r="DP179" s="2583"/>
      <c r="DQ179" s="2583"/>
      <c r="DR179" s="2583"/>
      <c r="DS179" s="2583"/>
      <c r="DT179" s="2583"/>
      <c r="DU179" s="2583"/>
      <c r="DV179" s="2583"/>
      <c r="DW179" s="2583"/>
      <c r="DX179" s="2583"/>
      <c r="DY179" s="2583"/>
      <c r="DZ179" s="2583"/>
      <c r="EA179" s="2583"/>
      <c r="EB179" s="2583"/>
      <c r="EC179" s="2583"/>
      <c r="ED179" s="2583"/>
      <c r="EE179" s="2583"/>
      <c r="EF179" s="2583"/>
      <c r="EG179" s="2583"/>
      <c r="EH179" s="2583"/>
      <c r="EI179" s="2583"/>
      <c r="EJ179" s="2583"/>
      <c r="EK179" s="2583"/>
      <c r="EL179" s="2583"/>
      <c r="EM179" s="2583"/>
      <c r="EN179" s="2583"/>
      <c r="EO179" s="2583"/>
      <c r="EP179" s="2583"/>
      <c r="EQ179" s="2583"/>
      <c r="ER179" s="2583"/>
      <c r="ES179" s="2583"/>
      <c r="ET179" s="2583"/>
      <c r="EU179" s="2583"/>
      <c r="EV179" s="2583"/>
      <c r="EW179" s="2583"/>
      <c r="EX179" s="2583"/>
      <c r="EY179" s="2583"/>
      <c r="EZ179" s="2583"/>
      <c r="FA179" s="2583"/>
      <c r="FB179" s="2583"/>
      <c r="FC179" s="2583"/>
      <c r="FD179" s="2583"/>
      <c r="FE179" s="2583"/>
      <c r="FF179" s="2583"/>
      <c r="FG179" s="2583"/>
      <c r="FH179" s="2583"/>
      <c r="FI179" s="2583"/>
      <c r="FJ179" s="2583"/>
      <c r="FK179" s="2583"/>
      <c r="FL179" s="2583"/>
      <c r="FM179" s="2583"/>
      <c r="FN179" s="2583"/>
      <c r="FO179" s="2583"/>
      <c r="FP179" s="2583"/>
      <c r="FQ179" s="2583"/>
      <c r="FR179" s="2583"/>
      <c r="FS179" s="2583"/>
      <c r="FT179" s="2583"/>
      <c r="FU179" s="2583"/>
      <c r="FV179" s="2583"/>
      <c r="FW179" s="2583"/>
      <c r="FX179" s="2583"/>
      <c r="FY179" s="2583"/>
      <c r="FZ179" s="2583"/>
      <c r="GA179" s="2583"/>
      <c r="GB179" s="2583"/>
      <c r="GC179" s="2583"/>
      <c r="GD179" s="2583"/>
      <c r="GE179" s="2583"/>
      <c r="GF179" s="2583"/>
      <c r="GG179" s="2583"/>
      <c r="GH179" s="2583"/>
      <c r="GI179" s="2583"/>
      <c r="GJ179" s="2583"/>
      <c r="GK179" s="2583"/>
      <c r="GL179" s="2583"/>
      <c r="GM179" s="2583"/>
      <c r="GN179" s="2583"/>
      <c r="GO179" s="2583"/>
      <c r="GP179" s="2583"/>
      <c r="GQ179" s="2583"/>
      <c r="GR179" s="2583"/>
      <c r="GS179" s="2583"/>
      <c r="GT179" s="2583"/>
      <c r="GU179" s="2583"/>
      <c r="GV179" s="2583"/>
      <c r="GW179" s="2583"/>
      <c r="GX179" s="2583"/>
      <c r="GY179" s="2583"/>
      <c r="GZ179" s="2583"/>
      <c r="HA179" s="2583"/>
      <c r="HB179" s="2583"/>
      <c r="HC179" s="2583"/>
      <c r="HD179" s="2583"/>
      <c r="HE179" s="2583"/>
      <c r="HF179" s="2583"/>
      <c r="HG179" s="2583"/>
      <c r="HH179" s="2583"/>
      <c r="HI179" s="2583"/>
      <c r="HJ179" s="2583"/>
      <c r="HK179" s="2583"/>
      <c r="HL179" s="2583"/>
      <c r="HM179" s="2583"/>
      <c r="HN179" s="2583"/>
      <c r="HO179" s="2583"/>
      <c r="HP179" s="2583"/>
      <c r="HQ179" s="2583"/>
      <c r="HR179" s="2583"/>
      <c r="HS179" s="2583"/>
      <c r="HT179" s="2583"/>
      <c r="HU179" s="2583"/>
      <c r="HV179" s="2583"/>
      <c r="HW179" s="2583"/>
      <c r="HX179" s="2583"/>
      <c r="HY179" s="2583"/>
      <c r="HZ179" s="2583"/>
      <c r="IA179" s="2583"/>
      <c r="IB179" s="2583"/>
      <c r="IC179" s="2583"/>
      <c r="ID179" s="2583"/>
      <c r="IE179" s="2583"/>
      <c r="IF179" s="2583"/>
      <c r="IG179" s="2583"/>
      <c r="IH179" s="2583"/>
      <c r="II179" s="2583"/>
      <c r="IJ179" s="2583"/>
      <c r="IK179" s="2583"/>
      <c r="IL179" s="2583"/>
      <c r="IM179" s="2583"/>
      <c r="IN179" s="2583"/>
      <c r="IO179" s="2583"/>
      <c r="IP179" s="2583"/>
      <c r="IQ179" s="2583"/>
      <c r="IR179" s="2583"/>
      <c r="IS179" s="2583"/>
      <c r="IT179" s="2583"/>
      <c r="IU179" s="2583"/>
      <c r="IV179" s="2583"/>
    </row>
    <row r="180" spans="1:256">
      <c r="A180" s="2583"/>
      <c r="B180" s="2583"/>
      <c r="C180" s="2584"/>
      <c r="D180" s="2584"/>
      <c r="E180" s="2584"/>
      <c r="F180" s="2584"/>
      <c r="G180" s="2584"/>
      <c r="H180" s="2584"/>
      <c r="AC180" s="2583"/>
      <c r="AD180" s="2583"/>
      <c r="AE180" s="2583"/>
      <c r="AF180" s="2583"/>
      <c r="AG180" s="2583"/>
      <c r="AH180" s="2583"/>
      <c r="AI180" s="2583"/>
      <c r="AJ180" s="2583"/>
      <c r="AK180" s="2583"/>
      <c r="AL180" s="2583"/>
      <c r="AM180" s="2583"/>
      <c r="AN180" s="2583"/>
      <c r="AO180" s="2583"/>
      <c r="AP180" s="2583"/>
      <c r="AQ180" s="2583"/>
      <c r="AR180" s="2583"/>
      <c r="AS180" s="2583"/>
      <c r="AT180" s="2583"/>
      <c r="AU180" s="2583"/>
      <c r="AV180" s="2583"/>
      <c r="AW180" s="2583"/>
      <c r="AX180" s="2583"/>
      <c r="AY180" s="2583"/>
      <c r="AZ180" s="2583"/>
      <c r="BA180" s="2583"/>
      <c r="BB180" s="2583"/>
      <c r="BC180" s="2583"/>
      <c r="BD180" s="2583"/>
      <c r="BE180" s="2583"/>
      <c r="BF180" s="2583"/>
      <c r="BG180" s="2583"/>
      <c r="BH180" s="2583"/>
      <c r="BI180" s="2583"/>
      <c r="BJ180" s="2583"/>
      <c r="BK180" s="2583"/>
      <c r="BL180" s="2583"/>
      <c r="BM180" s="2583"/>
      <c r="BN180" s="2583"/>
      <c r="BO180" s="2583"/>
      <c r="BP180" s="2583"/>
      <c r="BQ180" s="2583"/>
      <c r="BR180" s="2583"/>
      <c r="BS180" s="2583"/>
      <c r="BT180" s="2583"/>
      <c r="BU180" s="2583"/>
      <c r="BV180" s="2583"/>
      <c r="BW180" s="2583"/>
      <c r="BX180" s="2583"/>
      <c r="BY180" s="2583"/>
      <c r="BZ180" s="2583"/>
      <c r="CA180" s="2583"/>
      <c r="CB180" s="2583"/>
      <c r="CC180" s="2583"/>
      <c r="CD180" s="2583"/>
      <c r="CE180" s="2583"/>
      <c r="CF180" s="2583"/>
      <c r="CG180" s="2583"/>
      <c r="CH180" s="2583"/>
      <c r="CI180" s="2583"/>
      <c r="CJ180" s="2583"/>
      <c r="CK180" s="2583"/>
      <c r="CL180" s="2583"/>
      <c r="CM180" s="2583"/>
      <c r="CN180" s="2583"/>
      <c r="CO180" s="2583"/>
      <c r="CP180" s="2583"/>
      <c r="CQ180" s="2583"/>
      <c r="CR180" s="2583"/>
      <c r="CS180" s="2583"/>
      <c r="CT180" s="2583"/>
      <c r="CU180" s="2583"/>
      <c r="CV180" s="2583"/>
      <c r="CW180" s="2583"/>
      <c r="CX180" s="2583"/>
      <c r="CY180" s="2583"/>
      <c r="CZ180" s="2583"/>
      <c r="DA180" s="2583"/>
      <c r="DB180" s="2583"/>
      <c r="DC180" s="2583"/>
      <c r="DD180" s="2583"/>
      <c r="DE180" s="2583"/>
      <c r="DF180" s="2583"/>
      <c r="DG180" s="2583"/>
      <c r="DH180" s="2583"/>
      <c r="DI180" s="2583"/>
      <c r="DJ180" s="2583"/>
      <c r="DK180" s="2583"/>
      <c r="DL180" s="2583"/>
      <c r="DM180" s="2583"/>
      <c r="DN180" s="2583"/>
      <c r="DO180" s="2583"/>
      <c r="DP180" s="2583"/>
      <c r="DQ180" s="2583"/>
      <c r="DR180" s="2583"/>
      <c r="DS180" s="2583"/>
      <c r="DT180" s="2583"/>
      <c r="DU180" s="2583"/>
      <c r="DV180" s="2583"/>
      <c r="DW180" s="2583"/>
      <c r="DX180" s="2583"/>
      <c r="DY180" s="2583"/>
      <c r="DZ180" s="2583"/>
      <c r="EA180" s="2583"/>
      <c r="EB180" s="2583"/>
      <c r="EC180" s="2583"/>
      <c r="ED180" s="2583"/>
      <c r="EE180" s="2583"/>
      <c r="EF180" s="2583"/>
      <c r="EG180" s="2583"/>
      <c r="EH180" s="2583"/>
      <c r="EI180" s="2583"/>
      <c r="EJ180" s="2583"/>
      <c r="EK180" s="2583"/>
      <c r="EL180" s="2583"/>
      <c r="EM180" s="2583"/>
      <c r="EN180" s="2583"/>
      <c r="EO180" s="2583"/>
      <c r="EP180" s="2583"/>
      <c r="EQ180" s="2583"/>
      <c r="ER180" s="2583"/>
      <c r="ES180" s="2583"/>
      <c r="ET180" s="2583"/>
      <c r="EU180" s="2583"/>
      <c r="EV180" s="2583"/>
      <c r="EW180" s="2583"/>
      <c r="EX180" s="2583"/>
      <c r="EY180" s="2583"/>
      <c r="EZ180" s="2583"/>
      <c r="FA180" s="2583"/>
      <c r="FB180" s="2583"/>
      <c r="FC180" s="2583"/>
      <c r="FD180" s="2583"/>
      <c r="FE180" s="2583"/>
      <c r="FF180" s="2583"/>
      <c r="FG180" s="2583"/>
      <c r="FH180" s="2583"/>
      <c r="FI180" s="2583"/>
      <c r="FJ180" s="2583"/>
      <c r="FK180" s="2583"/>
      <c r="FL180" s="2583"/>
      <c r="FM180" s="2583"/>
      <c r="FN180" s="2583"/>
      <c r="FO180" s="2583"/>
      <c r="FP180" s="2583"/>
      <c r="FQ180" s="2583"/>
      <c r="FR180" s="2583"/>
      <c r="FS180" s="2583"/>
      <c r="FT180" s="2583"/>
      <c r="FU180" s="2583"/>
      <c r="FV180" s="2583"/>
      <c r="FW180" s="2583"/>
      <c r="FX180" s="2583"/>
      <c r="FY180" s="2583"/>
      <c r="FZ180" s="2583"/>
      <c r="GA180" s="2583"/>
      <c r="GB180" s="2583"/>
      <c r="GC180" s="2583"/>
      <c r="GD180" s="2583"/>
      <c r="GE180" s="2583"/>
      <c r="GF180" s="2583"/>
      <c r="GG180" s="2583"/>
      <c r="GH180" s="2583"/>
      <c r="GI180" s="2583"/>
      <c r="GJ180" s="2583"/>
      <c r="GK180" s="2583"/>
      <c r="GL180" s="2583"/>
      <c r="GM180" s="2583"/>
      <c r="GN180" s="2583"/>
      <c r="GO180" s="2583"/>
      <c r="GP180" s="2583"/>
      <c r="GQ180" s="2583"/>
      <c r="GR180" s="2583"/>
      <c r="GS180" s="2583"/>
      <c r="GT180" s="2583"/>
      <c r="GU180" s="2583"/>
      <c r="GV180" s="2583"/>
      <c r="GW180" s="2583"/>
      <c r="GX180" s="2583"/>
      <c r="GY180" s="2583"/>
      <c r="GZ180" s="2583"/>
      <c r="HA180" s="2583"/>
      <c r="HB180" s="2583"/>
      <c r="HC180" s="2583"/>
      <c r="HD180" s="2583"/>
      <c r="HE180" s="2583"/>
      <c r="HF180" s="2583"/>
      <c r="HG180" s="2583"/>
      <c r="HH180" s="2583"/>
      <c r="HI180" s="2583"/>
      <c r="HJ180" s="2583"/>
      <c r="HK180" s="2583"/>
      <c r="HL180" s="2583"/>
      <c r="HM180" s="2583"/>
      <c r="HN180" s="2583"/>
      <c r="HO180" s="2583"/>
      <c r="HP180" s="2583"/>
      <c r="HQ180" s="2583"/>
      <c r="HR180" s="2583"/>
      <c r="HS180" s="2583"/>
      <c r="HT180" s="2583"/>
      <c r="HU180" s="2583"/>
      <c r="HV180" s="2583"/>
      <c r="HW180" s="2583"/>
      <c r="HX180" s="2583"/>
      <c r="HY180" s="2583"/>
      <c r="HZ180" s="2583"/>
      <c r="IA180" s="2583"/>
      <c r="IB180" s="2583"/>
      <c r="IC180" s="2583"/>
      <c r="ID180" s="2583"/>
      <c r="IE180" s="2583"/>
      <c r="IF180" s="2583"/>
      <c r="IG180" s="2583"/>
      <c r="IH180" s="2583"/>
      <c r="II180" s="2583"/>
      <c r="IJ180" s="2583"/>
      <c r="IK180" s="2583"/>
      <c r="IL180" s="2583"/>
      <c r="IM180" s="2583"/>
      <c r="IN180" s="2583"/>
      <c r="IO180" s="2583"/>
      <c r="IP180" s="2583"/>
      <c r="IQ180" s="2583"/>
      <c r="IR180" s="2583"/>
      <c r="IS180" s="2583"/>
      <c r="IT180" s="2583"/>
      <c r="IU180" s="2583"/>
      <c r="IV180" s="2583"/>
    </row>
    <row r="181" spans="1:256">
      <c r="A181" s="2583"/>
      <c r="B181" s="2583"/>
      <c r="C181" s="2584"/>
      <c r="D181" s="2584"/>
      <c r="E181" s="2584"/>
      <c r="F181" s="2584"/>
      <c r="G181" s="2584"/>
      <c r="H181" s="2584"/>
      <c r="AC181" s="2583"/>
      <c r="AD181" s="2583"/>
      <c r="AE181" s="2583"/>
      <c r="AF181" s="2583"/>
      <c r="AG181" s="2583"/>
      <c r="AH181" s="2583"/>
      <c r="AI181" s="2583"/>
      <c r="AJ181" s="2583"/>
      <c r="AK181" s="2583"/>
      <c r="AL181" s="2583"/>
      <c r="AM181" s="2583"/>
      <c r="AN181" s="2583"/>
      <c r="AO181" s="2583"/>
      <c r="AP181" s="2583"/>
      <c r="AQ181" s="2583"/>
      <c r="AR181" s="2583"/>
      <c r="AS181" s="2583"/>
      <c r="AT181" s="2583"/>
      <c r="AU181" s="2583"/>
      <c r="AV181" s="2583"/>
      <c r="AW181" s="2583"/>
      <c r="AX181" s="2583"/>
      <c r="AY181" s="2583"/>
      <c r="AZ181" s="2583"/>
      <c r="BA181" s="2583"/>
      <c r="BB181" s="2583"/>
      <c r="BC181" s="2583"/>
      <c r="BD181" s="2583"/>
      <c r="BE181" s="2583"/>
      <c r="BF181" s="2583"/>
      <c r="BG181" s="2583"/>
      <c r="BH181" s="2583"/>
      <c r="BI181" s="2583"/>
      <c r="BJ181" s="2583"/>
      <c r="BK181" s="2583"/>
      <c r="BL181" s="2583"/>
      <c r="BM181" s="2583"/>
      <c r="BN181" s="2583"/>
      <c r="BO181" s="2583"/>
      <c r="BP181" s="2583"/>
      <c r="BQ181" s="2583"/>
      <c r="BR181" s="2583"/>
      <c r="BS181" s="2583"/>
      <c r="BT181" s="2583"/>
      <c r="BU181" s="2583"/>
      <c r="BV181" s="2583"/>
      <c r="BW181" s="2583"/>
      <c r="BX181" s="2583"/>
      <c r="BY181" s="2583"/>
      <c r="BZ181" s="2583"/>
      <c r="CA181" s="2583"/>
      <c r="CB181" s="2583"/>
      <c r="CC181" s="2583"/>
      <c r="CD181" s="2583"/>
      <c r="CE181" s="2583"/>
      <c r="CF181" s="2583"/>
      <c r="CG181" s="2583"/>
      <c r="CH181" s="2583"/>
      <c r="CI181" s="2583"/>
      <c r="CJ181" s="2583"/>
      <c r="CK181" s="2583"/>
      <c r="CL181" s="2583"/>
      <c r="CM181" s="2583"/>
      <c r="CN181" s="2583"/>
      <c r="CO181" s="2583"/>
      <c r="CP181" s="2583"/>
      <c r="CQ181" s="2583"/>
      <c r="CR181" s="2583"/>
      <c r="CS181" s="2583"/>
      <c r="CT181" s="2583"/>
      <c r="CU181" s="2583"/>
      <c r="CV181" s="2583"/>
      <c r="CW181" s="2583"/>
      <c r="CX181" s="2583"/>
      <c r="CY181" s="2583"/>
      <c r="CZ181" s="2583"/>
      <c r="DA181" s="2583"/>
      <c r="DB181" s="2583"/>
      <c r="DC181" s="2583"/>
      <c r="DD181" s="2583"/>
      <c r="DE181" s="2583"/>
      <c r="DF181" s="2583"/>
      <c r="DG181" s="2583"/>
      <c r="DH181" s="2583"/>
      <c r="DI181" s="2583"/>
      <c r="DJ181" s="2583"/>
      <c r="DK181" s="2583"/>
      <c r="DL181" s="2583"/>
      <c r="DM181" s="2583"/>
      <c r="DN181" s="2583"/>
      <c r="DO181" s="2583"/>
      <c r="DP181" s="2583"/>
      <c r="DQ181" s="2583"/>
      <c r="DR181" s="2583"/>
      <c r="DS181" s="2583"/>
      <c r="DT181" s="2583"/>
      <c r="DU181" s="2583"/>
      <c r="DV181" s="2583"/>
      <c r="DW181" s="2583"/>
      <c r="DX181" s="2583"/>
      <c r="DY181" s="2583"/>
      <c r="DZ181" s="2583"/>
      <c r="EA181" s="2583"/>
      <c r="EB181" s="2583"/>
      <c r="EC181" s="2583"/>
      <c r="ED181" s="2583"/>
      <c r="EE181" s="2583"/>
      <c r="EF181" s="2583"/>
      <c r="EG181" s="2583"/>
      <c r="EH181" s="2583"/>
      <c r="EI181" s="2583"/>
      <c r="EJ181" s="2583"/>
      <c r="EK181" s="2583"/>
      <c r="EL181" s="2583"/>
      <c r="EM181" s="2583"/>
      <c r="EN181" s="2583"/>
      <c r="EO181" s="2583"/>
      <c r="EP181" s="2583"/>
      <c r="EQ181" s="2583"/>
      <c r="ER181" s="2583"/>
      <c r="ES181" s="2583"/>
      <c r="ET181" s="2583"/>
      <c r="EU181" s="2583"/>
      <c r="EV181" s="2583"/>
      <c r="EW181" s="2583"/>
      <c r="EX181" s="2583"/>
      <c r="EY181" s="2583"/>
      <c r="EZ181" s="2583"/>
      <c r="FA181" s="2583"/>
      <c r="FB181" s="2583"/>
      <c r="FC181" s="2583"/>
      <c r="FD181" s="2583"/>
      <c r="FE181" s="2583"/>
      <c r="FF181" s="2583"/>
      <c r="FG181" s="2583"/>
      <c r="FH181" s="2583"/>
      <c r="FI181" s="2583"/>
      <c r="FJ181" s="2583"/>
      <c r="FK181" s="2583"/>
      <c r="FL181" s="2583"/>
      <c r="FM181" s="2583"/>
      <c r="FN181" s="2583"/>
      <c r="FO181" s="2583"/>
      <c r="FP181" s="2583"/>
      <c r="FQ181" s="2583"/>
      <c r="FR181" s="2583"/>
      <c r="FS181" s="2583"/>
      <c r="FT181" s="2583"/>
      <c r="FU181" s="2583"/>
      <c r="FV181" s="2583"/>
      <c r="FW181" s="2583"/>
      <c r="FX181" s="2583"/>
      <c r="FY181" s="2583"/>
      <c r="FZ181" s="2583"/>
      <c r="GA181" s="2583"/>
      <c r="GB181" s="2583"/>
      <c r="GC181" s="2583"/>
      <c r="GD181" s="2583"/>
      <c r="GE181" s="2583"/>
      <c r="GF181" s="2583"/>
      <c r="GG181" s="2583"/>
      <c r="GH181" s="2583"/>
      <c r="GI181" s="2583"/>
      <c r="GJ181" s="2583"/>
      <c r="GK181" s="2583"/>
      <c r="GL181" s="2583"/>
      <c r="GM181" s="2583"/>
      <c r="GN181" s="2583"/>
      <c r="GO181" s="2583"/>
      <c r="GP181" s="2583"/>
      <c r="GQ181" s="2583"/>
      <c r="GR181" s="2583"/>
      <c r="GS181" s="2583"/>
      <c r="GT181" s="2583"/>
      <c r="GU181" s="2583"/>
      <c r="GV181" s="2583"/>
      <c r="GW181" s="2583"/>
      <c r="GX181" s="2583"/>
      <c r="GY181" s="2583"/>
      <c r="GZ181" s="2583"/>
      <c r="HA181" s="2583"/>
      <c r="HB181" s="2583"/>
      <c r="HC181" s="2583"/>
      <c r="HD181" s="2583"/>
      <c r="HE181" s="2583"/>
      <c r="HF181" s="2583"/>
      <c r="HG181" s="2583"/>
      <c r="HH181" s="2583"/>
      <c r="HI181" s="2583"/>
      <c r="HJ181" s="2583"/>
      <c r="HK181" s="2583"/>
      <c r="HL181" s="2583"/>
      <c r="HM181" s="2583"/>
      <c r="HN181" s="2583"/>
      <c r="HO181" s="2583"/>
      <c r="HP181" s="2583"/>
      <c r="HQ181" s="2583"/>
      <c r="HR181" s="2583"/>
      <c r="HS181" s="2583"/>
      <c r="HT181" s="2583"/>
      <c r="HU181" s="2583"/>
      <c r="HV181" s="2583"/>
      <c r="HW181" s="2583"/>
      <c r="HX181" s="2583"/>
      <c r="HY181" s="2583"/>
      <c r="HZ181" s="2583"/>
      <c r="IA181" s="2583"/>
      <c r="IB181" s="2583"/>
      <c r="IC181" s="2583"/>
      <c r="ID181" s="2583"/>
      <c r="IE181" s="2583"/>
      <c r="IF181" s="2583"/>
      <c r="IG181" s="2583"/>
      <c r="IH181" s="2583"/>
      <c r="II181" s="2583"/>
      <c r="IJ181" s="2583"/>
      <c r="IK181" s="2583"/>
      <c r="IL181" s="2583"/>
      <c r="IM181" s="2583"/>
      <c r="IN181" s="2583"/>
      <c r="IO181" s="2583"/>
      <c r="IP181" s="2583"/>
      <c r="IQ181" s="2583"/>
      <c r="IR181" s="2583"/>
      <c r="IS181" s="2583"/>
      <c r="IT181" s="2583"/>
      <c r="IU181" s="2583"/>
      <c r="IV181" s="2583"/>
    </row>
    <row r="182" spans="1:256">
      <c r="C182" s="2584"/>
      <c r="D182" s="2584"/>
      <c r="E182" s="2584"/>
      <c r="F182" s="2584"/>
      <c r="G182" s="2584"/>
      <c r="H182" s="2584"/>
      <c r="AC182" s="2583"/>
      <c r="AD182" s="2583"/>
      <c r="AE182" s="2583"/>
      <c r="AF182" s="2583"/>
      <c r="AG182" s="2583"/>
      <c r="AH182" s="2583"/>
      <c r="AI182" s="2583"/>
      <c r="AJ182" s="2583"/>
      <c r="AK182" s="2583"/>
      <c r="AL182" s="2583"/>
      <c r="AM182" s="2583"/>
      <c r="AN182" s="2583"/>
      <c r="AO182" s="2583"/>
      <c r="AP182" s="2583"/>
      <c r="AQ182" s="2583"/>
      <c r="AR182" s="2583"/>
      <c r="AS182" s="2583"/>
      <c r="AT182" s="2583"/>
      <c r="AU182" s="2583"/>
      <c r="AV182" s="2583"/>
      <c r="AW182" s="2583"/>
      <c r="AX182" s="2583"/>
      <c r="AY182" s="2583"/>
      <c r="AZ182" s="2583"/>
      <c r="BA182" s="2583"/>
      <c r="BB182" s="2583"/>
      <c r="BC182" s="2583"/>
      <c r="BD182" s="2583"/>
      <c r="BE182" s="2583"/>
      <c r="BF182" s="2583"/>
      <c r="BG182" s="2583"/>
      <c r="BH182" s="2583"/>
      <c r="BI182" s="2583"/>
      <c r="BJ182" s="2583"/>
      <c r="BK182" s="2583"/>
      <c r="BL182" s="2583"/>
      <c r="BM182" s="2583"/>
      <c r="BN182" s="2583"/>
      <c r="BO182" s="2583"/>
      <c r="BP182" s="2583"/>
      <c r="BQ182" s="2583"/>
      <c r="BR182" s="2583"/>
      <c r="BS182" s="2583"/>
      <c r="BT182" s="2583"/>
      <c r="BU182" s="2583"/>
      <c r="BV182" s="2583"/>
      <c r="BW182" s="2583"/>
      <c r="BX182" s="2583"/>
      <c r="BY182" s="2583"/>
      <c r="BZ182" s="2583"/>
      <c r="CA182" s="2583"/>
      <c r="CB182" s="2583"/>
      <c r="CC182" s="2583"/>
      <c r="CD182" s="2583"/>
      <c r="CE182" s="2583"/>
      <c r="CF182" s="2583"/>
      <c r="CG182" s="2583"/>
      <c r="CH182" s="2583"/>
      <c r="CI182" s="2583"/>
      <c r="CJ182" s="2583"/>
      <c r="CK182" s="2583"/>
      <c r="CL182" s="2583"/>
      <c r="CM182" s="2583"/>
      <c r="CN182" s="2583"/>
      <c r="CO182" s="2583"/>
      <c r="CP182" s="2583"/>
      <c r="CQ182" s="2583"/>
      <c r="CR182" s="2583"/>
      <c r="CS182" s="2583"/>
      <c r="CT182" s="2583"/>
      <c r="CU182" s="2583"/>
      <c r="CV182" s="2583"/>
      <c r="CW182" s="2583"/>
      <c r="CX182" s="2583"/>
      <c r="CY182" s="2583"/>
      <c r="CZ182" s="2583"/>
      <c r="DA182" s="2583"/>
      <c r="DB182" s="2583"/>
      <c r="DC182" s="2583"/>
      <c r="DD182" s="2583"/>
      <c r="DE182" s="2583"/>
      <c r="DF182" s="2583"/>
      <c r="DG182" s="2583"/>
      <c r="DH182" s="2583"/>
      <c r="DI182" s="2583"/>
      <c r="DJ182" s="2583"/>
      <c r="DK182" s="2583"/>
      <c r="DL182" s="2583"/>
      <c r="DM182" s="2583"/>
      <c r="DN182" s="2583"/>
      <c r="DO182" s="2583"/>
      <c r="DP182" s="2583"/>
      <c r="DQ182" s="2583"/>
      <c r="DR182" s="2583"/>
      <c r="DS182" s="2583"/>
      <c r="DT182" s="2583"/>
      <c r="DU182" s="2583"/>
      <c r="DV182" s="2583"/>
      <c r="DW182" s="2583"/>
      <c r="DX182" s="2583"/>
      <c r="DY182" s="2583"/>
      <c r="DZ182" s="2583"/>
      <c r="EA182" s="2583"/>
      <c r="EB182" s="2583"/>
      <c r="EC182" s="2583"/>
      <c r="ED182" s="2583"/>
      <c r="EE182" s="2583"/>
      <c r="EF182" s="2583"/>
      <c r="EG182" s="2583"/>
      <c r="EH182" s="2583"/>
      <c r="EI182" s="2583"/>
      <c r="EJ182" s="2583"/>
      <c r="EK182" s="2583"/>
      <c r="EL182" s="2583"/>
      <c r="EM182" s="2583"/>
      <c r="EN182" s="2583"/>
      <c r="EO182" s="2583"/>
      <c r="EP182" s="2583"/>
      <c r="EQ182" s="2583"/>
      <c r="ER182" s="2583"/>
      <c r="ES182" s="2583"/>
      <c r="ET182" s="2583"/>
      <c r="EU182" s="2583"/>
      <c r="EV182" s="2583"/>
      <c r="EW182" s="2583"/>
      <c r="EX182" s="2583"/>
      <c r="EY182" s="2583"/>
      <c r="EZ182" s="2583"/>
      <c r="FA182" s="2583"/>
      <c r="FB182" s="2583"/>
      <c r="FC182" s="2583"/>
      <c r="FD182" s="2583"/>
      <c r="FE182" s="2583"/>
      <c r="FF182" s="2583"/>
      <c r="FG182" s="2583"/>
      <c r="FH182" s="2583"/>
      <c r="FI182" s="2583"/>
      <c r="FJ182" s="2583"/>
      <c r="FK182" s="2583"/>
      <c r="FL182" s="2583"/>
      <c r="FM182" s="2583"/>
      <c r="FN182" s="2583"/>
      <c r="FO182" s="2583"/>
      <c r="FP182" s="2583"/>
      <c r="FQ182" s="2583"/>
      <c r="FR182" s="2583"/>
      <c r="FS182" s="2583"/>
      <c r="FT182" s="2583"/>
      <c r="FU182" s="2583"/>
      <c r="FV182" s="2583"/>
      <c r="FW182" s="2583"/>
      <c r="FX182" s="2583"/>
      <c r="FY182" s="2583"/>
      <c r="FZ182" s="2583"/>
      <c r="GA182" s="2583"/>
      <c r="GB182" s="2583"/>
      <c r="GC182" s="2583"/>
      <c r="GD182" s="2583"/>
      <c r="GE182" s="2583"/>
      <c r="GF182" s="2583"/>
      <c r="GG182" s="2583"/>
      <c r="GH182" s="2583"/>
      <c r="GI182" s="2583"/>
      <c r="GJ182" s="2583"/>
      <c r="GK182" s="2583"/>
      <c r="GL182" s="2583"/>
      <c r="GM182" s="2583"/>
      <c r="GN182" s="2583"/>
      <c r="GO182" s="2583"/>
      <c r="GP182" s="2583"/>
      <c r="GQ182" s="2583"/>
      <c r="GR182" s="2583"/>
      <c r="GS182" s="2583"/>
      <c r="GT182" s="2583"/>
      <c r="GU182" s="2583"/>
      <c r="GV182" s="2583"/>
      <c r="GW182" s="2583"/>
      <c r="GX182" s="2583"/>
      <c r="GY182" s="2583"/>
      <c r="GZ182" s="2583"/>
      <c r="HA182" s="2583"/>
      <c r="HB182" s="2583"/>
      <c r="HC182" s="2583"/>
      <c r="HD182" s="2583"/>
      <c r="HE182" s="2583"/>
      <c r="HF182" s="2583"/>
      <c r="HG182" s="2583"/>
      <c r="HH182" s="2583"/>
      <c r="HI182" s="2583"/>
      <c r="HJ182" s="2583"/>
      <c r="HK182" s="2583"/>
      <c r="HL182" s="2583"/>
      <c r="HM182" s="2583"/>
      <c r="HN182" s="2583"/>
      <c r="HO182" s="2583"/>
      <c r="HP182" s="2583"/>
      <c r="HQ182" s="2583"/>
      <c r="HR182" s="2583"/>
      <c r="HS182" s="2583"/>
      <c r="HT182" s="2583"/>
      <c r="HU182" s="2583"/>
      <c r="HV182" s="2583"/>
      <c r="HW182" s="2583"/>
      <c r="HX182" s="2583"/>
      <c r="HY182" s="2583"/>
      <c r="HZ182" s="2583"/>
      <c r="IA182" s="2583"/>
      <c r="IB182" s="2583"/>
      <c r="IC182" s="2583"/>
      <c r="ID182" s="2583"/>
      <c r="IE182" s="2583"/>
      <c r="IF182" s="2583"/>
      <c r="IG182" s="2583"/>
      <c r="IH182" s="2583"/>
      <c r="II182" s="2583"/>
      <c r="IJ182" s="2583"/>
      <c r="IK182" s="2583"/>
      <c r="IL182" s="2583"/>
      <c r="IM182" s="2583"/>
      <c r="IN182" s="2583"/>
      <c r="IO182" s="2583"/>
      <c r="IP182" s="2583"/>
      <c r="IQ182" s="2583"/>
      <c r="IR182" s="2583"/>
      <c r="IS182" s="2583"/>
      <c r="IT182" s="2583"/>
      <c r="IU182" s="2583"/>
      <c r="IV182" s="2583"/>
    </row>
    <row r="183" spans="1:256">
      <c r="C183" s="2584"/>
      <c r="D183" s="2584"/>
      <c r="E183" s="2584"/>
      <c r="F183" s="2584"/>
      <c r="G183" s="2584"/>
      <c r="H183" s="2584"/>
      <c r="AC183" s="2583"/>
      <c r="AD183" s="2583"/>
      <c r="AE183" s="2583"/>
      <c r="AF183" s="2583"/>
      <c r="AG183" s="2583"/>
      <c r="AH183" s="2583"/>
      <c r="AI183" s="2583"/>
      <c r="AJ183" s="2583"/>
      <c r="AK183" s="2583"/>
      <c r="AL183" s="2583"/>
      <c r="AM183" s="2583"/>
      <c r="AN183" s="2583"/>
      <c r="AO183" s="2583"/>
      <c r="AP183" s="2583"/>
      <c r="AQ183" s="2583"/>
      <c r="AR183" s="2583"/>
      <c r="AS183" s="2583"/>
      <c r="AT183" s="2583"/>
      <c r="AU183" s="2583"/>
      <c r="AV183" s="2583"/>
      <c r="AW183" s="2583"/>
      <c r="AX183" s="2583"/>
      <c r="AY183" s="2583"/>
      <c r="AZ183" s="2583"/>
      <c r="BA183" s="2583"/>
      <c r="BB183" s="2583"/>
      <c r="BC183" s="2583"/>
      <c r="BD183" s="2583"/>
      <c r="BE183" s="2583"/>
      <c r="BF183" s="2583"/>
      <c r="BG183" s="2583"/>
      <c r="BH183" s="2583"/>
      <c r="BI183" s="2583"/>
      <c r="BJ183" s="2583"/>
      <c r="BK183" s="2583"/>
      <c r="BL183" s="2583"/>
      <c r="BM183" s="2583"/>
      <c r="BN183" s="2583"/>
      <c r="BO183" s="2583"/>
      <c r="BP183" s="2583"/>
      <c r="BQ183" s="2583"/>
      <c r="BR183" s="2583"/>
      <c r="BS183" s="2583"/>
      <c r="BT183" s="2583"/>
      <c r="BU183" s="2583"/>
      <c r="BV183" s="2583"/>
      <c r="BW183" s="2583"/>
      <c r="BX183" s="2583"/>
      <c r="BY183" s="2583"/>
      <c r="BZ183" s="2583"/>
      <c r="CA183" s="2583"/>
      <c r="CB183" s="2583"/>
      <c r="CC183" s="2583"/>
      <c r="CD183" s="2583"/>
      <c r="CE183" s="2583"/>
      <c r="CF183" s="2583"/>
      <c r="CG183" s="2583"/>
      <c r="CH183" s="2583"/>
      <c r="CI183" s="2583"/>
      <c r="CJ183" s="2583"/>
      <c r="CK183" s="2583"/>
      <c r="CL183" s="2583"/>
      <c r="CM183" s="2583"/>
      <c r="CN183" s="2583"/>
      <c r="CO183" s="2583"/>
      <c r="CP183" s="2583"/>
      <c r="CQ183" s="2583"/>
      <c r="CR183" s="2583"/>
      <c r="CS183" s="2583"/>
      <c r="CT183" s="2583"/>
      <c r="CU183" s="2583"/>
      <c r="CV183" s="2583"/>
      <c r="CW183" s="2583"/>
      <c r="CX183" s="2583"/>
      <c r="CY183" s="2583"/>
      <c r="CZ183" s="2583"/>
      <c r="DA183" s="2583"/>
      <c r="DB183" s="2583"/>
      <c r="DC183" s="2583"/>
      <c r="DD183" s="2583"/>
      <c r="DE183" s="2583"/>
      <c r="DF183" s="2583"/>
      <c r="DG183" s="2583"/>
      <c r="DH183" s="2583"/>
      <c r="DI183" s="2583"/>
      <c r="DJ183" s="2583"/>
      <c r="DK183" s="2583"/>
      <c r="DL183" s="2583"/>
      <c r="DM183" s="2583"/>
      <c r="DN183" s="2583"/>
      <c r="DO183" s="2583"/>
      <c r="DP183" s="2583"/>
      <c r="DQ183" s="2583"/>
      <c r="DR183" s="2583"/>
      <c r="DS183" s="2583"/>
      <c r="DT183" s="2583"/>
      <c r="DU183" s="2583"/>
      <c r="DV183" s="2583"/>
      <c r="DW183" s="2583"/>
      <c r="DX183" s="2583"/>
      <c r="DY183" s="2583"/>
      <c r="DZ183" s="2583"/>
      <c r="EA183" s="2583"/>
      <c r="EB183" s="2583"/>
      <c r="EC183" s="2583"/>
      <c r="ED183" s="2583"/>
      <c r="EE183" s="2583"/>
      <c r="EF183" s="2583"/>
      <c r="EG183" s="2583"/>
      <c r="EH183" s="2583"/>
      <c r="EI183" s="2583"/>
      <c r="EJ183" s="2583"/>
      <c r="EK183" s="2583"/>
      <c r="EL183" s="2583"/>
      <c r="EM183" s="2583"/>
      <c r="EN183" s="2583"/>
      <c r="EO183" s="2583"/>
      <c r="EP183" s="2583"/>
      <c r="EQ183" s="2583"/>
      <c r="ER183" s="2583"/>
      <c r="ES183" s="2583"/>
      <c r="ET183" s="2583"/>
      <c r="EU183" s="2583"/>
      <c r="EV183" s="2583"/>
      <c r="EW183" s="2583"/>
      <c r="EX183" s="2583"/>
      <c r="EY183" s="2583"/>
      <c r="EZ183" s="2583"/>
      <c r="FA183" s="2583"/>
      <c r="FB183" s="2583"/>
      <c r="FC183" s="2583"/>
      <c r="FD183" s="2583"/>
      <c r="FE183" s="2583"/>
      <c r="FF183" s="2583"/>
      <c r="FG183" s="2583"/>
      <c r="FH183" s="2583"/>
      <c r="FI183" s="2583"/>
      <c r="FJ183" s="2583"/>
      <c r="FK183" s="2583"/>
      <c r="FL183" s="2583"/>
      <c r="FM183" s="2583"/>
      <c r="FN183" s="2583"/>
      <c r="FO183" s="2583"/>
      <c r="FP183" s="2583"/>
      <c r="FQ183" s="2583"/>
      <c r="FR183" s="2583"/>
      <c r="FS183" s="2583"/>
      <c r="FT183" s="2583"/>
      <c r="FU183" s="2583"/>
      <c r="FV183" s="2583"/>
      <c r="FW183" s="2583"/>
      <c r="FX183" s="2583"/>
      <c r="FY183" s="2583"/>
      <c r="FZ183" s="2583"/>
      <c r="GA183" s="2583"/>
      <c r="GB183" s="2583"/>
      <c r="GC183" s="2583"/>
      <c r="GD183" s="2583"/>
      <c r="GE183" s="2583"/>
      <c r="GF183" s="2583"/>
      <c r="GG183" s="2583"/>
      <c r="GH183" s="2583"/>
      <c r="GI183" s="2583"/>
      <c r="GJ183" s="2583"/>
      <c r="GK183" s="2583"/>
      <c r="GL183" s="2583"/>
      <c r="GM183" s="2583"/>
      <c r="GN183" s="2583"/>
      <c r="GO183" s="2583"/>
      <c r="GP183" s="2583"/>
      <c r="GQ183" s="2583"/>
      <c r="GR183" s="2583"/>
      <c r="GS183" s="2583"/>
      <c r="GT183" s="2583"/>
      <c r="GU183" s="2583"/>
      <c r="GV183" s="2583"/>
      <c r="GW183" s="2583"/>
      <c r="GX183" s="2583"/>
      <c r="GY183" s="2583"/>
      <c r="GZ183" s="2583"/>
      <c r="HA183" s="2583"/>
      <c r="HB183" s="2583"/>
      <c r="HC183" s="2583"/>
      <c r="HD183" s="2583"/>
      <c r="HE183" s="2583"/>
      <c r="HF183" s="2583"/>
      <c r="HG183" s="2583"/>
      <c r="HH183" s="2583"/>
      <c r="HI183" s="2583"/>
      <c r="HJ183" s="2583"/>
      <c r="HK183" s="2583"/>
      <c r="HL183" s="2583"/>
      <c r="HM183" s="2583"/>
      <c r="HN183" s="2583"/>
      <c r="HO183" s="2583"/>
      <c r="HP183" s="2583"/>
      <c r="HQ183" s="2583"/>
      <c r="HR183" s="2583"/>
      <c r="HS183" s="2583"/>
      <c r="HT183" s="2583"/>
      <c r="HU183" s="2583"/>
      <c r="HV183" s="2583"/>
      <c r="HW183" s="2583"/>
      <c r="HX183" s="2583"/>
      <c r="HY183" s="2583"/>
      <c r="HZ183" s="2583"/>
      <c r="IA183" s="2583"/>
      <c r="IB183" s="2583"/>
      <c r="IC183" s="2583"/>
      <c r="ID183" s="2583"/>
      <c r="IE183" s="2583"/>
      <c r="IF183" s="2583"/>
      <c r="IG183" s="2583"/>
      <c r="IH183" s="2583"/>
      <c r="II183" s="2583"/>
      <c r="IJ183" s="2583"/>
      <c r="IK183" s="2583"/>
      <c r="IL183" s="2583"/>
      <c r="IM183" s="2583"/>
      <c r="IN183" s="2583"/>
      <c r="IO183" s="2583"/>
      <c r="IP183" s="2583"/>
      <c r="IQ183" s="2583"/>
      <c r="IR183" s="2583"/>
      <c r="IS183" s="2583"/>
      <c r="IT183" s="2583"/>
      <c r="IU183" s="2583"/>
      <c r="IV183" s="2583"/>
    </row>
    <row r="184" spans="1:256">
      <c r="C184" s="2584"/>
      <c r="D184" s="2584"/>
      <c r="E184" s="2584"/>
      <c r="F184" s="2584"/>
      <c r="G184" s="2584"/>
      <c r="H184" s="2584"/>
      <c r="AC184" s="2583"/>
      <c r="AD184" s="2583"/>
      <c r="AE184" s="2583"/>
      <c r="AF184" s="2583"/>
      <c r="AG184" s="2583"/>
      <c r="AH184" s="2583"/>
      <c r="AI184" s="2583"/>
      <c r="AJ184" s="2583"/>
      <c r="AK184" s="2583"/>
      <c r="AL184" s="2583"/>
      <c r="AM184" s="2583"/>
      <c r="AN184" s="2583"/>
      <c r="AO184" s="2583"/>
      <c r="AP184" s="2583"/>
      <c r="AQ184" s="2583"/>
      <c r="AR184" s="2583"/>
      <c r="AS184" s="2583"/>
      <c r="AT184" s="2583"/>
      <c r="AU184" s="2583"/>
      <c r="AV184" s="2583"/>
      <c r="AW184" s="2583"/>
      <c r="AX184" s="2583"/>
      <c r="AY184" s="2583"/>
      <c r="AZ184" s="2583"/>
      <c r="BA184" s="2583"/>
      <c r="BB184" s="2583"/>
      <c r="BC184" s="2583"/>
      <c r="BD184" s="2583"/>
      <c r="BE184" s="2583"/>
      <c r="BF184" s="2583"/>
      <c r="BG184" s="2583"/>
      <c r="BH184" s="2583"/>
      <c r="BI184" s="2583"/>
      <c r="BJ184" s="2583"/>
      <c r="BK184" s="2583"/>
      <c r="BL184" s="2583"/>
      <c r="BM184" s="2583"/>
      <c r="BN184" s="2583"/>
      <c r="BO184" s="2583"/>
      <c r="BP184" s="2583"/>
      <c r="BQ184" s="2583"/>
      <c r="BR184" s="2583"/>
      <c r="BS184" s="2583"/>
      <c r="BT184" s="2583"/>
      <c r="BU184" s="2583"/>
      <c r="BV184" s="2583"/>
      <c r="BW184" s="2583"/>
      <c r="BX184" s="2583"/>
      <c r="BY184" s="2583"/>
      <c r="BZ184" s="2583"/>
      <c r="CA184" s="2583"/>
      <c r="CB184" s="2583"/>
      <c r="CC184" s="2583"/>
      <c r="CD184" s="2583"/>
      <c r="CE184" s="2583"/>
      <c r="CF184" s="2583"/>
      <c r="CG184" s="2583"/>
      <c r="CH184" s="2583"/>
      <c r="CI184" s="2583"/>
      <c r="CJ184" s="2583"/>
      <c r="CK184" s="2583"/>
      <c r="CL184" s="2583"/>
      <c r="CM184" s="2583"/>
      <c r="CN184" s="2583"/>
      <c r="CO184" s="2583"/>
      <c r="CP184" s="2583"/>
      <c r="CQ184" s="2583"/>
      <c r="CR184" s="2583"/>
      <c r="CS184" s="2583"/>
      <c r="CT184" s="2583"/>
      <c r="CU184" s="2583"/>
      <c r="CV184" s="2583"/>
      <c r="CW184" s="2583"/>
      <c r="CX184" s="2583"/>
      <c r="CY184" s="2583"/>
      <c r="CZ184" s="2583"/>
      <c r="DA184" s="2583"/>
      <c r="DB184" s="2583"/>
      <c r="DC184" s="2583"/>
      <c r="DD184" s="2583"/>
      <c r="DE184" s="2583"/>
      <c r="DF184" s="2583"/>
      <c r="DG184" s="2583"/>
      <c r="DH184" s="2583"/>
      <c r="DI184" s="2583"/>
      <c r="DJ184" s="2583"/>
      <c r="DK184" s="2583"/>
      <c r="DL184" s="2583"/>
      <c r="DM184" s="2583"/>
      <c r="DN184" s="2583"/>
      <c r="DO184" s="2583"/>
      <c r="DP184" s="2583"/>
      <c r="DQ184" s="2583"/>
      <c r="DR184" s="2583"/>
      <c r="DS184" s="2583"/>
      <c r="DT184" s="2583"/>
      <c r="DU184" s="2583"/>
      <c r="DV184" s="2583"/>
      <c r="DW184" s="2583"/>
      <c r="DX184" s="2583"/>
      <c r="DY184" s="2583"/>
      <c r="DZ184" s="2583"/>
      <c r="EA184" s="2583"/>
      <c r="EB184" s="2583"/>
      <c r="EC184" s="2583"/>
      <c r="ED184" s="2583"/>
      <c r="EE184" s="2583"/>
      <c r="EF184" s="2583"/>
      <c r="EG184" s="2583"/>
      <c r="EH184" s="2583"/>
      <c r="EI184" s="2583"/>
      <c r="EJ184" s="2583"/>
      <c r="EK184" s="2583"/>
      <c r="EL184" s="2583"/>
      <c r="EM184" s="2583"/>
      <c r="EN184" s="2583"/>
      <c r="EO184" s="2583"/>
      <c r="EP184" s="2583"/>
      <c r="EQ184" s="2583"/>
      <c r="ER184" s="2583"/>
      <c r="ES184" s="2583"/>
      <c r="ET184" s="2583"/>
      <c r="EU184" s="2583"/>
      <c r="EV184" s="2583"/>
      <c r="EW184" s="2583"/>
      <c r="EX184" s="2583"/>
      <c r="EY184" s="2583"/>
      <c r="EZ184" s="2583"/>
      <c r="FA184" s="2583"/>
      <c r="FB184" s="2583"/>
      <c r="FC184" s="2583"/>
      <c r="FD184" s="2583"/>
      <c r="FE184" s="2583"/>
      <c r="FF184" s="2583"/>
      <c r="FG184" s="2583"/>
      <c r="FH184" s="2583"/>
      <c r="FI184" s="2583"/>
      <c r="FJ184" s="2583"/>
      <c r="FK184" s="2583"/>
      <c r="FL184" s="2583"/>
      <c r="FM184" s="2583"/>
      <c r="FN184" s="2583"/>
      <c r="FO184" s="2583"/>
      <c r="FP184" s="2583"/>
      <c r="FQ184" s="2583"/>
      <c r="FR184" s="2583"/>
      <c r="FS184" s="2583"/>
      <c r="FT184" s="2583"/>
      <c r="FU184" s="2583"/>
      <c r="FV184" s="2583"/>
      <c r="FW184" s="2583"/>
      <c r="FX184" s="2583"/>
      <c r="FY184" s="2583"/>
      <c r="FZ184" s="2583"/>
      <c r="GA184" s="2583"/>
      <c r="GB184" s="2583"/>
      <c r="GC184" s="2583"/>
      <c r="GD184" s="2583"/>
      <c r="GE184" s="2583"/>
      <c r="GF184" s="2583"/>
      <c r="GG184" s="2583"/>
      <c r="GH184" s="2583"/>
      <c r="GI184" s="2583"/>
      <c r="GJ184" s="2583"/>
      <c r="GK184" s="2583"/>
      <c r="GL184" s="2583"/>
      <c r="GM184" s="2583"/>
      <c r="GN184" s="2583"/>
      <c r="GO184" s="2583"/>
      <c r="GP184" s="2583"/>
      <c r="GQ184" s="2583"/>
      <c r="GR184" s="2583"/>
      <c r="GS184" s="2583"/>
      <c r="GT184" s="2583"/>
      <c r="GU184" s="2583"/>
      <c r="GV184" s="2583"/>
      <c r="GW184" s="2583"/>
      <c r="GX184" s="2583"/>
      <c r="GY184" s="2583"/>
      <c r="GZ184" s="2583"/>
      <c r="HA184" s="2583"/>
      <c r="HB184" s="2583"/>
      <c r="HC184" s="2583"/>
      <c r="HD184" s="2583"/>
      <c r="HE184" s="2583"/>
      <c r="HF184" s="2583"/>
      <c r="HG184" s="2583"/>
      <c r="HH184" s="2583"/>
      <c r="HI184" s="2583"/>
      <c r="HJ184" s="2583"/>
      <c r="HK184" s="2583"/>
      <c r="HL184" s="2583"/>
      <c r="HM184" s="2583"/>
      <c r="HN184" s="2583"/>
      <c r="HO184" s="2583"/>
      <c r="HP184" s="2583"/>
      <c r="HQ184" s="2583"/>
      <c r="HR184" s="2583"/>
      <c r="HS184" s="2583"/>
      <c r="HT184" s="2583"/>
      <c r="HU184" s="2583"/>
      <c r="HV184" s="2583"/>
      <c r="HW184" s="2583"/>
      <c r="HX184" s="2583"/>
      <c r="HY184" s="2583"/>
      <c r="HZ184" s="2583"/>
      <c r="IA184" s="2583"/>
      <c r="IB184" s="2583"/>
      <c r="IC184" s="2583"/>
      <c r="ID184" s="2583"/>
      <c r="IE184" s="2583"/>
      <c r="IF184" s="2583"/>
      <c r="IG184" s="2583"/>
      <c r="IH184" s="2583"/>
      <c r="II184" s="2583"/>
      <c r="IJ184" s="2583"/>
      <c r="IK184" s="2583"/>
      <c r="IL184" s="2583"/>
      <c r="IM184" s="2583"/>
      <c r="IN184" s="2583"/>
      <c r="IO184" s="2583"/>
      <c r="IP184" s="2583"/>
      <c r="IQ184" s="2583"/>
      <c r="IR184" s="2583"/>
      <c r="IS184" s="2583"/>
      <c r="IT184" s="2583"/>
      <c r="IU184" s="2583"/>
      <c r="IV184" s="2583"/>
    </row>
    <row r="185" spans="1:256">
      <c r="C185" s="2584"/>
      <c r="D185" s="2584"/>
      <c r="E185" s="2584"/>
      <c r="F185" s="2584"/>
      <c r="G185" s="2584"/>
      <c r="H185" s="2584"/>
      <c r="AC185" s="2583"/>
      <c r="AD185" s="2583"/>
      <c r="AE185" s="2583"/>
      <c r="AF185" s="2583"/>
      <c r="AG185" s="2583"/>
      <c r="AH185" s="2583"/>
      <c r="AI185" s="2583"/>
      <c r="AJ185" s="2583"/>
      <c r="AK185" s="2583"/>
      <c r="AL185" s="2583"/>
      <c r="AM185" s="2583"/>
      <c r="AN185" s="2583"/>
      <c r="AO185" s="2583"/>
      <c r="AP185" s="2583"/>
      <c r="AQ185" s="2583"/>
      <c r="AR185" s="2583"/>
      <c r="AS185" s="2583"/>
      <c r="AT185" s="2583"/>
      <c r="AU185" s="2583"/>
      <c r="AV185" s="2583"/>
      <c r="AW185" s="2583"/>
      <c r="AX185" s="2583"/>
      <c r="AY185" s="2583"/>
      <c r="AZ185" s="2583"/>
      <c r="BA185" s="2583"/>
      <c r="BB185" s="2583"/>
      <c r="BC185" s="2583"/>
      <c r="BD185" s="2583"/>
      <c r="BE185" s="2583"/>
      <c r="BF185" s="2583"/>
      <c r="BG185" s="2583"/>
      <c r="BH185" s="2583"/>
      <c r="BI185" s="2583"/>
      <c r="BJ185" s="2583"/>
      <c r="BK185" s="2583"/>
      <c r="BL185" s="2583"/>
      <c r="BM185" s="2583"/>
      <c r="BN185" s="2583"/>
      <c r="BO185" s="2583"/>
      <c r="BP185" s="2583"/>
      <c r="BQ185" s="2583"/>
      <c r="BR185" s="2583"/>
      <c r="BS185" s="2583"/>
      <c r="BT185" s="2583"/>
      <c r="BU185" s="2583"/>
      <c r="BV185" s="2583"/>
      <c r="BW185" s="2583"/>
      <c r="BX185" s="2583"/>
      <c r="BY185" s="2583"/>
      <c r="BZ185" s="2583"/>
      <c r="CA185" s="2583"/>
      <c r="CB185" s="2583"/>
      <c r="CC185" s="2583"/>
      <c r="CD185" s="2583"/>
      <c r="CE185" s="2583"/>
      <c r="CF185" s="2583"/>
      <c r="CG185" s="2583"/>
      <c r="CH185" s="2583"/>
      <c r="CI185" s="2583"/>
      <c r="CJ185" s="2583"/>
      <c r="CK185" s="2583"/>
      <c r="CL185" s="2583"/>
      <c r="CM185" s="2583"/>
      <c r="CN185" s="2583"/>
      <c r="CO185" s="2583"/>
      <c r="CP185" s="2583"/>
      <c r="CQ185" s="2583"/>
      <c r="CR185" s="2583"/>
      <c r="CS185" s="2583"/>
      <c r="CT185" s="2583"/>
      <c r="CU185" s="2583"/>
      <c r="CV185" s="2583"/>
      <c r="CW185" s="2583"/>
      <c r="CX185" s="2583"/>
      <c r="CY185" s="2583"/>
      <c r="CZ185" s="2583"/>
      <c r="DA185" s="2583"/>
      <c r="DB185" s="2583"/>
      <c r="DC185" s="2583"/>
      <c r="DD185" s="2583"/>
      <c r="DE185" s="2583"/>
      <c r="DF185" s="2583"/>
      <c r="DG185" s="2583"/>
      <c r="DH185" s="2583"/>
      <c r="DI185" s="2583"/>
      <c r="DJ185" s="2583"/>
      <c r="DK185" s="2583"/>
      <c r="DL185" s="2583"/>
      <c r="DM185" s="2583"/>
      <c r="DN185" s="2583"/>
      <c r="DO185" s="2583"/>
      <c r="DP185" s="2583"/>
      <c r="DQ185" s="2583"/>
      <c r="DR185" s="2583"/>
      <c r="DS185" s="2583"/>
      <c r="DT185" s="2583"/>
      <c r="DU185" s="2583"/>
      <c r="DV185" s="2583"/>
      <c r="DW185" s="2583"/>
      <c r="DX185" s="2583"/>
      <c r="DY185" s="2583"/>
      <c r="DZ185" s="2583"/>
      <c r="EA185" s="2583"/>
      <c r="EB185" s="2583"/>
      <c r="EC185" s="2583"/>
      <c r="ED185" s="2583"/>
      <c r="EE185" s="2583"/>
      <c r="EF185" s="2583"/>
      <c r="EG185" s="2583"/>
      <c r="EH185" s="2583"/>
      <c r="EI185" s="2583"/>
      <c r="EJ185" s="2583"/>
      <c r="EK185" s="2583"/>
      <c r="EL185" s="2583"/>
      <c r="EM185" s="2583"/>
      <c r="EN185" s="2583"/>
      <c r="EO185" s="2583"/>
      <c r="EP185" s="2583"/>
      <c r="EQ185" s="2583"/>
      <c r="ER185" s="2583"/>
      <c r="ES185" s="2583"/>
      <c r="ET185" s="2583"/>
      <c r="EU185" s="2583"/>
      <c r="EV185" s="2583"/>
      <c r="EW185" s="2583"/>
      <c r="EX185" s="2583"/>
      <c r="EY185" s="2583"/>
      <c r="EZ185" s="2583"/>
      <c r="FA185" s="2583"/>
      <c r="FB185" s="2583"/>
      <c r="FC185" s="2583"/>
      <c r="FD185" s="2583"/>
      <c r="FE185" s="2583"/>
      <c r="FF185" s="2583"/>
      <c r="FG185" s="2583"/>
      <c r="FH185" s="2583"/>
      <c r="FI185" s="2583"/>
      <c r="FJ185" s="2583"/>
      <c r="FK185" s="2583"/>
      <c r="FL185" s="2583"/>
      <c r="FM185" s="2583"/>
      <c r="FN185" s="2583"/>
      <c r="FO185" s="2583"/>
      <c r="FP185" s="2583"/>
      <c r="FQ185" s="2583"/>
      <c r="FR185" s="2583"/>
      <c r="FS185" s="2583"/>
      <c r="FT185" s="2583"/>
      <c r="FU185" s="2583"/>
      <c r="FV185" s="2583"/>
      <c r="FW185" s="2583"/>
      <c r="FX185" s="2583"/>
      <c r="FY185" s="2583"/>
      <c r="FZ185" s="2583"/>
      <c r="GA185" s="2583"/>
      <c r="GB185" s="2583"/>
      <c r="GC185" s="2583"/>
      <c r="GD185" s="2583"/>
      <c r="GE185" s="2583"/>
      <c r="GF185" s="2583"/>
      <c r="GG185" s="2583"/>
      <c r="GH185" s="2583"/>
      <c r="GI185" s="2583"/>
      <c r="GJ185" s="2583"/>
      <c r="GK185" s="2583"/>
      <c r="GL185" s="2583"/>
      <c r="GM185" s="2583"/>
      <c r="GN185" s="2583"/>
      <c r="GO185" s="2583"/>
      <c r="GP185" s="2583"/>
      <c r="GQ185" s="2583"/>
      <c r="GR185" s="2583"/>
      <c r="GS185" s="2583"/>
      <c r="GT185" s="2583"/>
      <c r="GU185" s="2583"/>
      <c r="GV185" s="2583"/>
      <c r="GW185" s="2583"/>
      <c r="GX185" s="2583"/>
      <c r="GY185" s="2583"/>
      <c r="GZ185" s="2583"/>
      <c r="HA185" s="2583"/>
      <c r="HB185" s="2583"/>
      <c r="HC185" s="2583"/>
      <c r="HD185" s="2583"/>
      <c r="HE185" s="2583"/>
      <c r="HF185" s="2583"/>
      <c r="HG185" s="2583"/>
      <c r="HH185" s="2583"/>
      <c r="HI185" s="2583"/>
      <c r="HJ185" s="2583"/>
      <c r="HK185" s="2583"/>
      <c r="HL185" s="2583"/>
      <c r="HM185" s="2583"/>
      <c r="HN185" s="2583"/>
      <c r="HO185" s="2583"/>
      <c r="HP185" s="2583"/>
      <c r="HQ185" s="2583"/>
      <c r="HR185" s="2583"/>
      <c r="HS185" s="2583"/>
      <c r="HT185" s="2583"/>
      <c r="HU185" s="2583"/>
      <c r="HV185" s="2583"/>
      <c r="HW185" s="2583"/>
      <c r="HX185" s="2583"/>
      <c r="HY185" s="2583"/>
      <c r="HZ185" s="2583"/>
      <c r="IA185" s="2583"/>
      <c r="IB185" s="2583"/>
      <c r="IC185" s="2583"/>
      <c r="ID185" s="2583"/>
      <c r="IE185" s="2583"/>
      <c r="IF185" s="2583"/>
      <c r="IG185" s="2583"/>
      <c r="IH185" s="2583"/>
      <c r="II185" s="2583"/>
      <c r="IJ185" s="2583"/>
      <c r="IK185" s="2583"/>
      <c r="IL185" s="2583"/>
      <c r="IM185" s="2583"/>
      <c r="IN185" s="2583"/>
      <c r="IO185" s="2583"/>
      <c r="IP185" s="2583"/>
      <c r="IQ185" s="2583"/>
      <c r="IR185" s="2583"/>
      <c r="IS185" s="2583"/>
      <c r="IT185" s="2583"/>
      <c r="IU185" s="2583"/>
      <c r="IV185" s="2583"/>
    </row>
    <row r="186" spans="1:256">
      <c r="C186" s="2584"/>
      <c r="D186" s="2584"/>
      <c r="E186" s="2584"/>
      <c r="F186" s="2584"/>
      <c r="G186" s="2584"/>
      <c r="H186" s="2584"/>
      <c r="AC186" s="2583"/>
      <c r="AD186" s="2583"/>
      <c r="AE186" s="2583"/>
      <c r="AF186" s="2583"/>
      <c r="AG186" s="2583"/>
      <c r="AH186" s="2583"/>
      <c r="AI186" s="2583"/>
      <c r="AJ186" s="2583"/>
      <c r="AK186" s="2583"/>
      <c r="AL186" s="2583"/>
      <c r="AM186" s="2583"/>
      <c r="AN186" s="2583"/>
      <c r="AO186" s="2583"/>
      <c r="AP186" s="2583"/>
      <c r="AQ186" s="2583"/>
      <c r="AR186" s="2583"/>
      <c r="AS186" s="2583"/>
      <c r="AT186" s="2583"/>
      <c r="AU186" s="2583"/>
      <c r="AV186" s="2583"/>
      <c r="AW186" s="2583"/>
      <c r="AX186" s="2583"/>
      <c r="AY186" s="2583"/>
      <c r="AZ186" s="2583"/>
      <c r="BA186" s="2583"/>
      <c r="BB186" s="2583"/>
      <c r="BC186" s="2583"/>
      <c r="BD186" s="2583"/>
      <c r="BE186" s="2583"/>
      <c r="BF186" s="2583"/>
      <c r="BG186" s="2583"/>
      <c r="BH186" s="2583"/>
      <c r="BI186" s="2583"/>
      <c r="BJ186" s="2583"/>
      <c r="BK186" s="2583"/>
      <c r="BL186" s="2583"/>
      <c r="BM186" s="2583"/>
      <c r="BN186" s="2583"/>
      <c r="BO186" s="2583"/>
      <c r="BP186" s="2583"/>
      <c r="BQ186" s="2583"/>
      <c r="BR186" s="2583"/>
      <c r="BS186" s="2583"/>
      <c r="BT186" s="2583"/>
      <c r="BU186" s="2583"/>
      <c r="BV186" s="2583"/>
      <c r="BW186" s="2583"/>
      <c r="BX186" s="2583"/>
      <c r="BY186" s="2583"/>
      <c r="BZ186" s="2583"/>
      <c r="CA186" s="2583"/>
      <c r="CB186" s="2583"/>
      <c r="CC186" s="2583"/>
      <c r="CD186" s="2583"/>
      <c r="CE186" s="2583"/>
      <c r="CF186" s="2583"/>
      <c r="CG186" s="2583"/>
      <c r="CH186" s="2583"/>
      <c r="CI186" s="2583"/>
      <c r="CJ186" s="2583"/>
      <c r="CK186" s="2583"/>
      <c r="CL186" s="2583"/>
      <c r="CM186" s="2583"/>
      <c r="CN186" s="2583"/>
      <c r="CO186" s="2583"/>
      <c r="CP186" s="2583"/>
      <c r="CQ186" s="2583"/>
      <c r="CR186" s="2583"/>
      <c r="CS186" s="2583"/>
      <c r="CT186" s="2583"/>
      <c r="CU186" s="2583"/>
      <c r="CV186" s="2583"/>
      <c r="CW186" s="2583"/>
      <c r="CX186" s="2583"/>
      <c r="CY186" s="2583"/>
      <c r="CZ186" s="2583"/>
      <c r="DA186" s="2583"/>
      <c r="DB186" s="2583"/>
      <c r="DC186" s="2583"/>
      <c r="DD186" s="2583"/>
      <c r="DE186" s="2583"/>
      <c r="DF186" s="2583"/>
      <c r="DG186" s="2583"/>
      <c r="DH186" s="2583"/>
      <c r="DI186" s="2583"/>
      <c r="DJ186" s="2583"/>
      <c r="DK186" s="2583"/>
      <c r="DL186" s="2583"/>
      <c r="DM186" s="2583"/>
      <c r="DN186" s="2583"/>
      <c r="DO186" s="2583"/>
      <c r="DP186" s="2583"/>
      <c r="DQ186" s="2583"/>
      <c r="DR186" s="2583"/>
      <c r="DS186" s="2583"/>
      <c r="DT186" s="2583"/>
      <c r="DU186" s="2583"/>
      <c r="DV186" s="2583"/>
      <c r="DW186" s="2583"/>
      <c r="DX186" s="2583"/>
      <c r="DY186" s="2583"/>
      <c r="DZ186" s="2583"/>
      <c r="EA186" s="2583"/>
      <c r="EB186" s="2583"/>
      <c r="EC186" s="2583"/>
      <c r="ED186" s="2583"/>
      <c r="EE186" s="2583"/>
      <c r="EF186" s="2583"/>
      <c r="EG186" s="2583"/>
      <c r="EH186" s="2583"/>
      <c r="EI186" s="2583"/>
      <c r="EJ186" s="2583"/>
      <c r="EK186" s="2583"/>
      <c r="EL186" s="2583"/>
      <c r="EM186" s="2583"/>
      <c r="EN186" s="2583"/>
      <c r="EO186" s="2583"/>
      <c r="EP186" s="2583"/>
      <c r="EQ186" s="2583"/>
      <c r="ER186" s="2583"/>
      <c r="ES186" s="2583"/>
      <c r="ET186" s="2583"/>
      <c r="EU186" s="2583"/>
      <c r="EV186" s="2583"/>
      <c r="EW186" s="2583"/>
      <c r="EX186" s="2583"/>
      <c r="EY186" s="2583"/>
      <c r="EZ186" s="2583"/>
      <c r="FA186" s="2583"/>
      <c r="FB186" s="2583"/>
      <c r="FC186" s="2583"/>
      <c r="FD186" s="2583"/>
      <c r="FE186" s="2583"/>
      <c r="FF186" s="2583"/>
      <c r="FG186" s="2583"/>
      <c r="FH186" s="2583"/>
      <c r="FI186" s="2583"/>
      <c r="FJ186" s="2583"/>
      <c r="FK186" s="2583"/>
      <c r="FL186" s="2583"/>
      <c r="FM186" s="2583"/>
      <c r="FN186" s="2583"/>
      <c r="FO186" s="2583"/>
      <c r="FP186" s="2583"/>
      <c r="FQ186" s="2583"/>
      <c r="FR186" s="2583"/>
      <c r="FS186" s="2583"/>
      <c r="FT186" s="2583"/>
      <c r="FU186" s="2583"/>
      <c r="FV186" s="2583"/>
      <c r="FW186" s="2583"/>
      <c r="FX186" s="2583"/>
      <c r="FY186" s="2583"/>
      <c r="FZ186" s="2583"/>
      <c r="GA186" s="2583"/>
      <c r="GB186" s="2583"/>
      <c r="GC186" s="2583"/>
      <c r="GD186" s="2583"/>
      <c r="GE186" s="2583"/>
      <c r="GF186" s="2583"/>
      <c r="GG186" s="2583"/>
      <c r="GH186" s="2583"/>
      <c r="GI186" s="2583"/>
      <c r="GJ186" s="2583"/>
      <c r="GK186" s="2583"/>
      <c r="GL186" s="2583"/>
      <c r="GM186" s="2583"/>
      <c r="GN186" s="2583"/>
      <c r="GO186" s="2583"/>
      <c r="GP186" s="2583"/>
      <c r="GQ186" s="2583"/>
      <c r="GR186" s="2583"/>
      <c r="GS186" s="2583"/>
      <c r="GT186" s="2583"/>
      <c r="GU186" s="2583"/>
      <c r="GV186" s="2583"/>
      <c r="GW186" s="2583"/>
      <c r="GX186" s="2583"/>
      <c r="GY186" s="2583"/>
      <c r="GZ186" s="2583"/>
      <c r="HA186" s="2583"/>
      <c r="HB186" s="2583"/>
      <c r="HC186" s="2583"/>
      <c r="HD186" s="2583"/>
      <c r="HE186" s="2583"/>
      <c r="HF186" s="2583"/>
      <c r="HG186" s="2583"/>
      <c r="HH186" s="2583"/>
      <c r="HI186" s="2583"/>
      <c r="HJ186" s="2583"/>
      <c r="HK186" s="2583"/>
      <c r="HL186" s="2583"/>
      <c r="HM186" s="2583"/>
      <c r="HN186" s="2583"/>
      <c r="HO186" s="2583"/>
      <c r="HP186" s="2583"/>
      <c r="HQ186" s="2583"/>
      <c r="HR186" s="2583"/>
      <c r="HS186" s="2583"/>
      <c r="HT186" s="2583"/>
      <c r="HU186" s="2583"/>
      <c r="HV186" s="2583"/>
      <c r="HW186" s="2583"/>
      <c r="HX186" s="2583"/>
      <c r="HY186" s="2583"/>
      <c r="HZ186" s="2583"/>
      <c r="IA186" s="2583"/>
      <c r="IB186" s="2583"/>
      <c r="IC186" s="2583"/>
      <c r="ID186" s="2583"/>
      <c r="IE186" s="2583"/>
      <c r="IF186" s="2583"/>
      <c r="IG186" s="2583"/>
      <c r="IH186" s="2583"/>
      <c r="II186" s="2583"/>
      <c r="IJ186" s="2583"/>
      <c r="IK186" s="2583"/>
      <c r="IL186" s="2583"/>
      <c r="IM186" s="2583"/>
      <c r="IN186" s="2583"/>
      <c r="IO186" s="2583"/>
      <c r="IP186" s="2583"/>
      <c r="IQ186" s="2583"/>
      <c r="IR186" s="2583"/>
      <c r="IS186" s="2583"/>
      <c r="IT186" s="2583"/>
      <c r="IU186" s="2583"/>
      <c r="IV186" s="2583"/>
    </row>
    <row r="187" spans="1:256">
      <c r="C187" s="2584"/>
      <c r="D187" s="2584"/>
      <c r="E187" s="2584"/>
      <c r="F187" s="2584"/>
      <c r="G187" s="2584"/>
      <c r="H187" s="2584"/>
      <c r="AC187" s="2583"/>
      <c r="AD187" s="2583"/>
      <c r="AE187" s="2583"/>
      <c r="AF187" s="2583"/>
      <c r="AG187" s="2583"/>
      <c r="AH187" s="2583"/>
      <c r="AI187" s="2583"/>
      <c r="AJ187" s="2583"/>
      <c r="AK187" s="2583"/>
      <c r="AL187" s="2583"/>
      <c r="AM187" s="2583"/>
      <c r="AN187" s="2583"/>
      <c r="AO187" s="2583"/>
      <c r="AP187" s="2583"/>
      <c r="AQ187" s="2583"/>
      <c r="AR187" s="2583"/>
      <c r="AS187" s="2583"/>
      <c r="AT187" s="2583"/>
      <c r="AU187" s="2583"/>
      <c r="AV187" s="2583"/>
      <c r="AW187" s="2583"/>
      <c r="AX187" s="2583"/>
      <c r="AY187" s="2583"/>
      <c r="AZ187" s="2583"/>
      <c r="BA187" s="2583"/>
      <c r="BB187" s="2583"/>
      <c r="BC187" s="2583"/>
      <c r="BD187" s="2583"/>
      <c r="BE187" s="2583"/>
      <c r="BF187" s="2583"/>
      <c r="BG187" s="2583"/>
      <c r="BH187" s="2583"/>
      <c r="BI187" s="2583"/>
      <c r="BJ187" s="2583"/>
      <c r="BK187" s="2583"/>
      <c r="BL187" s="2583"/>
      <c r="BM187" s="2583"/>
      <c r="BN187" s="2583"/>
      <c r="BO187" s="2583"/>
      <c r="BP187" s="2583"/>
      <c r="BQ187" s="2583"/>
      <c r="BR187" s="2583"/>
      <c r="BS187" s="2583"/>
      <c r="BT187" s="2583"/>
      <c r="BU187" s="2583"/>
      <c r="BV187" s="2583"/>
      <c r="BW187" s="2583"/>
      <c r="BX187" s="2583"/>
      <c r="BY187" s="2583"/>
      <c r="BZ187" s="2583"/>
      <c r="CA187" s="2583"/>
      <c r="CB187" s="2583"/>
      <c r="CC187" s="2583"/>
      <c r="CD187" s="2583"/>
      <c r="CE187" s="2583"/>
      <c r="CF187" s="2583"/>
      <c r="CG187" s="2583"/>
      <c r="CH187" s="2583"/>
      <c r="CI187" s="2583"/>
      <c r="CJ187" s="2583"/>
      <c r="CK187" s="2583"/>
      <c r="CL187" s="2583"/>
      <c r="CM187" s="2583"/>
      <c r="CN187" s="2583"/>
      <c r="CO187" s="2583"/>
      <c r="CP187" s="2583"/>
      <c r="CQ187" s="2583"/>
      <c r="CR187" s="2583"/>
      <c r="CS187" s="2583"/>
      <c r="CT187" s="2583"/>
      <c r="CU187" s="2583"/>
      <c r="CV187" s="2583"/>
      <c r="CW187" s="2583"/>
      <c r="CX187" s="2583"/>
      <c r="CY187" s="2583"/>
      <c r="CZ187" s="2583"/>
      <c r="DA187" s="2583"/>
      <c r="DB187" s="2583"/>
      <c r="DC187" s="2583"/>
      <c r="DD187" s="2583"/>
      <c r="DE187" s="2583"/>
      <c r="DF187" s="2583"/>
      <c r="DG187" s="2583"/>
      <c r="DH187" s="2583"/>
      <c r="DI187" s="2583"/>
      <c r="DJ187" s="2583"/>
      <c r="DK187" s="2583"/>
      <c r="DL187" s="2583"/>
      <c r="DM187" s="2583"/>
      <c r="DN187" s="2583"/>
      <c r="DO187" s="2583"/>
      <c r="DP187" s="2583"/>
      <c r="DQ187" s="2583"/>
      <c r="DR187" s="2583"/>
      <c r="DS187" s="2583"/>
      <c r="DT187" s="2583"/>
      <c r="DU187" s="2583"/>
      <c r="DV187" s="2583"/>
      <c r="DW187" s="2583"/>
      <c r="DX187" s="2583"/>
      <c r="DY187" s="2583"/>
      <c r="DZ187" s="2583"/>
      <c r="EA187" s="2583"/>
      <c r="EB187" s="2583"/>
      <c r="EC187" s="2583"/>
      <c r="ED187" s="2583"/>
      <c r="EE187" s="2583"/>
      <c r="EF187" s="2583"/>
      <c r="EG187" s="2583"/>
      <c r="EH187" s="2583"/>
      <c r="EI187" s="2583"/>
      <c r="EJ187" s="2583"/>
      <c r="EK187" s="2583"/>
      <c r="EL187" s="2583"/>
      <c r="EM187" s="2583"/>
      <c r="EN187" s="2583"/>
      <c r="EO187" s="2583"/>
      <c r="EP187" s="2583"/>
      <c r="EQ187" s="2583"/>
      <c r="ER187" s="2583"/>
      <c r="ES187" s="2583"/>
      <c r="ET187" s="2583"/>
      <c r="EU187" s="2583"/>
      <c r="EV187" s="2583"/>
      <c r="EW187" s="2583"/>
      <c r="EX187" s="2583"/>
      <c r="EY187" s="2583"/>
      <c r="EZ187" s="2583"/>
      <c r="FA187" s="2583"/>
      <c r="FB187" s="2583"/>
      <c r="FC187" s="2583"/>
      <c r="FD187" s="2583"/>
      <c r="FE187" s="2583"/>
      <c r="FF187" s="2583"/>
      <c r="FG187" s="2583"/>
      <c r="FH187" s="2583"/>
      <c r="FI187" s="2583"/>
      <c r="FJ187" s="2583"/>
      <c r="FK187" s="2583"/>
      <c r="FL187" s="2583"/>
      <c r="FM187" s="2583"/>
      <c r="FN187" s="2583"/>
      <c r="FO187" s="2583"/>
      <c r="FP187" s="2583"/>
      <c r="FQ187" s="2583"/>
      <c r="FR187" s="2583"/>
      <c r="FS187" s="2583"/>
      <c r="FT187" s="2583"/>
      <c r="FU187" s="2583"/>
      <c r="FV187" s="2583"/>
      <c r="FW187" s="2583"/>
      <c r="FX187" s="2583"/>
      <c r="FY187" s="2583"/>
      <c r="FZ187" s="2583"/>
      <c r="GA187" s="2583"/>
      <c r="GB187" s="2583"/>
      <c r="GC187" s="2583"/>
      <c r="GD187" s="2583"/>
      <c r="GE187" s="2583"/>
      <c r="GF187" s="2583"/>
      <c r="GG187" s="2583"/>
      <c r="GH187" s="2583"/>
      <c r="GI187" s="2583"/>
      <c r="GJ187" s="2583"/>
      <c r="GK187" s="2583"/>
      <c r="GL187" s="2583"/>
      <c r="GM187" s="2583"/>
      <c r="GN187" s="2583"/>
      <c r="GO187" s="2583"/>
      <c r="GP187" s="2583"/>
      <c r="GQ187" s="2583"/>
      <c r="GR187" s="2583"/>
      <c r="GS187" s="2583"/>
      <c r="GT187" s="2583"/>
      <c r="GU187" s="2583"/>
      <c r="GV187" s="2583"/>
      <c r="GW187" s="2583"/>
      <c r="GX187" s="2583"/>
      <c r="GY187" s="2583"/>
      <c r="GZ187" s="2583"/>
      <c r="HA187" s="2583"/>
      <c r="HB187" s="2583"/>
      <c r="HC187" s="2583"/>
      <c r="HD187" s="2583"/>
      <c r="HE187" s="2583"/>
      <c r="HF187" s="2583"/>
      <c r="HG187" s="2583"/>
      <c r="HH187" s="2583"/>
      <c r="HI187" s="2583"/>
      <c r="HJ187" s="2583"/>
      <c r="HK187" s="2583"/>
      <c r="HL187" s="2583"/>
      <c r="HM187" s="2583"/>
      <c r="HN187" s="2583"/>
      <c r="HO187" s="2583"/>
      <c r="HP187" s="2583"/>
      <c r="HQ187" s="2583"/>
      <c r="HR187" s="2583"/>
      <c r="HS187" s="2583"/>
      <c r="HT187" s="2583"/>
      <c r="HU187" s="2583"/>
      <c r="HV187" s="2583"/>
      <c r="HW187" s="2583"/>
      <c r="HX187" s="2583"/>
      <c r="HY187" s="2583"/>
      <c r="HZ187" s="2583"/>
      <c r="IA187" s="2583"/>
      <c r="IB187" s="2583"/>
      <c r="IC187" s="2583"/>
      <c r="ID187" s="2583"/>
      <c r="IE187" s="2583"/>
      <c r="IF187" s="2583"/>
      <c r="IG187" s="2583"/>
      <c r="IH187" s="2583"/>
      <c r="II187" s="2583"/>
      <c r="IJ187" s="2583"/>
      <c r="IK187" s="2583"/>
      <c r="IL187" s="2583"/>
      <c r="IM187" s="2583"/>
      <c r="IN187" s="2583"/>
      <c r="IO187" s="2583"/>
      <c r="IP187" s="2583"/>
      <c r="IQ187" s="2583"/>
      <c r="IR187" s="2583"/>
      <c r="IS187" s="2583"/>
      <c r="IT187" s="2583"/>
      <c r="IU187" s="2583"/>
      <c r="IV187" s="2583"/>
    </row>
    <row r="188" spans="1:256">
      <c r="C188" s="2584"/>
      <c r="D188" s="2584"/>
      <c r="E188" s="2584"/>
      <c r="F188" s="2584"/>
      <c r="G188" s="2584"/>
      <c r="H188" s="2584"/>
      <c r="AC188" s="2583"/>
      <c r="AD188" s="2583"/>
      <c r="AE188" s="2583"/>
      <c r="AF188" s="2583"/>
      <c r="AG188" s="2583"/>
      <c r="AH188" s="2583"/>
      <c r="AI188" s="2583"/>
      <c r="AJ188" s="2583"/>
      <c r="AK188" s="2583"/>
      <c r="AL188" s="2583"/>
      <c r="AM188" s="2583"/>
      <c r="AN188" s="2583"/>
      <c r="AO188" s="2583"/>
      <c r="AP188" s="2583"/>
      <c r="AQ188" s="2583"/>
      <c r="AR188" s="2583"/>
      <c r="AS188" s="2583"/>
      <c r="AT188" s="2583"/>
      <c r="AU188" s="2583"/>
      <c r="AV188" s="2583"/>
      <c r="AW188" s="2583"/>
      <c r="AX188" s="2583"/>
      <c r="AY188" s="2583"/>
      <c r="AZ188" s="2583"/>
      <c r="BA188" s="2583"/>
      <c r="BB188" s="2583"/>
      <c r="BC188" s="2583"/>
      <c r="BD188" s="2583"/>
      <c r="BE188" s="2583"/>
      <c r="BF188" s="2583"/>
      <c r="BG188" s="2583"/>
      <c r="BH188" s="2583"/>
      <c r="BI188" s="2583"/>
      <c r="BJ188" s="2583"/>
      <c r="BK188" s="2583"/>
      <c r="BL188" s="2583"/>
      <c r="BM188" s="2583"/>
      <c r="BN188" s="2583"/>
      <c r="BO188" s="2583"/>
      <c r="BP188" s="2583"/>
      <c r="BQ188" s="2583"/>
      <c r="BR188" s="2583"/>
      <c r="BS188" s="2583"/>
      <c r="BT188" s="2583"/>
      <c r="BU188" s="2583"/>
      <c r="BV188" s="2583"/>
      <c r="BW188" s="2583"/>
      <c r="BX188" s="2583"/>
      <c r="BY188" s="2583"/>
      <c r="BZ188" s="2583"/>
      <c r="CA188" s="2583"/>
      <c r="CB188" s="2583"/>
      <c r="CC188" s="2583"/>
      <c r="CD188" s="2583"/>
      <c r="CE188" s="2583"/>
      <c r="CF188" s="2583"/>
      <c r="CG188" s="2583"/>
      <c r="CH188" s="2583"/>
      <c r="CI188" s="2583"/>
      <c r="CJ188" s="2583"/>
      <c r="CK188" s="2583"/>
      <c r="CL188" s="2583"/>
      <c r="CM188" s="2583"/>
      <c r="CN188" s="2583"/>
      <c r="CO188" s="2583"/>
      <c r="CP188" s="2583"/>
      <c r="CQ188" s="2583"/>
      <c r="CR188" s="2583"/>
      <c r="CS188" s="2583"/>
      <c r="CT188" s="2583"/>
      <c r="CU188" s="2583"/>
      <c r="CV188" s="2583"/>
      <c r="CW188" s="2583"/>
      <c r="CX188" s="2583"/>
      <c r="CY188" s="2583"/>
      <c r="CZ188" s="2583"/>
      <c r="DA188" s="2583"/>
      <c r="DB188" s="2583"/>
      <c r="DC188" s="2583"/>
      <c r="DD188" s="2583"/>
      <c r="DE188" s="2583"/>
      <c r="DF188" s="2583"/>
      <c r="DG188" s="2583"/>
      <c r="DH188" s="2583"/>
      <c r="DI188" s="2583"/>
      <c r="DJ188" s="2583"/>
      <c r="DK188" s="2583"/>
      <c r="DL188" s="2583"/>
      <c r="DM188" s="2583"/>
      <c r="DN188" s="2583"/>
      <c r="DO188" s="2583"/>
      <c r="DP188" s="2583"/>
      <c r="DQ188" s="2583"/>
      <c r="DR188" s="2583"/>
      <c r="DS188" s="2583"/>
      <c r="DT188" s="2583"/>
      <c r="DU188" s="2583"/>
      <c r="DV188" s="2583"/>
      <c r="DW188" s="2583"/>
      <c r="DX188" s="2583"/>
      <c r="DY188" s="2583"/>
      <c r="DZ188" s="2583"/>
      <c r="EA188" s="2583"/>
      <c r="EB188" s="2583"/>
      <c r="EC188" s="2583"/>
      <c r="ED188" s="2583"/>
      <c r="EE188" s="2583"/>
      <c r="EF188" s="2583"/>
      <c r="EG188" s="2583"/>
      <c r="EH188" s="2583"/>
      <c r="EI188" s="2583"/>
      <c r="EJ188" s="2583"/>
      <c r="EK188" s="2583"/>
      <c r="EL188" s="2583"/>
      <c r="EM188" s="2583"/>
      <c r="EN188" s="2583"/>
      <c r="EO188" s="2583"/>
      <c r="EP188" s="2583"/>
      <c r="EQ188" s="2583"/>
      <c r="ER188" s="2583"/>
      <c r="ES188" s="2583"/>
      <c r="ET188" s="2583"/>
      <c r="EU188" s="2583"/>
      <c r="EV188" s="2583"/>
      <c r="EW188" s="2583"/>
      <c r="EX188" s="2583"/>
      <c r="EY188" s="2583"/>
      <c r="EZ188" s="2583"/>
      <c r="FA188" s="2583"/>
      <c r="FB188" s="2583"/>
      <c r="FC188" s="2583"/>
      <c r="FD188" s="2583"/>
      <c r="FE188" s="2583"/>
      <c r="FF188" s="2583"/>
      <c r="FG188" s="2583"/>
      <c r="FH188" s="2583"/>
      <c r="FI188" s="2583"/>
      <c r="FJ188" s="2583"/>
      <c r="FK188" s="2583"/>
      <c r="FL188" s="2583"/>
      <c r="FM188" s="2583"/>
      <c r="FN188" s="2583"/>
      <c r="FO188" s="2583"/>
      <c r="FP188" s="2583"/>
      <c r="FQ188" s="2583"/>
      <c r="FR188" s="2583"/>
      <c r="FS188" s="2583"/>
      <c r="FT188" s="2583"/>
      <c r="FU188" s="2583"/>
      <c r="FV188" s="2583"/>
      <c r="FW188" s="2583"/>
      <c r="FX188" s="2583"/>
      <c r="FY188" s="2583"/>
      <c r="FZ188" s="2583"/>
      <c r="GA188" s="2583"/>
      <c r="GB188" s="2583"/>
      <c r="GC188" s="2583"/>
      <c r="GD188" s="2583"/>
      <c r="GE188" s="2583"/>
      <c r="GF188" s="2583"/>
      <c r="GG188" s="2583"/>
      <c r="GH188" s="2583"/>
      <c r="GI188" s="2583"/>
      <c r="GJ188" s="2583"/>
      <c r="GK188" s="2583"/>
      <c r="GL188" s="2583"/>
      <c r="GM188" s="2583"/>
      <c r="GN188" s="2583"/>
      <c r="GO188" s="2583"/>
      <c r="GP188" s="2583"/>
      <c r="GQ188" s="2583"/>
      <c r="GR188" s="2583"/>
      <c r="GS188" s="2583"/>
      <c r="GT188" s="2583"/>
      <c r="GU188" s="2583"/>
      <c r="GV188" s="2583"/>
      <c r="GW188" s="2583"/>
      <c r="GX188" s="2583"/>
      <c r="GY188" s="2583"/>
      <c r="GZ188" s="2583"/>
      <c r="HA188" s="2583"/>
      <c r="HB188" s="2583"/>
      <c r="HC188" s="2583"/>
      <c r="HD188" s="2583"/>
      <c r="HE188" s="2583"/>
      <c r="HF188" s="2583"/>
      <c r="HG188" s="2583"/>
      <c r="HH188" s="2583"/>
      <c r="HI188" s="2583"/>
      <c r="HJ188" s="2583"/>
      <c r="HK188" s="2583"/>
      <c r="HL188" s="2583"/>
      <c r="HM188" s="2583"/>
      <c r="HN188" s="2583"/>
      <c r="HO188" s="2583"/>
      <c r="HP188" s="2583"/>
      <c r="HQ188" s="2583"/>
      <c r="HR188" s="2583"/>
      <c r="HS188" s="2583"/>
      <c r="HT188" s="2583"/>
      <c r="HU188" s="2583"/>
      <c r="HV188" s="2583"/>
      <c r="HW188" s="2583"/>
      <c r="HX188" s="2583"/>
      <c r="HY188" s="2583"/>
      <c r="HZ188" s="2583"/>
      <c r="IA188" s="2583"/>
      <c r="IB188" s="2583"/>
      <c r="IC188" s="2583"/>
      <c r="ID188" s="2583"/>
      <c r="IE188" s="2583"/>
      <c r="IF188" s="2583"/>
      <c r="IG188" s="2583"/>
      <c r="IH188" s="2583"/>
      <c r="II188" s="2583"/>
      <c r="IJ188" s="2583"/>
      <c r="IK188" s="2583"/>
      <c r="IL188" s="2583"/>
      <c r="IM188" s="2583"/>
      <c r="IN188" s="2583"/>
      <c r="IO188" s="2583"/>
      <c r="IP188" s="2583"/>
      <c r="IQ188" s="2583"/>
      <c r="IR188" s="2583"/>
      <c r="IS188" s="2583"/>
      <c r="IT188" s="2583"/>
      <c r="IU188" s="2583"/>
      <c r="IV188" s="2583"/>
    </row>
    <row r="189" spans="1:256">
      <c r="C189" s="2584"/>
      <c r="D189" s="2584"/>
      <c r="E189" s="2584"/>
      <c r="F189" s="2584"/>
      <c r="G189" s="2584"/>
      <c r="H189" s="2584"/>
      <c r="AC189" s="2583"/>
      <c r="AD189" s="2583"/>
      <c r="AE189" s="2583"/>
      <c r="AF189" s="2583"/>
      <c r="AG189" s="2583"/>
      <c r="AH189" s="2583"/>
      <c r="AI189" s="2583"/>
      <c r="AJ189" s="2583"/>
      <c r="AK189" s="2583"/>
      <c r="AL189" s="2583"/>
      <c r="AM189" s="2583"/>
      <c r="AN189" s="2583"/>
      <c r="AO189" s="2583"/>
      <c r="AP189" s="2583"/>
      <c r="AQ189" s="2583"/>
      <c r="AR189" s="2583"/>
      <c r="AS189" s="2583"/>
      <c r="AT189" s="2583"/>
      <c r="AU189" s="2583"/>
      <c r="AV189" s="2583"/>
      <c r="AW189" s="2583"/>
      <c r="AX189" s="2583"/>
      <c r="AY189" s="2583"/>
      <c r="AZ189" s="2583"/>
      <c r="BA189" s="2583"/>
      <c r="BB189" s="2583"/>
      <c r="BC189" s="2583"/>
      <c r="BD189" s="2583"/>
      <c r="BE189" s="2583"/>
      <c r="BF189" s="2583"/>
      <c r="BG189" s="2583"/>
      <c r="BH189" s="2583"/>
      <c r="BI189" s="2583"/>
      <c r="BJ189" s="2583"/>
      <c r="BK189" s="2583"/>
      <c r="BL189" s="2583"/>
      <c r="BM189" s="2583"/>
      <c r="BN189" s="2583"/>
      <c r="BO189" s="2583"/>
      <c r="BP189" s="2583"/>
      <c r="BQ189" s="2583"/>
      <c r="BR189" s="2583"/>
      <c r="BS189" s="2583"/>
      <c r="BT189" s="2583"/>
      <c r="BU189" s="2583"/>
      <c r="BV189" s="2583"/>
      <c r="BW189" s="2583"/>
      <c r="BX189" s="2583"/>
      <c r="BY189" s="2583"/>
      <c r="BZ189" s="2583"/>
      <c r="CA189" s="2583"/>
      <c r="CB189" s="2583"/>
      <c r="CC189" s="2583"/>
      <c r="CD189" s="2583"/>
      <c r="CE189" s="2583"/>
      <c r="CF189" s="2583"/>
      <c r="CG189" s="2583"/>
      <c r="CH189" s="2583"/>
      <c r="CI189" s="2583"/>
      <c r="CJ189" s="2583"/>
      <c r="CK189" s="2583"/>
      <c r="CL189" s="2583"/>
      <c r="CM189" s="2583"/>
      <c r="CN189" s="2583"/>
      <c r="CO189" s="2583"/>
      <c r="CP189" s="2583"/>
      <c r="CQ189" s="2583"/>
      <c r="CR189" s="2583"/>
      <c r="CS189" s="2583"/>
      <c r="CT189" s="2583"/>
      <c r="CU189" s="2583"/>
      <c r="CV189" s="2583"/>
      <c r="CW189" s="2583"/>
      <c r="CX189" s="2583"/>
      <c r="CY189" s="2583"/>
      <c r="CZ189" s="2583"/>
      <c r="DA189" s="2583"/>
      <c r="DB189" s="2583"/>
      <c r="DC189" s="2583"/>
      <c r="DD189" s="2583"/>
      <c r="DE189" s="2583"/>
      <c r="DF189" s="2583"/>
      <c r="DG189" s="2583"/>
      <c r="DH189" s="2583"/>
      <c r="DI189" s="2583"/>
      <c r="DJ189" s="2583"/>
      <c r="DK189" s="2583"/>
      <c r="DL189" s="2583"/>
      <c r="DM189" s="2583"/>
      <c r="DN189" s="2583"/>
      <c r="DO189" s="2583"/>
      <c r="DP189" s="2583"/>
      <c r="DQ189" s="2583"/>
      <c r="DR189" s="2583"/>
      <c r="DS189" s="2583"/>
      <c r="DT189" s="2583"/>
      <c r="DU189" s="2583"/>
      <c r="DV189" s="2583"/>
      <c r="DW189" s="2583"/>
      <c r="DX189" s="2583"/>
      <c r="DY189" s="2583"/>
      <c r="DZ189" s="2583"/>
      <c r="EA189" s="2583"/>
      <c r="EB189" s="2583"/>
      <c r="EC189" s="2583"/>
      <c r="ED189" s="2583"/>
      <c r="EE189" s="2583"/>
      <c r="EF189" s="2583"/>
      <c r="EG189" s="2583"/>
      <c r="EH189" s="2583"/>
      <c r="EI189" s="2583"/>
      <c r="EJ189" s="2583"/>
      <c r="EK189" s="2583"/>
      <c r="EL189" s="2583"/>
      <c r="EM189" s="2583"/>
      <c r="EN189" s="2583"/>
      <c r="EO189" s="2583"/>
      <c r="EP189" s="2583"/>
      <c r="EQ189" s="2583"/>
      <c r="ER189" s="2583"/>
      <c r="ES189" s="2583"/>
      <c r="ET189" s="2583"/>
      <c r="EU189" s="2583"/>
      <c r="EV189" s="2583"/>
      <c r="EW189" s="2583"/>
      <c r="EX189" s="2583"/>
      <c r="EY189" s="2583"/>
      <c r="EZ189" s="2583"/>
      <c r="FA189" s="2583"/>
      <c r="FB189" s="2583"/>
      <c r="FC189" s="2583"/>
      <c r="FD189" s="2583"/>
      <c r="FE189" s="2583"/>
      <c r="FF189" s="2583"/>
      <c r="FG189" s="2583"/>
      <c r="FH189" s="2583"/>
      <c r="FI189" s="2583"/>
      <c r="FJ189" s="2583"/>
      <c r="FK189" s="2583"/>
      <c r="FL189" s="2583"/>
      <c r="FM189" s="2583"/>
      <c r="FN189" s="2583"/>
      <c r="FO189" s="2583"/>
      <c r="FP189" s="2583"/>
      <c r="FQ189" s="2583"/>
      <c r="FR189" s="2583"/>
      <c r="FS189" s="2583"/>
      <c r="FT189" s="2583"/>
      <c r="FU189" s="2583"/>
      <c r="FV189" s="2583"/>
      <c r="FW189" s="2583"/>
      <c r="FX189" s="2583"/>
      <c r="FY189" s="2583"/>
      <c r="FZ189" s="2583"/>
      <c r="GA189" s="2583"/>
      <c r="GB189" s="2583"/>
      <c r="GC189" s="2583"/>
      <c r="GD189" s="2583"/>
      <c r="GE189" s="2583"/>
      <c r="GF189" s="2583"/>
      <c r="GG189" s="2583"/>
      <c r="GH189" s="2583"/>
      <c r="GI189" s="2583"/>
      <c r="GJ189" s="2583"/>
      <c r="GK189" s="2583"/>
      <c r="GL189" s="2583"/>
      <c r="GM189" s="2583"/>
      <c r="GN189" s="2583"/>
      <c r="GO189" s="2583"/>
      <c r="GP189" s="2583"/>
      <c r="GQ189" s="2583"/>
      <c r="GR189" s="2583"/>
      <c r="GS189" s="2583"/>
      <c r="GT189" s="2583"/>
      <c r="GU189" s="2583"/>
      <c r="GV189" s="2583"/>
      <c r="GW189" s="2583"/>
      <c r="GX189" s="2583"/>
      <c r="GY189" s="2583"/>
      <c r="GZ189" s="2583"/>
      <c r="HA189" s="2583"/>
      <c r="HB189" s="2583"/>
      <c r="HC189" s="2583"/>
      <c r="HD189" s="2583"/>
      <c r="HE189" s="2583"/>
      <c r="HF189" s="2583"/>
      <c r="HG189" s="2583"/>
      <c r="HH189" s="2583"/>
      <c r="HI189" s="2583"/>
      <c r="HJ189" s="2583"/>
      <c r="HK189" s="2583"/>
      <c r="HL189" s="2583"/>
      <c r="HM189" s="2583"/>
      <c r="HN189" s="2583"/>
      <c r="HO189" s="2583"/>
      <c r="HP189" s="2583"/>
      <c r="HQ189" s="2583"/>
      <c r="HR189" s="2583"/>
      <c r="HS189" s="2583"/>
      <c r="HT189" s="2583"/>
      <c r="HU189" s="2583"/>
      <c r="HV189" s="2583"/>
      <c r="HW189" s="2583"/>
      <c r="HX189" s="2583"/>
      <c r="HY189" s="2583"/>
      <c r="HZ189" s="2583"/>
      <c r="IA189" s="2583"/>
      <c r="IB189" s="2583"/>
      <c r="IC189" s="2583"/>
      <c r="ID189" s="2583"/>
      <c r="IE189" s="2583"/>
      <c r="IF189" s="2583"/>
      <c r="IG189" s="2583"/>
      <c r="IH189" s="2583"/>
      <c r="II189" s="2583"/>
      <c r="IJ189" s="2583"/>
      <c r="IK189" s="2583"/>
      <c r="IL189" s="2583"/>
      <c r="IM189" s="2583"/>
      <c r="IN189" s="2583"/>
      <c r="IO189" s="2583"/>
      <c r="IP189" s="2583"/>
      <c r="IQ189" s="2583"/>
      <c r="IR189" s="2583"/>
      <c r="IS189" s="2583"/>
      <c r="IT189" s="2583"/>
      <c r="IU189" s="2583"/>
      <c r="IV189" s="2583"/>
    </row>
    <row r="190" spans="1:256">
      <c r="C190" s="2584"/>
      <c r="D190" s="2584"/>
      <c r="E190" s="2584"/>
      <c r="F190" s="2584"/>
      <c r="G190" s="2584"/>
      <c r="H190" s="2584"/>
      <c r="AC190" s="2583"/>
      <c r="AD190" s="2583"/>
      <c r="AE190" s="2583"/>
      <c r="AF190" s="2583"/>
      <c r="AG190" s="2583"/>
      <c r="AH190" s="2583"/>
      <c r="AI190" s="2583"/>
      <c r="AJ190" s="2583"/>
      <c r="AK190" s="2583"/>
      <c r="AL190" s="2583"/>
      <c r="AM190" s="2583"/>
      <c r="AN190" s="2583"/>
      <c r="AO190" s="2583"/>
      <c r="AP190" s="2583"/>
      <c r="AQ190" s="2583"/>
      <c r="AR190" s="2583"/>
      <c r="AS190" s="2583"/>
      <c r="AT190" s="2583"/>
      <c r="AU190" s="2583"/>
      <c r="AV190" s="2583"/>
      <c r="AW190" s="2583"/>
      <c r="AX190" s="2583"/>
      <c r="AY190" s="2583"/>
      <c r="AZ190" s="2583"/>
      <c r="BA190" s="2583"/>
      <c r="BB190" s="2583"/>
      <c r="BC190" s="2583"/>
      <c r="BD190" s="2583"/>
      <c r="BE190" s="2583"/>
      <c r="BF190" s="2583"/>
      <c r="BG190" s="2583"/>
      <c r="BH190" s="2583"/>
      <c r="BI190" s="2583"/>
      <c r="BJ190" s="2583"/>
      <c r="BK190" s="2583"/>
      <c r="BL190" s="2583"/>
      <c r="BM190" s="2583"/>
      <c r="BN190" s="2583"/>
      <c r="BO190" s="2583"/>
      <c r="BP190" s="2583"/>
      <c r="BQ190" s="2583"/>
      <c r="BR190" s="2583"/>
      <c r="BS190" s="2583"/>
      <c r="BT190" s="2583"/>
      <c r="BU190" s="2583"/>
      <c r="BV190" s="2583"/>
      <c r="BW190" s="2583"/>
      <c r="BX190" s="2583"/>
      <c r="BY190" s="2583"/>
      <c r="BZ190" s="2583"/>
      <c r="CA190" s="2583"/>
      <c r="CB190" s="2583"/>
      <c r="CC190" s="2583"/>
      <c r="CD190" s="2583"/>
      <c r="CE190" s="2583"/>
      <c r="CF190" s="2583"/>
      <c r="CG190" s="2583"/>
      <c r="CH190" s="2583"/>
      <c r="CI190" s="2583"/>
      <c r="CJ190" s="2583"/>
      <c r="CK190" s="2583"/>
      <c r="CL190" s="2583"/>
      <c r="CM190" s="2583"/>
      <c r="CN190" s="2583"/>
      <c r="CO190" s="2583"/>
      <c r="CP190" s="2583"/>
      <c r="CQ190" s="2583"/>
      <c r="CR190" s="2583"/>
      <c r="CS190" s="2583"/>
      <c r="CT190" s="2583"/>
      <c r="CU190" s="2583"/>
      <c r="CV190" s="2583"/>
      <c r="CW190" s="2583"/>
      <c r="CX190" s="2583"/>
      <c r="CY190" s="2583"/>
      <c r="CZ190" s="2583"/>
      <c r="DA190" s="2583"/>
      <c r="DB190" s="2583"/>
      <c r="DC190" s="2583"/>
      <c r="DD190" s="2583"/>
      <c r="DE190" s="2583"/>
      <c r="DF190" s="2583"/>
      <c r="DG190" s="2583"/>
      <c r="DH190" s="2583"/>
      <c r="DI190" s="2583"/>
      <c r="DJ190" s="2583"/>
      <c r="DK190" s="2583"/>
      <c r="DL190" s="2583"/>
      <c r="DM190" s="2583"/>
      <c r="DN190" s="2583"/>
      <c r="DO190" s="2583"/>
      <c r="DP190" s="2583"/>
      <c r="DQ190" s="2583"/>
      <c r="DR190" s="2583"/>
      <c r="DS190" s="2583"/>
      <c r="DT190" s="2583"/>
      <c r="DU190" s="2583"/>
      <c r="DV190" s="2583"/>
      <c r="DW190" s="2583"/>
      <c r="DX190" s="2583"/>
      <c r="DY190" s="2583"/>
      <c r="DZ190" s="2583"/>
      <c r="EA190" s="2583"/>
      <c r="EB190" s="2583"/>
      <c r="EC190" s="2583"/>
      <c r="ED190" s="2583"/>
      <c r="EE190" s="2583"/>
      <c r="EF190" s="2583"/>
      <c r="EG190" s="2583"/>
      <c r="EH190" s="2583"/>
      <c r="EI190" s="2583"/>
      <c r="EJ190" s="2583"/>
      <c r="EK190" s="2583"/>
      <c r="EL190" s="2583"/>
      <c r="EM190" s="2583"/>
      <c r="EN190" s="2583"/>
      <c r="EO190" s="2583"/>
      <c r="EP190" s="2583"/>
      <c r="EQ190" s="2583"/>
      <c r="ER190" s="2583"/>
      <c r="ES190" s="2583"/>
      <c r="ET190" s="2583"/>
      <c r="EU190" s="2583"/>
      <c r="EV190" s="2583"/>
      <c r="EW190" s="2583"/>
      <c r="EX190" s="2583"/>
      <c r="EY190" s="2583"/>
      <c r="EZ190" s="2583"/>
      <c r="FA190" s="2583"/>
      <c r="FB190" s="2583"/>
      <c r="FC190" s="2583"/>
      <c r="FD190" s="2583"/>
      <c r="FE190" s="2583"/>
      <c r="FF190" s="2583"/>
      <c r="FG190" s="2583"/>
      <c r="FH190" s="2583"/>
      <c r="FI190" s="2583"/>
      <c r="FJ190" s="2583"/>
      <c r="FK190" s="2583"/>
      <c r="FL190" s="2583"/>
      <c r="FM190" s="2583"/>
      <c r="FN190" s="2583"/>
      <c r="FO190" s="2583"/>
      <c r="FP190" s="2583"/>
      <c r="FQ190" s="2583"/>
      <c r="FR190" s="2583"/>
      <c r="FS190" s="2583"/>
      <c r="FT190" s="2583"/>
      <c r="FU190" s="2583"/>
      <c r="FV190" s="2583"/>
      <c r="FW190" s="2583"/>
      <c r="FX190" s="2583"/>
      <c r="FY190" s="2583"/>
      <c r="FZ190" s="2583"/>
      <c r="GA190" s="2583"/>
      <c r="GB190" s="2583"/>
      <c r="GC190" s="2583"/>
      <c r="GD190" s="2583"/>
      <c r="GE190" s="2583"/>
      <c r="GF190" s="2583"/>
      <c r="GG190" s="2583"/>
      <c r="GH190" s="2583"/>
      <c r="GI190" s="2583"/>
      <c r="GJ190" s="2583"/>
      <c r="GK190" s="2583"/>
      <c r="GL190" s="2583"/>
      <c r="GM190" s="2583"/>
      <c r="GN190" s="2583"/>
      <c r="GO190" s="2583"/>
      <c r="GP190" s="2583"/>
      <c r="GQ190" s="2583"/>
      <c r="GR190" s="2583"/>
      <c r="GS190" s="2583"/>
      <c r="GT190" s="2583"/>
      <c r="GU190" s="2583"/>
      <c r="GV190" s="2583"/>
      <c r="GW190" s="2583"/>
      <c r="GX190" s="2583"/>
      <c r="GY190" s="2583"/>
      <c r="GZ190" s="2583"/>
      <c r="HA190" s="2583"/>
      <c r="HB190" s="2583"/>
      <c r="HC190" s="2583"/>
      <c r="HD190" s="2583"/>
      <c r="HE190" s="2583"/>
      <c r="HF190" s="2583"/>
      <c r="HG190" s="2583"/>
      <c r="HH190" s="2583"/>
      <c r="HI190" s="2583"/>
      <c r="HJ190" s="2583"/>
      <c r="HK190" s="2583"/>
      <c r="HL190" s="2583"/>
      <c r="HM190" s="2583"/>
      <c r="HN190" s="2583"/>
      <c r="HO190" s="2583"/>
      <c r="HP190" s="2583"/>
      <c r="HQ190" s="2583"/>
      <c r="HR190" s="2583"/>
      <c r="HS190" s="2583"/>
      <c r="HT190" s="2583"/>
      <c r="HU190" s="2583"/>
      <c r="HV190" s="2583"/>
      <c r="HW190" s="2583"/>
      <c r="HX190" s="2583"/>
      <c r="HY190" s="2583"/>
      <c r="HZ190" s="2583"/>
      <c r="IA190" s="2583"/>
      <c r="IB190" s="2583"/>
      <c r="IC190" s="2583"/>
      <c r="ID190" s="2583"/>
      <c r="IE190" s="2583"/>
      <c r="IF190" s="2583"/>
      <c r="IG190" s="2583"/>
      <c r="IH190" s="2583"/>
      <c r="II190" s="2583"/>
      <c r="IJ190" s="2583"/>
      <c r="IK190" s="2583"/>
      <c r="IL190" s="2583"/>
      <c r="IM190" s="2583"/>
      <c r="IN190" s="2583"/>
      <c r="IO190" s="2583"/>
      <c r="IP190" s="2583"/>
      <c r="IQ190" s="2583"/>
      <c r="IR190" s="2583"/>
      <c r="IS190" s="2583"/>
      <c r="IT190" s="2583"/>
      <c r="IU190" s="2583"/>
      <c r="IV190" s="2583"/>
    </row>
    <row r="191" spans="1:256">
      <c r="C191" s="2584"/>
      <c r="D191" s="2584"/>
      <c r="E191" s="2584"/>
      <c r="F191" s="2584"/>
      <c r="G191" s="2584"/>
      <c r="H191" s="2584"/>
      <c r="AC191" s="2583"/>
      <c r="AD191" s="2583"/>
      <c r="AE191" s="2583"/>
      <c r="AF191" s="2583"/>
      <c r="AG191" s="2583"/>
      <c r="AH191" s="2583"/>
      <c r="AI191" s="2583"/>
      <c r="AJ191" s="2583"/>
      <c r="AK191" s="2583"/>
      <c r="AL191" s="2583"/>
      <c r="AM191" s="2583"/>
      <c r="AN191" s="2583"/>
      <c r="AO191" s="2583"/>
      <c r="AP191" s="2583"/>
      <c r="AQ191" s="2583"/>
      <c r="AR191" s="2583"/>
      <c r="AS191" s="2583"/>
      <c r="AT191" s="2583"/>
      <c r="AU191" s="2583"/>
      <c r="AV191" s="2583"/>
      <c r="AW191" s="2583"/>
      <c r="AX191" s="2583"/>
      <c r="AY191" s="2583"/>
      <c r="AZ191" s="2583"/>
      <c r="BA191" s="2583"/>
      <c r="BB191" s="2583"/>
      <c r="BC191" s="2583"/>
      <c r="BD191" s="2583"/>
      <c r="BE191" s="2583"/>
      <c r="BF191" s="2583"/>
      <c r="BG191" s="2583"/>
      <c r="BH191" s="2583"/>
      <c r="BI191" s="2583"/>
      <c r="BJ191" s="2583"/>
      <c r="BK191" s="2583"/>
      <c r="BL191" s="2583"/>
      <c r="BM191" s="2583"/>
      <c r="BN191" s="2583"/>
      <c r="BO191" s="2583"/>
      <c r="BP191" s="2583"/>
      <c r="BQ191" s="2583"/>
      <c r="BR191" s="2583"/>
      <c r="BS191" s="2583"/>
      <c r="BT191" s="2583"/>
      <c r="BU191" s="2583"/>
      <c r="BV191" s="2583"/>
      <c r="BW191" s="2583"/>
      <c r="BX191" s="2583"/>
      <c r="BY191" s="2583"/>
      <c r="BZ191" s="2583"/>
      <c r="CA191" s="2583"/>
      <c r="CB191" s="2583"/>
      <c r="CC191" s="2583"/>
      <c r="CD191" s="2583"/>
      <c r="CE191" s="2583"/>
      <c r="CF191" s="2583"/>
      <c r="CG191" s="2583"/>
      <c r="CH191" s="2583"/>
      <c r="CI191" s="2583"/>
      <c r="CJ191" s="2583"/>
      <c r="CK191" s="2583"/>
      <c r="CL191" s="2583"/>
      <c r="CM191" s="2583"/>
      <c r="CN191" s="2583"/>
      <c r="CO191" s="2583"/>
      <c r="CP191" s="2583"/>
      <c r="CQ191" s="2583"/>
      <c r="CR191" s="2583"/>
      <c r="CS191" s="2583"/>
      <c r="CT191" s="2583"/>
      <c r="CU191" s="2583"/>
      <c r="CV191" s="2583"/>
      <c r="CW191" s="2583"/>
      <c r="CX191" s="2583"/>
      <c r="CY191" s="2583"/>
      <c r="CZ191" s="2583"/>
      <c r="DA191" s="2583"/>
      <c r="DB191" s="2583"/>
      <c r="DC191" s="2583"/>
      <c r="DD191" s="2583"/>
      <c r="DE191" s="2583"/>
      <c r="DF191" s="2583"/>
      <c r="DG191" s="2583"/>
      <c r="DH191" s="2583"/>
      <c r="DI191" s="2583"/>
      <c r="DJ191" s="2583"/>
      <c r="DK191" s="2583"/>
      <c r="DL191" s="2583"/>
      <c r="DM191" s="2583"/>
      <c r="DN191" s="2583"/>
      <c r="DO191" s="2583"/>
      <c r="DP191" s="2583"/>
      <c r="DQ191" s="2583"/>
      <c r="DR191" s="2583"/>
      <c r="DS191" s="2583"/>
      <c r="DT191" s="2583"/>
      <c r="DU191" s="2583"/>
      <c r="DV191" s="2583"/>
      <c r="DW191" s="2583"/>
      <c r="DX191" s="2583"/>
      <c r="DY191" s="2583"/>
      <c r="DZ191" s="2583"/>
      <c r="EA191" s="2583"/>
      <c r="EB191" s="2583"/>
      <c r="EC191" s="2583"/>
      <c r="ED191" s="2583"/>
      <c r="EE191" s="2583"/>
      <c r="EF191" s="2583"/>
      <c r="EG191" s="2583"/>
      <c r="EH191" s="2583"/>
      <c r="EI191" s="2583"/>
      <c r="EJ191" s="2583"/>
      <c r="EK191" s="2583"/>
      <c r="EL191" s="2583"/>
      <c r="EM191" s="2583"/>
      <c r="EN191" s="2583"/>
      <c r="EO191" s="2583"/>
      <c r="EP191" s="2583"/>
      <c r="EQ191" s="2583"/>
      <c r="ER191" s="2583"/>
      <c r="ES191" s="2583"/>
      <c r="ET191" s="2583"/>
      <c r="EU191" s="2583"/>
      <c r="EV191" s="2583"/>
      <c r="EW191" s="2583"/>
      <c r="EX191" s="2583"/>
      <c r="EY191" s="2583"/>
      <c r="EZ191" s="2583"/>
      <c r="FA191" s="2583"/>
      <c r="FB191" s="2583"/>
      <c r="FC191" s="2583"/>
      <c r="FD191" s="2583"/>
      <c r="FE191" s="2583"/>
      <c r="FF191" s="2583"/>
      <c r="FG191" s="2583"/>
      <c r="FH191" s="2583"/>
      <c r="FI191" s="2583"/>
      <c r="FJ191" s="2583"/>
      <c r="FK191" s="2583"/>
      <c r="FL191" s="2583"/>
      <c r="FM191" s="2583"/>
      <c r="FN191" s="2583"/>
      <c r="FO191" s="2583"/>
      <c r="FP191" s="2583"/>
      <c r="FQ191" s="2583"/>
      <c r="FR191" s="2583"/>
      <c r="FS191" s="2583"/>
      <c r="FT191" s="2583"/>
      <c r="FU191" s="2583"/>
      <c r="FV191" s="2583"/>
      <c r="FW191" s="2583"/>
      <c r="FX191" s="2583"/>
      <c r="FY191" s="2583"/>
      <c r="FZ191" s="2583"/>
      <c r="GA191" s="2583"/>
      <c r="GB191" s="2583"/>
      <c r="GC191" s="2583"/>
      <c r="GD191" s="2583"/>
      <c r="GE191" s="2583"/>
      <c r="GF191" s="2583"/>
      <c r="GG191" s="2583"/>
      <c r="GH191" s="2583"/>
      <c r="GI191" s="2583"/>
      <c r="GJ191" s="2583"/>
      <c r="GK191" s="2583"/>
      <c r="GL191" s="2583"/>
      <c r="GM191" s="2583"/>
      <c r="GN191" s="2583"/>
      <c r="GO191" s="2583"/>
      <c r="GP191" s="2583"/>
      <c r="GQ191" s="2583"/>
      <c r="GR191" s="2583"/>
      <c r="GS191" s="2583"/>
      <c r="GT191" s="2583"/>
      <c r="GU191" s="2583"/>
      <c r="GV191" s="2583"/>
      <c r="GW191" s="2583"/>
      <c r="GX191" s="2583"/>
      <c r="GY191" s="2583"/>
      <c r="GZ191" s="2583"/>
      <c r="HA191" s="2583"/>
      <c r="HB191" s="2583"/>
      <c r="HC191" s="2583"/>
      <c r="HD191" s="2583"/>
      <c r="HE191" s="2583"/>
      <c r="HF191" s="2583"/>
      <c r="HG191" s="2583"/>
      <c r="HH191" s="2583"/>
      <c r="HI191" s="2583"/>
      <c r="HJ191" s="2583"/>
      <c r="HK191" s="2583"/>
      <c r="HL191" s="2583"/>
      <c r="HM191" s="2583"/>
      <c r="HN191" s="2583"/>
      <c r="HO191" s="2583"/>
      <c r="HP191" s="2583"/>
      <c r="HQ191" s="2583"/>
      <c r="HR191" s="2583"/>
      <c r="HS191" s="2583"/>
      <c r="HT191" s="2583"/>
      <c r="HU191" s="2583"/>
      <c r="HV191" s="2583"/>
      <c r="HW191" s="2583"/>
      <c r="HX191" s="2583"/>
      <c r="HY191" s="2583"/>
      <c r="HZ191" s="2583"/>
      <c r="IA191" s="2583"/>
      <c r="IB191" s="2583"/>
      <c r="IC191" s="2583"/>
      <c r="ID191" s="2583"/>
      <c r="IE191" s="2583"/>
      <c r="IF191" s="2583"/>
      <c r="IG191" s="2583"/>
      <c r="IH191" s="2583"/>
      <c r="II191" s="2583"/>
      <c r="IJ191" s="2583"/>
      <c r="IK191" s="2583"/>
      <c r="IL191" s="2583"/>
      <c r="IM191" s="2583"/>
      <c r="IN191" s="2583"/>
      <c r="IO191" s="2583"/>
      <c r="IP191" s="2583"/>
      <c r="IQ191" s="2583"/>
      <c r="IR191" s="2583"/>
      <c r="IS191" s="2583"/>
      <c r="IT191" s="2583"/>
      <c r="IU191" s="2583"/>
      <c r="IV191" s="2583"/>
    </row>
    <row r="192" spans="1:256">
      <c r="C192" s="2584"/>
      <c r="D192" s="2584"/>
      <c r="E192" s="2584"/>
      <c r="F192" s="2584"/>
      <c r="G192" s="2584"/>
      <c r="H192" s="2584"/>
      <c r="AC192" s="2583"/>
      <c r="AD192" s="2583"/>
      <c r="AE192" s="2583"/>
      <c r="AF192" s="2583"/>
      <c r="AG192" s="2583"/>
      <c r="AH192" s="2583"/>
      <c r="AI192" s="2583"/>
      <c r="AJ192" s="2583"/>
      <c r="AK192" s="2583"/>
      <c r="AL192" s="2583"/>
      <c r="AM192" s="2583"/>
      <c r="AN192" s="2583"/>
      <c r="AO192" s="2583"/>
      <c r="AP192" s="2583"/>
      <c r="AQ192" s="2583"/>
      <c r="AR192" s="2583"/>
      <c r="AS192" s="2583"/>
      <c r="AT192" s="2583"/>
      <c r="AU192" s="2583"/>
      <c r="AV192" s="2583"/>
      <c r="AW192" s="2583"/>
      <c r="AX192" s="2583"/>
      <c r="AY192" s="2583"/>
      <c r="AZ192" s="2583"/>
      <c r="BA192" s="2583"/>
      <c r="BB192" s="2583"/>
      <c r="BC192" s="2583"/>
      <c r="BD192" s="2583"/>
      <c r="BE192" s="2583"/>
      <c r="BF192" s="2583"/>
      <c r="BG192" s="2583"/>
      <c r="BH192" s="2583"/>
      <c r="BI192" s="2583"/>
      <c r="BJ192" s="2583"/>
      <c r="BK192" s="2583"/>
      <c r="BL192" s="2583"/>
      <c r="BM192" s="2583"/>
      <c r="BN192" s="2583"/>
      <c r="BO192" s="2583"/>
      <c r="BP192" s="2583"/>
      <c r="BQ192" s="2583"/>
      <c r="BR192" s="2583"/>
      <c r="BS192" s="2583"/>
      <c r="BT192" s="2583"/>
      <c r="BU192" s="2583"/>
      <c r="BV192" s="2583"/>
      <c r="BW192" s="2583"/>
      <c r="BX192" s="2583"/>
      <c r="BY192" s="2583"/>
      <c r="BZ192" s="2583"/>
      <c r="CA192" s="2583"/>
      <c r="CB192" s="2583"/>
      <c r="CC192" s="2583"/>
      <c r="CD192" s="2583"/>
      <c r="CE192" s="2583"/>
      <c r="CF192" s="2583"/>
      <c r="CG192" s="2583"/>
      <c r="CH192" s="2583"/>
      <c r="CI192" s="2583"/>
      <c r="CJ192" s="2583"/>
      <c r="CK192" s="2583"/>
      <c r="CL192" s="2583"/>
      <c r="CM192" s="2583"/>
      <c r="CN192" s="2583"/>
      <c r="CO192" s="2583"/>
      <c r="CP192" s="2583"/>
      <c r="CQ192" s="2583"/>
      <c r="CR192" s="2583"/>
      <c r="CS192" s="2583"/>
      <c r="CT192" s="2583"/>
      <c r="CU192" s="2583"/>
      <c r="CV192" s="2583"/>
      <c r="CW192" s="2583"/>
      <c r="CX192" s="2583"/>
      <c r="CY192" s="2583"/>
      <c r="CZ192" s="2583"/>
      <c r="DA192" s="2583"/>
      <c r="DB192" s="2583"/>
      <c r="DC192" s="2583"/>
      <c r="DD192" s="2583"/>
      <c r="DE192" s="2583"/>
      <c r="DF192" s="2583"/>
      <c r="DG192" s="2583"/>
      <c r="DH192" s="2583"/>
      <c r="DI192" s="2583"/>
      <c r="DJ192" s="2583"/>
      <c r="DK192" s="2583"/>
      <c r="DL192" s="2583"/>
      <c r="DM192" s="2583"/>
      <c r="DN192" s="2583"/>
      <c r="DO192" s="2583"/>
      <c r="DP192" s="2583"/>
      <c r="DQ192" s="2583"/>
      <c r="DR192" s="2583"/>
      <c r="DS192" s="2583"/>
      <c r="DT192" s="2583"/>
      <c r="DU192" s="2583"/>
      <c r="DV192" s="2583"/>
      <c r="DW192" s="2583"/>
      <c r="DX192" s="2583"/>
      <c r="DY192" s="2583"/>
      <c r="DZ192" s="2583"/>
      <c r="EA192" s="2583"/>
      <c r="EB192" s="2583"/>
      <c r="EC192" s="2583"/>
      <c r="ED192" s="2583"/>
      <c r="EE192" s="2583"/>
      <c r="EF192" s="2583"/>
      <c r="EG192" s="2583"/>
      <c r="EH192" s="2583"/>
      <c r="EI192" s="2583"/>
      <c r="EJ192" s="2583"/>
      <c r="EK192" s="2583"/>
      <c r="EL192" s="2583"/>
      <c r="EM192" s="2583"/>
      <c r="EN192" s="2583"/>
      <c r="EO192" s="2583"/>
      <c r="EP192" s="2583"/>
      <c r="EQ192" s="2583"/>
      <c r="ER192" s="2583"/>
      <c r="ES192" s="2583"/>
      <c r="ET192" s="2583"/>
      <c r="EU192" s="2583"/>
      <c r="EV192" s="2583"/>
      <c r="EW192" s="2583"/>
      <c r="EX192" s="2583"/>
      <c r="EY192" s="2583"/>
      <c r="EZ192" s="2583"/>
      <c r="FA192" s="2583"/>
      <c r="FB192" s="2583"/>
      <c r="FC192" s="2583"/>
      <c r="FD192" s="2583"/>
      <c r="FE192" s="2583"/>
      <c r="FF192" s="2583"/>
      <c r="FG192" s="2583"/>
      <c r="FH192" s="2583"/>
      <c r="FI192" s="2583"/>
      <c r="FJ192" s="2583"/>
      <c r="FK192" s="2583"/>
      <c r="FL192" s="2583"/>
      <c r="FM192" s="2583"/>
      <c r="FN192" s="2583"/>
      <c r="FO192" s="2583"/>
      <c r="FP192" s="2583"/>
      <c r="FQ192" s="2583"/>
      <c r="FR192" s="2583"/>
      <c r="FS192" s="2583"/>
      <c r="FT192" s="2583"/>
      <c r="FU192" s="2583"/>
      <c r="FV192" s="2583"/>
      <c r="FW192" s="2583"/>
      <c r="FX192" s="2583"/>
      <c r="FY192" s="2583"/>
      <c r="FZ192" s="2583"/>
      <c r="GA192" s="2583"/>
      <c r="GB192" s="2583"/>
      <c r="GC192" s="2583"/>
      <c r="GD192" s="2583"/>
      <c r="GE192" s="2583"/>
      <c r="GF192" s="2583"/>
      <c r="GG192" s="2583"/>
      <c r="GH192" s="2583"/>
      <c r="GI192" s="2583"/>
      <c r="GJ192" s="2583"/>
      <c r="GK192" s="2583"/>
      <c r="GL192" s="2583"/>
      <c r="GM192" s="2583"/>
      <c r="GN192" s="2583"/>
      <c r="GO192" s="2583"/>
      <c r="GP192" s="2583"/>
      <c r="GQ192" s="2583"/>
      <c r="GR192" s="2583"/>
      <c r="GS192" s="2583"/>
      <c r="GT192" s="2583"/>
      <c r="GU192" s="2583"/>
      <c r="GV192" s="2583"/>
      <c r="GW192" s="2583"/>
      <c r="GX192" s="2583"/>
      <c r="GY192" s="2583"/>
      <c r="GZ192" s="2583"/>
      <c r="HA192" s="2583"/>
      <c r="HB192" s="2583"/>
      <c r="HC192" s="2583"/>
      <c r="HD192" s="2583"/>
      <c r="HE192" s="2583"/>
      <c r="HF192" s="2583"/>
      <c r="HG192" s="2583"/>
      <c r="HH192" s="2583"/>
      <c r="HI192" s="2583"/>
      <c r="HJ192" s="2583"/>
      <c r="HK192" s="2583"/>
      <c r="HL192" s="2583"/>
      <c r="HM192" s="2583"/>
      <c r="HN192" s="2583"/>
      <c r="HO192" s="2583"/>
      <c r="HP192" s="2583"/>
      <c r="HQ192" s="2583"/>
      <c r="HR192" s="2583"/>
      <c r="HS192" s="2583"/>
      <c r="HT192" s="2583"/>
      <c r="HU192" s="2583"/>
      <c r="HV192" s="2583"/>
      <c r="HW192" s="2583"/>
      <c r="HX192" s="2583"/>
      <c r="HY192" s="2583"/>
      <c r="HZ192" s="2583"/>
      <c r="IA192" s="2583"/>
      <c r="IB192" s="2583"/>
      <c r="IC192" s="2583"/>
      <c r="ID192" s="2583"/>
      <c r="IE192" s="2583"/>
      <c r="IF192" s="2583"/>
      <c r="IG192" s="2583"/>
      <c r="IH192" s="2583"/>
      <c r="II192" s="2583"/>
      <c r="IJ192" s="2583"/>
      <c r="IK192" s="2583"/>
      <c r="IL192" s="2583"/>
      <c r="IM192" s="2583"/>
      <c r="IN192" s="2583"/>
      <c r="IO192" s="2583"/>
      <c r="IP192" s="2583"/>
      <c r="IQ192" s="2583"/>
      <c r="IR192" s="2583"/>
      <c r="IS192" s="2583"/>
      <c r="IT192" s="2583"/>
      <c r="IU192" s="2583"/>
      <c r="IV192" s="2583"/>
    </row>
    <row r="193" spans="3:256">
      <c r="C193" s="2584"/>
      <c r="D193" s="2584"/>
      <c r="E193" s="2584"/>
      <c r="F193" s="2584"/>
      <c r="G193" s="2584"/>
      <c r="H193" s="2584"/>
      <c r="AC193" s="2583"/>
      <c r="AD193" s="2583"/>
      <c r="AE193" s="2583"/>
      <c r="AF193" s="2583"/>
      <c r="AG193" s="2583"/>
      <c r="AH193" s="2583"/>
      <c r="AI193" s="2583"/>
      <c r="AJ193" s="2583"/>
      <c r="AK193" s="2583"/>
      <c r="AL193" s="2583"/>
      <c r="AM193" s="2583"/>
      <c r="AN193" s="2583"/>
      <c r="AO193" s="2583"/>
      <c r="AP193" s="2583"/>
      <c r="AQ193" s="2583"/>
      <c r="AR193" s="2583"/>
      <c r="AS193" s="2583"/>
      <c r="AT193" s="2583"/>
      <c r="AU193" s="2583"/>
      <c r="AV193" s="2583"/>
      <c r="AW193" s="2583"/>
      <c r="AX193" s="2583"/>
      <c r="AY193" s="2583"/>
      <c r="AZ193" s="2583"/>
      <c r="BA193" s="2583"/>
      <c r="BB193" s="2583"/>
      <c r="BC193" s="2583"/>
      <c r="BD193" s="2583"/>
      <c r="BE193" s="2583"/>
      <c r="BF193" s="2583"/>
      <c r="BG193" s="2583"/>
      <c r="BH193" s="2583"/>
      <c r="BI193" s="2583"/>
      <c r="BJ193" s="2583"/>
      <c r="BK193" s="2583"/>
      <c r="BL193" s="2583"/>
      <c r="BM193" s="2583"/>
      <c r="BN193" s="2583"/>
      <c r="BO193" s="2583"/>
      <c r="BP193" s="2583"/>
      <c r="BQ193" s="2583"/>
      <c r="BR193" s="2583"/>
      <c r="BS193" s="2583"/>
      <c r="BT193" s="2583"/>
      <c r="BU193" s="2583"/>
      <c r="BV193" s="2583"/>
      <c r="BW193" s="2583"/>
      <c r="BX193" s="2583"/>
      <c r="BY193" s="2583"/>
      <c r="BZ193" s="2583"/>
      <c r="CA193" s="2583"/>
      <c r="CB193" s="2583"/>
      <c r="CC193" s="2583"/>
      <c r="CD193" s="2583"/>
      <c r="CE193" s="2583"/>
      <c r="CF193" s="2583"/>
      <c r="CG193" s="2583"/>
      <c r="CH193" s="2583"/>
      <c r="CI193" s="2583"/>
      <c r="CJ193" s="2583"/>
      <c r="CK193" s="2583"/>
      <c r="CL193" s="2583"/>
      <c r="CM193" s="2583"/>
      <c r="CN193" s="2583"/>
      <c r="CO193" s="2583"/>
      <c r="CP193" s="2583"/>
      <c r="CQ193" s="2583"/>
      <c r="CR193" s="2583"/>
      <c r="CS193" s="2583"/>
      <c r="CT193" s="2583"/>
      <c r="CU193" s="2583"/>
      <c r="CV193" s="2583"/>
      <c r="CW193" s="2583"/>
      <c r="CX193" s="2583"/>
      <c r="CY193" s="2583"/>
      <c r="CZ193" s="2583"/>
      <c r="DA193" s="2583"/>
      <c r="DB193" s="2583"/>
      <c r="DC193" s="2583"/>
      <c r="DD193" s="2583"/>
      <c r="DE193" s="2583"/>
      <c r="DF193" s="2583"/>
      <c r="DG193" s="2583"/>
      <c r="DH193" s="2583"/>
      <c r="DI193" s="2583"/>
      <c r="DJ193" s="2583"/>
      <c r="DK193" s="2583"/>
      <c r="DL193" s="2583"/>
      <c r="DM193" s="2583"/>
      <c r="DN193" s="2583"/>
      <c r="DO193" s="2583"/>
      <c r="DP193" s="2583"/>
      <c r="DQ193" s="2583"/>
      <c r="DR193" s="2583"/>
      <c r="DS193" s="2583"/>
      <c r="DT193" s="2583"/>
      <c r="DU193" s="2583"/>
      <c r="DV193" s="2583"/>
      <c r="DW193" s="2583"/>
      <c r="DX193" s="2583"/>
      <c r="DY193" s="2583"/>
      <c r="DZ193" s="2583"/>
      <c r="EA193" s="2583"/>
      <c r="EB193" s="2583"/>
      <c r="EC193" s="2583"/>
      <c r="ED193" s="2583"/>
      <c r="EE193" s="2583"/>
      <c r="EF193" s="2583"/>
      <c r="EG193" s="2583"/>
      <c r="EH193" s="2583"/>
      <c r="EI193" s="2583"/>
      <c r="EJ193" s="2583"/>
      <c r="EK193" s="2583"/>
      <c r="EL193" s="2583"/>
      <c r="EM193" s="2583"/>
      <c r="EN193" s="2583"/>
      <c r="EO193" s="2583"/>
      <c r="EP193" s="2583"/>
      <c r="EQ193" s="2583"/>
      <c r="ER193" s="2583"/>
      <c r="ES193" s="2583"/>
      <c r="ET193" s="2583"/>
      <c r="EU193" s="2583"/>
      <c r="EV193" s="2583"/>
      <c r="EW193" s="2583"/>
      <c r="EX193" s="2583"/>
      <c r="EY193" s="2583"/>
      <c r="EZ193" s="2583"/>
      <c r="FA193" s="2583"/>
      <c r="FB193" s="2583"/>
      <c r="FC193" s="2583"/>
      <c r="FD193" s="2583"/>
      <c r="FE193" s="2583"/>
      <c r="FF193" s="2583"/>
      <c r="FG193" s="2583"/>
      <c r="FH193" s="2583"/>
      <c r="FI193" s="2583"/>
      <c r="FJ193" s="2583"/>
      <c r="FK193" s="2583"/>
      <c r="FL193" s="2583"/>
      <c r="FM193" s="2583"/>
      <c r="FN193" s="2583"/>
      <c r="FO193" s="2583"/>
      <c r="FP193" s="2583"/>
      <c r="FQ193" s="2583"/>
      <c r="FR193" s="2583"/>
      <c r="FS193" s="2583"/>
      <c r="FT193" s="2583"/>
      <c r="FU193" s="2583"/>
      <c r="FV193" s="2583"/>
      <c r="FW193" s="2583"/>
      <c r="FX193" s="2583"/>
      <c r="FY193" s="2583"/>
      <c r="FZ193" s="2583"/>
      <c r="GA193" s="2583"/>
      <c r="GB193" s="2583"/>
      <c r="GC193" s="2583"/>
      <c r="GD193" s="2583"/>
      <c r="GE193" s="2583"/>
      <c r="GF193" s="2583"/>
      <c r="GG193" s="2583"/>
      <c r="GH193" s="2583"/>
      <c r="GI193" s="2583"/>
      <c r="GJ193" s="2583"/>
      <c r="GK193" s="2583"/>
      <c r="GL193" s="2583"/>
      <c r="GM193" s="2583"/>
      <c r="GN193" s="2583"/>
      <c r="GO193" s="2583"/>
      <c r="GP193" s="2583"/>
      <c r="GQ193" s="2583"/>
      <c r="GR193" s="2583"/>
      <c r="GS193" s="2583"/>
      <c r="GT193" s="2583"/>
      <c r="GU193" s="2583"/>
      <c r="GV193" s="2583"/>
      <c r="GW193" s="2583"/>
      <c r="GX193" s="2583"/>
      <c r="GY193" s="2583"/>
      <c r="GZ193" s="2583"/>
      <c r="HA193" s="2583"/>
      <c r="HB193" s="2583"/>
      <c r="HC193" s="2583"/>
      <c r="HD193" s="2583"/>
      <c r="HE193" s="2583"/>
      <c r="HF193" s="2583"/>
      <c r="HG193" s="2583"/>
      <c r="HH193" s="2583"/>
      <c r="HI193" s="2583"/>
      <c r="HJ193" s="2583"/>
      <c r="HK193" s="2583"/>
      <c r="HL193" s="2583"/>
      <c r="HM193" s="2583"/>
      <c r="HN193" s="2583"/>
      <c r="HO193" s="2583"/>
      <c r="HP193" s="2583"/>
      <c r="HQ193" s="2583"/>
      <c r="HR193" s="2583"/>
      <c r="HS193" s="2583"/>
      <c r="HT193" s="2583"/>
      <c r="HU193" s="2583"/>
      <c r="HV193" s="2583"/>
      <c r="HW193" s="2583"/>
      <c r="HX193" s="2583"/>
      <c r="HY193" s="2583"/>
      <c r="HZ193" s="2583"/>
      <c r="IA193" s="2583"/>
      <c r="IB193" s="2583"/>
      <c r="IC193" s="2583"/>
      <c r="ID193" s="2583"/>
      <c r="IE193" s="2583"/>
      <c r="IF193" s="2583"/>
      <c r="IG193" s="2583"/>
      <c r="IH193" s="2583"/>
      <c r="II193" s="2583"/>
      <c r="IJ193" s="2583"/>
      <c r="IK193" s="2583"/>
      <c r="IL193" s="2583"/>
      <c r="IM193" s="2583"/>
      <c r="IN193" s="2583"/>
      <c r="IO193" s="2583"/>
      <c r="IP193" s="2583"/>
      <c r="IQ193" s="2583"/>
      <c r="IR193" s="2583"/>
      <c r="IS193" s="2583"/>
      <c r="IT193" s="2583"/>
      <c r="IU193" s="2583"/>
      <c r="IV193" s="2583"/>
    </row>
    <row r="194" spans="3:256">
      <c r="C194" s="2584"/>
      <c r="D194" s="2584"/>
      <c r="E194" s="2584"/>
      <c r="F194" s="2584"/>
      <c r="G194" s="2584"/>
      <c r="H194" s="2584"/>
      <c r="AC194" s="2583"/>
      <c r="AD194" s="2583"/>
      <c r="AE194" s="2583"/>
      <c r="AF194" s="2583"/>
      <c r="AG194" s="2583"/>
      <c r="AH194" s="2583"/>
      <c r="AI194" s="2583"/>
      <c r="AJ194" s="2583"/>
      <c r="AK194" s="2583"/>
      <c r="AL194" s="2583"/>
      <c r="AM194" s="2583"/>
      <c r="AN194" s="2583"/>
      <c r="AO194" s="2583"/>
      <c r="AP194" s="2583"/>
      <c r="AQ194" s="2583"/>
      <c r="AR194" s="2583"/>
      <c r="AS194" s="2583"/>
      <c r="AT194" s="2583"/>
      <c r="AU194" s="2583"/>
      <c r="AV194" s="2583"/>
      <c r="AW194" s="2583"/>
      <c r="AX194" s="2583"/>
      <c r="AY194" s="2583"/>
      <c r="AZ194" s="2583"/>
      <c r="BA194" s="2583"/>
      <c r="BB194" s="2583"/>
      <c r="BC194" s="2583"/>
      <c r="BD194" s="2583"/>
      <c r="BE194" s="2583"/>
      <c r="BF194" s="2583"/>
      <c r="BG194" s="2583"/>
      <c r="BH194" s="2583"/>
      <c r="BI194" s="2583"/>
      <c r="BJ194" s="2583"/>
      <c r="BK194" s="2583"/>
      <c r="BL194" s="2583"/>
      <c r="BM194" s="2583"/>
      <c r="BN194" s="2583"/>
      <c r="BO194" s="2583"/>
      <c r="BP194" s="2583"/>
      <c r="BQ194" s="2583"/>
      <c r="BR194" s="2583"/>
      <c r="BS194" s="2583"/>
      <c r="BT194" s="2583"/>
      <c r="BU194" s="2583"/>
      <c r="BV194" s="2583"/>
      <c r="BW194" s="2583"/>
      <c r="BX194" s="2583"/>
      <c r="BY194" s="2583"/>
      <c r="BZ194" s="2583"/>
      <c r="CA194" s="2583"/>
      <c r="CB194" s="2583"/>
      <c r="CC194" s="2583"/>
      <c r="CD194" s="2583"/>
      <c r="CE194" s="2583"/>
      <c r="CF194" s="2583"/>
      <c r="CG194" s="2583"/>
      <c r="CH194" s="2583"/>
      <c r="CI194" s="2583"/>
      <c r="CJ194" s="2583"/>
      <c r="CK194" s="2583"/>
      <c r="CL194" s="2583"/>
      <c r="CM194" s="2583"/>
      <c r="CN194" s="2583"/>
      <c r="CO194" s="2583"/>
      <c r="CP194" s="2583"/>
      <c r="CQ194" s="2583"/>
      <c r="CR194" s="2583"/>
      <c r="CS194" s="2583"/>
      <c r="CT194" s="2583"/>
      <c r="CU194" s="2583"/>
      <c r="CV194" s="2583"/>
      <c r="CW194" s="2583"/>
      <c r="CX194" s="2583"/>
      <c r="CY194" s="2583"/>
      <c r="CZ194" s="2583"/>
      <c r="DA194" s="2583"/>
      <c r="DB194" s="2583"/>
      <c r="DC194" s="2583"/>
      <c r="DD194" s="2583"/>
      <c r="DE194" s="2583"/>
      <c r="DF194" s="2583"/>
      <c r="DG194" s="2583"/>
      <c r="DH194" s="2583"/>
      <c r="DI194" s="2583"/>
      <c r="DJ194" s="2583"/>
      <c r="DK194" s="2583"/>
      <c r="DL194" s="2583"/>
      <c r="DM194" s="2583"/>
      <c r="DN194" s="2583"/>
      <c r="DO194" s="2583"/>
      <c r="DP194" s="2583"/>
      <c r="DQ194" s="2583"/>
      <c r="DR194" s="2583"/>
      <c r="DS194" s="2583"/>
      <c r="DT194" s="2583"/>
      <c r="DU194" s="2583"/>
      <c r="DV194" s="2583"/>
      <c r="DW194" s="2583"/>
      <c r="DX194" s="2583"/>
      <c r="DY194" s="2583"/>
      <c r="DZ194" s="2583"/>
      <c r="EA194" s="2583"/>
      <c r="EB194" s="2583"/>
      <c r="EC194" s="2583"/>
      <c r="ED194" s="2583"/>
      <c r="EE194" s="2583"/>
      <c r="EF194" s="2583"/>
      <c r="EG194" s="2583"/>
      <c r="EH194" s="2583"/>
      <c r="EI194" s="2583"/>
      <c r="EJ194" s="2583"/>
      <c r="EK194" s="2583"/>
      <c r="EL194" s="2583"/>
      <c r="EM194" s="2583"/>
      <c r="EN194" s="2583"/>
      <c r="EO194" s="2583"/>
      <c r="EP194" s="2583"/>
      <c r="EQ194" s="2583"/>
      <c r="ER194" s="2583"/>
      <c r="ES194" s="2583"/>
      <c r="ET194" s="2583"/>
      <c r="EU194" s="2583"/>
      <c r="EV194" s="2583"/>
      <c r="EW194" s="2583"/>
      <c r="EX194" s="2583"/>
      <c r="EY194" s="2583"/>
      <c r="EZ194" s="2583"/>
      <c r="FA194" s="2583"/>
      <c r="FB194" s="2583"/>
      <c r="FC194" s="2583"/>
      <c r="FD194" s="2583"/>
      <c r="FE194" s="2583"/>
      <c r="FF194" s="2583"/>
      <c r="FG194" s="2583"/>
      <c r="FH194" s="2583"/>
      <c r="FI194" s="2583"/>
      <c r="FJ194" s="2583"/>
      <c r="FK194" s="2583"/>
      <c r="FL194" s="2583"/>
      <c r="FM194" s="2583"/>
      <c r="FN194" s="2583"/>
      <c r="FO194" s="2583"/>
      <c r="FP194" s="2583"/>
      <c r="FQ194" s="2583"/>
      <c r="FR194" s="2583"/>
      <c r="FS194" s="2583"/>
      <c r="FT194" s="2583"/>
      <c r="FU194" s="2583"/>
      <c r="FV194" s="2583"/>
      <c r="FW194" s="2583"/>
      <c r="FX194" s="2583"/>
      <c r="FY194" s="2583"/>
      <c r="FZ194" s="2583"/>
      <c r="GA194" s="2583"/>
      <c r="GB194" s="2583"/>
      <c r="GC194" s="2583"/>
      <c r="GD194" s="2583"/>
      <c r="GE194" s="2583"/>
      <c r="GF194" s="2583"/>
      <c r="GG194" s="2583"/>
      <c r="GH194" s="2583"/>
      <c r="GI194" s="2583"/>
      <c r="GJ194" s="2583"/>
      <c r="GK194" s="2583"/>
      <c r="GL194" s="2583"/>
      <c r="GM194" s="2583"/>
      <c r="GN194" s="2583"/>
      <c r="GO194" s="2583"/>
      <c r="GP194" s="2583"/>
      <c r="GQ194" s="2583"/>
      <c r="GR194" s="2583"/>
      <c r="GS194" s="2583"/>
      <c r="GT194" s="2583"/>
      <c r="GU194" s="2583"/>
      <c r="GV194" s="2583"/>
      <c r="GW194" s="2583"/>
      <c r="GX194" s="2583"/>
      <c r="GY194" s="2583"/>
      <c r="GZ194" s="2583"/>
      <c r="HA194" s="2583"/>
      <c r="HB194" s="2583"/>
      <c r="HC194" s="2583"/>
      <c r="HD194" s="2583"/>
      <c r="HE194" s="2583"/>
      <c r="HF194" s="2583"/>
      <c r="HG194" s="2583"/>
      <c r="HH194" s="2583"/>
      <c r="HI194" s="2583"/>
      <c r="HJ194" s="2583"/>
      <c r="HK194" s="2583"/>
      <c r="HL194" s="2583"/>
      <c r="HM194" s="2583"/>
      <c r="HN194" s="2583"/>
      <c r="HO194" s="2583"/>
      <c r="HP194" s="2583"/>
      <c r="HQ194" s="2583"/>
      <c r="HR194" s="2583"/>
      <c r="HS194" s="2583"/>
      <c r="HT194" s="2583"/>
      <c r="HU194" s="2583"/>
      <c r="HV194" s="2583"/>
      <c r="HW194" s="2583"/>
      <c r="HX194" s="2583"/>
      <c r="HY194" s="2583"/>
      <c r="HZ194" s="2583"/>
      <c r="IA194" s="2583"/>
      <c r="IB194" s="2583"/>
      <c r="IC194" s="2583"/>
      <c r="ID194" s="2583"/>
      <c r="IE194" s="2583"/>
      <c r="IF194" s="2583"/>
      <c r="IG194" s="2583"/>
      <c r="IH194" s="2583"/>
      <c r="II194" s="2583"/>
      <c r="IJ194" s="2583"/>
      <c r="IK194" s="2583"/>
      <c r="IL194" s="2583"/>
      <c r="IM194" s="2583"/>
      <c r="IN194" s="2583"/>
      <c r="IO194" s="2583"/>
      <c r="IP194" s="2583"/>
      <c r="IQ194" s="2583"/>
      <c r="IR194" s="2583"/>
      <c r="IS194" s="2583"/>
      <c r="IT194" s="2583"/>
      <c r="IU194" s="2583"/>
      <c r="IV194" s="2583"/>
    </row>
    <row r="195" spans="3:256">
      <c r="C195" s="2584"/>
      <c r="D195" s="2584"/>
      <c r="E195" s="2584"/>
      <c r="F195" s="2584"/>
      <c r="G195" s="2584"/>
      <c r="H195" s="2584"/>
      <c r="AC195" s="2583"/>
      <c r="AD195" s="2583"/>
      <c r="AE195" s="2583"/>
      <c r="AF195" s="2583"/>
      <c r="AG195" s="2583"/>
      <c r="AH195" s="2583"/>
      <c r="AI195" s="2583"/>
      <c r="AJ195" s="2583"/>
      <c r="AK195" s="2583"/>
      <c r="AL195" s="2583"/>
      <c r="AM195" s="2583"/>
      <c r="AN195" s="2583"/>
      <c r="AO195" s="2583"/>
      <c r="AP195" s="2583"/>
      <c r="AQ195" s="2583"/>
      <c r="AR195" s="2583"/>
      <c r="AS195" s="2583"/>
      <c r="AT195" s="2583"/>
      <c r="AU195" s="2583"/>
      <c r="AV195" s="2583"/>
      <c r="AW195" s="2583"/>
      <c r="AX195" s="2583"/>
      <c r="AY195" s="2583"/>
      <c r="AZ195" s="2583"/>
      <c r="BA195" s="2583"/>
      <c r="BB195" s="2583"/>
      <c r="BC195" s="2583"/>
      <c r="BD195" s="2583"/>
      <c r="BE195" s="2583"/>
      <c r="BF195" s="2583"/>
      <c r="BG195" s="2583"/>
      <c r="BH195" s="2583"/>
      <c r="BI195" s="2583"/>
      <c r="BJ195" s="2583"/>
      <c r="BK195" s="2583"/>
      <c r="BL195" s="2583"/>
      <c r="BM195" s="2583"/>
      <c r="BN195" s="2583"/>
      <c r="BO195" s="2583"/>
      <c r="BP195" s="2583"/>
      <c r="BQ195" s="2583"/>
      <c r="BR195" s="2583"/>
      <c r="BS195" s="2583"/>
      <c r="BT195" s="2583"/>
      <c r="BU195" s="2583"/>
      <c r="BV195" s="2583"/>
      <c r="BW195" s="2583"/>
      <c r="BX195" s="2583"/>
      <c r="BY195" s="2583"/>
      <c r="BZ195" s="2583"/>
      <c r="CA195" s="2583"/>
      <c r="CB195" s="2583"/>
      <c r="CC195" s="2583"/>
      <c r="CD195" s="2583"/>
      <c r="CE195" s="2583"/>
      <c r="CF195" s="2583"/>
      <c r="CG195" s="2583"/>
      <c r="CH195" s="2583"/>
      <c r="CI195" s="2583"/>
      <c r="CJ195" s="2583"/>
      <c r="CK195" s="2583"/>
      <c r="CL195" s="2583"/>
      <c r="CM195" s="2583"/>
      <c r="CN195" s="2583"/>
      <c r="CO195" s="2583"/>
      <c r="CP195" s="2583"/>
      <c r="CQ195" s="2583"/>
      <c r="CR195" s="2583"/>
      <c r="CS195" s="2583"/>
      <c r="CT195" s="2583"/>
      <c r="CU195" s="2583"/>
      <c r="CV195" s="2583"/>
      <c r="CW195" s="2583"/>
      <c r="CX195" s="2583"/>
      <c r="CY195" s="2583"/>
      <c r="CZ195" s="2583"/>
      <c r="DA195" s="2583"/>
      <c r="DB195" s="2583"/>
      <c r="DC195" s="2583"/>
      <c r="DD195" s="2583"/>
      <c r="DE195" s="2583"/>
      <c r="DF195" s="2583"/>
      <c r="DG195" s="2583"/>
      <c r="DH195" s="2583"/>
      <c r="DI195" s="2583"/>
      <c r="DJ195" s="2583"/>
      <c r="DK195" s="2583"/>
      <c r="DL195" s="2583"/>
      <c r="DM195" s="2583"/>
      <c r="DN195" s="2583"/>
      <c r="DO195" s="2583"/>
      <c r="DP195" s="2583"/>
      <c r="DQ195" s="2583"/>
      <c r="DR195" s="2583"/>
      <c r="DS195" s="2583"/>
      <c r="DT195" s="2583"/>
      <c r="DU195" s="2583"/>
      <c r="DV195" s="2583"/>
      <c r="DW195" s="2583"/>
      <c r="DX195" s="2583"/>
      <c r="DY195" s="2583"/>
      <c r="DZ195" s="2583"/>
      <c r="EA195" s="2583"/>
      <c r="EB195" s="2583"/>
      <c r="EC195" s="2583"/>
      <c r="ED195" s="2583"/>
      <c r="EE195" s="2583"/>
      <c r="EF195" s="2583"/>
      <c r="EG195" s="2583"/>
      <c r="EH195" s="2583"/>
      <c r="EI195" s="2583"/>
      <c r="EJ195" s="2583"/>
      <c r="EK195" s="2583"/>
      <c r="EL195" s="2583"/>
      <c r="EM195" s="2583"/>
      <c r="EN195" s="2583"/>
      <c r="EO195" s="2583"/>
      <c r="EP195" s="2583"/>
      <c r="EQ195" s="2583"/>
      <c r="ER195" s="2583"/>
      <c r="ES195" s="2583"/>
      <c r="ET195" s="2583"/>
      <c r="EU195" s="2583"/>
      <c r="EV195" s="2583"/>
      <c r="EW195" s="2583"/>
      <c r="EX195" s="2583"/>
      <c r="EY195" s="2583"/>
      <c r="EZ195" s="2583"/>
      <c r="FA195" s="2583"/>
      <c r="FB195" s="2583"/>
      <c r="FC195" s="2583"/>
      <c r="FD195" s="2583"/>
      <c r="FE195" s="2583"/>
      <c r="FF195" s="2583"/>
      <c r="FG195" s="2583"/>
      <c r="FH195" s="2583"/>
      <c r="FI195" s="2583"/>
      <c r="FJ195" s="2583"/>
      <c r="FK195" s="2583"/>
      <c r="FL195" s="2583"/>
      <c r="FM195" s="2583"/>
      <c r="FN195" s="2583"/>
      <c r="FO195" s="2583"/>
      <c r="FP195" s="2583"/>
      <c r="FQ195" s="2583"/>
      <c r="FR195" s="2583"/>
      <c r="FS195" s="2583"/>
      <c r="FT195" s="2583"/>
      <c r="FU195" s="2583"/>
      <c r="FV195" s="2583"/>
      <c r="FW195" s="2583"/>
      <c r="FX195" s="2583"/>
      <c r="FY195" s="2583"/>
      <c r="FZ195" s="2583"/>
      <c r="GA195" s="2583"/>
      <c r="GB195" s="2583"/>
      <c r="GC195" s="2583"/>
      <c r="GD195" s="2583"/>
      <c r="GE195" s="2583"/>
      <c r="GF195" s="2583"/>
      <c r="GG195" s="2583"/>
      <c r="GH195" s="2583"/>
      <c r="GI195" s="2583"/>
      <c r="GJ195" s="2583"/>
      <c r="GK195" s="2583"/>
      <c r="GL195" s="2583"/>
      <c r="GM195" s="2583"/>
      <c r="GN195" s="2583"/>
      <c r="GO195" s="2583"/>
      <c r="GP195" s="2583"/>
      <c r="GQ195" s="2583"/>
      <c r="GR195" s="2583"/>
      <c r="GS195" s="2583"/>
      <c r="GT195" s="2583"/>
      <c r="GU195" s="2583"/>
      <c r="GV195" s="2583"/>
      <c r="GW195" s="2583"/>
      <c r="GX195" s="2583"/>
      <c r="GY195" s="2583"/>
      <c r="GZ195" s="2583"/>
      <c r="HA195" s="2583"/>
      <c r="HB195" s="2583"/>
      <c r="HC195" s="2583"/>
      <c r="HD195" s="2583"/>
      <c r="HE195" s="2583"/>
      <c r="HF195" s="2583"/>
      <c r="HG195" s="2583"/>
      <c r="HH195" s="2583"/>
      <c r="HI195" s="2583"/>
      <c r="HJ195" s="2583"/>
      <c r="HK195" s="2583"/>
      <c r="HL195" s="2583"/>
      <c r="HM195" s="2583"/>
      <c r="HN195" s="2583"/>
      <c r="HO195" s="2583"/>
      <c r="HP195" s="2583"/>
      <c r="HQ195" s="2583"/>
      <c r="HR195" s="2583"/>
      <c r="HS195" s="2583"/>
      <c r="HT195" s="2583"/>
      <c r="HU195" s="2583"/>
      <c r="HV195" s="2583"/>
      <c r="HW195" s="2583"/>
      <c r="HX195" s="2583"/>
      <c r="HY195" s="2583"/>
      <c r="HZ195" s="2583"/>
      <c r="IA195" s="2583"/>
      <c r="IB195" s="2583"/>
      <c r="IC195" s="2583"/>
      <c r="ID195" s="2583"/>
      <c r="IE195" s="2583"/>
      <c r="IF195" s="2583"/>
      <c r="IG195" s="2583"/>
      <c r="IH195" s="2583"/>
      <c r="II195" s="2583"/>
      <c r="IJ195" s="2583"/>
      <c r="IK195" s="2583"/>
      <c r="IL195" s="2583"/>
      <c r="IM195" s="2583"/>
      <c r="IN195" s="2583"/>
      <c r="IO195" s="2583"/>
      <c r="IP195" s="2583"/>
      <c r="IQ195" s="2583"/>
      <c r="IR195" s="2583"/>
      <c r="IS195" s="2583"/>
      <c r="IT195" s="2583"/>
      <c r="IU195" s="2583"/>
      <c r="IV195" s="2583"/>
    </row>
    <row r="196" spans="3:256">
      <c r="C196" s="2584"/>
      <c r="D196" s="2584"/>
      <c r="E196" s="2584"/>
      <c r="F196" s="2584"/>
      <c r="G196" s="2584"/>
      <c r="H196" s="2584"/>
      <c r="AC196" s="2583"/>
      <c r="AD196" s="2583"/>
      <c r="AE196" s="2583"/>
      <c r="AF196" s="2583"/>
      <c r="AG196" s="2583"/>
      <c r="AH196" s="2583"/>
      <c r="AI196" s="2583"/>
      <c r="AJ196" s="2583"/>
      <c r="AK196" s="2583"/>
      <c r="AL196" s="2583"/>
      <c r="AM196" s="2583"/>
      <c r="AN196" s="2583"/>
      <c r="AO196" s="2583"/>
      <c r="AP196" s="2583"/>
      <c r="AQ196" s="2583"/>
      <c r="AR196" s="2583"/>
      <c r="AS196" s="2583"/>
      <c r="AT196" s="2583"/>
      <c r="AU196" s="2583"/>
      <c r="AV196" s="2583"/>
      <c r="AW196" s="2583"/>
      <c r="AX196" s="2583"/>
      <c r="AY196" s="2583"/>
      <c r="AZ196" s="2583"/>
      <c r="BA196" s="2583"/>
      <c r="BB196" s="2583"/>
      <c r="BC196" s="2583"/>
      <c r="BD196" s="2583"/>
      <c r="BE196" s="2583"/>
      <c r="BF196" s="2583"/>
      <c r="BG196" s="2583"/>
      <c r="BH196" s="2583"/>
      <c r="BI196" s="2583"/>
      <c r="BJ196" s="2583"/>
      <c r="BK196" s="2583"/>
      <c r="BL196" s="2583"/>
      <c r="BM196" s="2583"/>
      <c r="BN196" s="2583"/>
      <c r="BO196" s="2583"/>
      <c r="BP196" s="2583"/>
      <c r="BQ196" s="2583"/>
      <c r="BR196" s="2583"/>
      <c r="BS196" s="2583"/>
      <c r="BT196" s="2583"/>
      <c r="BU196" s="2583"/>
      <c r="BV196" s="2583"/>
      <c r="BW196" s="2583"/>
      <c r="BX196" s="2583"/>
      <c r="BY196" s="2583"/>
      <c r="BZ196" s="2583"/>
      <c r="CA196" s="2583"/>
      <c r="CB196" s="2583"/>
      <c r="CC196" s="2583"/>
      <c r="CD196" s="2583"/>
      <c r="CE196" s="2583"/>
      <c r="CF196" s="2583"/>
      <c r="CG196" s="2583"/>
      <c r="CH196" s="2583"/>
      <c r="CI196" s="2583"/>
      <c r="CJ196" s="2583"/>
      <c r="CK196" s="2583"/>
      <c r="CL196" s="2583"/>
      <c r="CM196" s="2583"/>
      <c r="CN196" s="2583"/>
      <c r="CO196" s="2583"/>
      <c r="CP196" s="2583"/>
      <c r="CQ196" s="2583"/>
      <c r="CR196" s="2583"/>
      <c r="CS196" s="2583"/>
      <c r="CT196" s="2583"/>
      <c r="CU196" s="2583"/>
      <c r="CV196" s="2583"/>
      <c r="CW196" s="2583"/>
      <c r="CX196" s="2583"/>
      <c r="CY196" s="2583"/>
      <c r="CZ196" s="2583"/>
      <c r="DA196" s="2583"/>
      <c r="DB196" s="2583"/>
      <c r="DC196" s="2583"/>
      <c r="DD196" s="2583"/>
      <c r="DE196" s="2583"/>
      <c r="DF196" s="2583"/>
      <c r="DG196" s="2583"/>
      <c r="DH196" s="2583"/>
      <c r="DI196" s="2583"/>
      <c r="DJ196" s="2583"/>
      <c r="DK196" s="2583"/>
      <c r="DL196" s="2583"/>
      <c r="DM196" s="2583"/>
      <c r="DN196" s="2583"/>
      <c r="DO196" s="2583"/>
      <c r="DP196" s="2583"/>
      <c r="DQ196" s="2583"/>
      <c r="DR196" s="2583"/>
      <c r="DS196" s="2583"/>
      <c r="DT196" s="2583"/>
      <c r="DU196" s="2583"/>
      <c r="DV196" s="2583"/>
      <c r="DW196" s="2583"/>
      <c r="DX196" s="2583"/>
      <c r="DY196" s="2583"/>
      <c r="DZ196" s="2583"/>
      <c r="EA196" s="2583"/>
      <c r="EB196" s="2583"/>
      <c r="EC196" s="2583"/>
      <c r="ED196" s="2583"/>
      <c r="EE196" s="2583"/>
      <c r="EF196" s="2583"/>
      <c r="EG196" s="2583"/>
      <c r="EH196" s="2583"/>
      <c r="EI196" s="2583"/>
      <c r="EJ196" s="2583"/>
      <c r="EK196" s="2583"/>
      <c r="EL196" s="2583"/>
      <c r="EM196" s="2583"/>
      <c r="EN196" s="2583"/>
      <c r="EO196" s="2583"/>
      <c r="EP196" s="2583"/>
      <c r="EQ196" s="2583"/>
      <c r="ER196" s="2583"/>
      <c r="ES196" s="2583"/>
      <c r="ET196" s="2583"/>
      <c r="EU196" s="2583"/>
      <c r="EV196" s="2583"/>
      <c r="EW196" s="2583"/>
      <c r="EX196" s="2583"/>
      <c r="EY196" s="2583"/>
      <c r="EZ196" s="2583"/>
      <c r="FA196" s="2583"/>
      <c r="FB196" s="2583"/>
      <c r="FC196" s="2583"/>
      <c r="FD196" s="2583"/>
      <c r="FE196" s="2583"/>
      <c r="FF196" s="2583"/>
      <c r="FG196" s="2583"/>
      <c r="FH196" s="2583"/>
      <c r="FI196" s="2583"/>
      <c r="FJ196" s="2583"/>
      <c r="FK196" s="2583"/>
      <c r="FL196" s="2583"/>
      <c r="FM196" s="2583"/>
      <c r="FN196" s="2583"/>
      <c r="FO196" s="2583"/>
      <c r="FP196" s="2583"/>
      <c r="FQ196" s="2583"/>
      <c r="FR196" s="2583"/>
      <c r="FS196" s="2583"/>
      <c r="FT196" s="2583"/>
      <c r="FU196" s="2583"/>
      <c r="FV196" s="2583"/>
      <c r="FW196" s="2583"/>
      <c r="FX196" s="2583"/>
      <c r="FY196" s="2583"/>
      <c r="FZ196" s="2583"/>
      <c r="GA196" s="2583"/>
      <c r="GB196" s="2583"/>
      <c r="GC196" s="2583"/>
      <c r="GD196" s="2583"/>
      <c r="GE196" s="2583"/>
      <c r="GF196" s="2583"/>
      <c r="GG196" s="2583"/>
      <c r="GH196" s="2583"/>
      <c r="GI196" s="2583"/>
      <c r="GJ196" s="2583"/>
      <c r="GK196" s="2583"/>
      <c r="GL196" s="2583"/>
      <c r="GM196" s="2583"/>
      <c r="GN196" s="2583"/>
      <c r="GO196" s="2583"/>
      <c r="GP196" s="2583"/>
      <c r="GQ196" s="2583"/>
      <c r="GR196" s="2583"/>
      <c r="GS196" s="2583"/>
      <c r="GT196" s="2583"/>
      <c r="GU196" s="2583"/>
      <c r="GV196" s="2583"/>
      <c r="GW196" s="2583"/>
      <c r="GX196" s="2583"/>
      <c r="GY196" s="2583"/>
      <c r="GZ196" s="2583"/>
      <c r="HA196" s="2583"/>
      <c r="HB196" s="2583"/>
      <c r="HC196" s="2583"/>
      <c r="HD196" s="2583"/>
      <c r="HE196" s="2583"/>
      <c r="HF196" s="2583"/>
      <c r="HG196" s="2583"/>
      <c r="HH196" s="2583"/>
      <c r="HI196" s="2583"/>
      <c r="HJ196" s="2583"/>
      <c r="HK196" s="2583"/>
      <c r="HL196" s="2583"/>
      <c r="HM196" s="2583"/>
      <c r="HN196" s="2583"/>
      <c r="HO196" s="2583"/>
      <c r="HP196" s="2583"/>
      <c r="HQ196" s="2583"/>
      <c r="HR196" s="2583"/>
      <c r="HS196" s="2583"/>
      <c r="HT196" s="2583"/>
      <c r="HU196" s="2583"/>
      <c r="HV196" s="2583"/>
      <c r="HW196" s="2583"/>
      <c r="HX196" s="2583"/>
      <c r="HY196" s="2583"/>
      <c r="HZ196" s="2583"/>
      <c r="IA196" s="2583"/>
      <c r="IB196" s="2583"/>
      <c r="IC196" s="2583"/>
      <c r="ID196" s="2583"/>
      <c r="IE196" s="2583"/>
      <c r="IF196" s="2583"/>
      <c r="IG196" s="2583"/>
      <c r="IH196" s="2583"/>
      <c r="II196" s="2583"/>
      <c r="IJ196" s="2583"/>
      <c r="IK196" s="2583"/>
      <c r="IL196" s="2583"/>
      <c r="IM196" s="2583"/>
      <c r="IN196" s="2583"/>
      <c r="IO196" s="2583"/>
      <c r="IP196" s="2583"/>
      <c r="IQ196" s="2583"/>
      <c r="IR196" s="2583"/>
      <c r="IS196" s="2583"/>
      <c r="IT196" s="2583"/>
      <c r="IU196" s="2583"/>
      <c r="IV196" s="2583"/>
    </row>
    <row r="197" spans="3:256">
      <c r="C197" s="2584"/>
      <c r="D197" s="2584"/>
      <c r="E197" s="2584"/>
      <c r="F197" s="2584"/>
      <c r="G197" s="2584"/>
      <c r="H197" s="2584"/>
      <c r="AC197" s="2583"/>
      <c r="AD197" s="2583"/>
      <c r="AE197" s="2583"/>
      <c r="AF197" s="2583"/>
      <c r="AG197" s="2583"/>
      <c r="AH197" s="2583"/>
      <c r="AI197" s="2583"/>
      <c r="AJ197" s="2583"/>
      <c r="AK197" s="2583"/>
      <c r="AL197" s="2583"/>
      <c r="AM197" s="2583"/>
      <c r="AN197" s="2583"/>
      <c r="AO197" s="2583"/>
      <c r="AP197" s="2583"/>
      <c r="AQ197" s="2583"/>
      <c r="AR197" s="2583"/>
      <c r="AS197" s="2583"/>
      <c r="AT197" s="2583"/>
      <c r="AU197" s="2583"/>
      <c r="AV197" s="2583"/>
      <c r="AW197" s="2583"/>
      <c r="AX197" s="2583"/>
      <c r="AY197" s="2583"/>
      <c r="AZ197" s="2583"/>
      <c r="BA197" s="2583"/>
      <c r="BB197" s="2583"/>
      <c r="BC197" s="2583"/>
      <c r="BD197" s="2583"/>
      <c r="BE197" s="2583"/>
      <c r="BF197" s="2583"/>
      <c r="BG197" s="2583"/>
      <c r="BH197" s="2583"/>
      <c r="BI197" s="2583"/>
      <c r="BJ197" s="2583"/>
      <c r="BK197" s="2583"/>
      <c r="BL197" s="2583"/>
      <c r="BM197" s="2583"/>
      <c r="BN197" s="2583"/>
      <c r="BO197" s="2583"/>
      <c r="BP197" s="2583"/>
      <c r="BQ197" s="2583"/>
      <c r="BR197" s="2583"/>
      <c r="BS197" s="2583"/>
      <c r="BT197" s="2583"/>
      <c r="BU197" s="2583"/>
      <c r="BV197" s="2583"/>
      <c r="BW197" s="2583"/>
      <c r="BX197" s="2583"/>
      <c r="BY197" s="2583"/>
      <c r="BZ197" s="2583"/>
      <c r="CA197" s="2583"/>
      <c r="CB197" s="2583"/>
      <c r="CC197" s="2583"/>
      <c r="CD197" s="2583"/>
      <c r="CE197" s="2583"/>
      <c r="CF197" s="2583"/>
      <c r="CG197" s="2583"/>
      <c r="CH197" s="2583"/>
      <c r="CI197" s="2583"/>
      <c r="CJ197" s="2583"/>
      <c r="CK197" s="2583"/>
      <c r="CL197" s="2583"/>
      <c r="CM197" s="2583"/>
      <c r="CN197" s="2583"/>
      <c r="CO197" s="2583"/>
      <c r="CP197" s="2583"/>
      <c r="CQ197" s="2583"/>
      <c r="CR197" s="2583"/>
      <c r="CS197" s="2583"/>
      <c r="CT197" s="2583"/>
      <c r="CU197" s="2583"/>
      <c r="CV197" s="2583"/>
      <c r="CW197" s="2583"/>
      <c r="CX197" s="2583"/>
      <c r="CY197" s="2583"/>
      <c r="CZ197" s="2583"/>
      <c r="DA197" s="2583"/>
      <c r="DB197" s="2583"/>
      <c r="DC197" s="2583"/>
      <c r="DD197" s="2583"/>
      <c r="DE197" s="2583"/>
      <c r="DF197" s="2583"/>
      <c r="DG197" s="2583"/>
      <c r="DH197" s="2583"/>
      <c r="DI197" s="2583"/>
      <c r="DJ197" s="2583"/>
      <c r="DK197" s="2583"/>
      <c r="DL197" s="2583"/>
      <c r="DM197" s="2583"/>
      <c r="DN197" s="2583"/>
      <c r="DO197" s="2583"/>
      <c r="DP197" s="2583"/>
      <c r="DQ197" s="2583"/>
      <c r="DR197" s="2583"/>
      <c r="DS197" s="2583"/>
      <c r="DT197" s="2583"/>
      <c r="DU197" s="2583"/>
      <c r="DV197" s="2583"/>
      <c r="DW197" s="2583"/>
      <c r="DX197" s="2583"/>
      <c r="DY197" s="2583"/>
      <c r="DZ197" s="2583"/>
      <c r="EA197" s="2583"/>
      <c r="EB197" s="2583"/>
      <c r="EC197" s="2583"/>
      <c r="ED197" s="2583"/>
      <c r="EE197" s="2583"/>
      <c r="EF197" s="2583"/>
      <c r="EG197" s="2583"/>
      <c r="EH197" s="2583"/>
      <c r="EI197" s="2583"/>
      <c r="EJ197" s="2583"/>
      <c r="EK197" s="2583"/>
      <c r="EL197" s="2583"/>
      <c r="EM197" s="2583"/>
      <c r="EN197" s="2583"/>
      <c r="EO197" s="2583"/>
      <c r="EP197" s="2583"/>
      <c r="EQ197" s="2583"/>
      <c r="ER197" s="2583"/>
      <c r="ES197" s="2583"/>
      <c r="ET197" s="2583"/>
      <c r="EU197" s="2583"/>
      <c r="EV197" s="2583"/>
      <c r="EW197" s="2583"/>
      <c r="EX197" s="2583"/>
      <c r="EY197" s="2583"/>
      <c r="EZ197" s="2583"/>
      <c r="FA197" s="2583"/>
      <c r="FB197" s="2583"/>
      <c r="FC197" s="2583"/>
      <c r="FD197" s="2583"/>
      <c r="FE197" s="2583"/>
      <c r="FF197" s="2583"/>
      <c r="FG197" s="2583"/>
      <c r="FH197" s="2583"/>
      <c r="FI197" s="2583"/>
      <c r="FJ197" s="2583"/>
      <c r="FK197" s="2583"/>
      <c r="FL197" s="2583"/>
      <c r="FM197" s="2583"/>
      <c r="FN197" s="2583"/>
      <c r="FO197" s="2583"/>
      <c r="FP197" s="2583"/>
      <c r="FQ197" s="2583"/>
      <c r="FR197" s="2583"/>
      <c r="FS197" s="2583"/>
      <c r="FT197" s="2583"/>
      <c r="FU197" s="2583"/>
      <c r="FV197" s="2583"/>
      <c r="FW197" s="2583"/>
      <c r="FX197" s="2583"/>
      <c r="FY197" s="2583"/>
      <c r="FZ197" s="2583"/>
      <c r="GA197" s="2583"/>
      <c r="GB197" s="2583"/>
      <c r="GC197" s="2583"/>
      <c r="GD197" s="2583"/>
      <c r="GE197" s="2583"/>
      <c r="GF197" s="2583"/>
      <c r="GG197" s="2583"/>
      <c r="GH197" s="2583"/>
      <c r="GI197" s="2583"/>
      <c r="GJ197" s="2583"/>
      <c r="GK197" s="2583"/>
      <c r="GL197" s="2583"/>
      <c r="GM197" s="2583"/>
      <c r="GN197" s="2583"/>
      <c r="GO197" s="2583"/>
      <c r="GP197" s="2583"/>
      <c r="GQ197" s="2583"/>
      <c r="GR197" s="2583"/>
      <c r="GS197" s="2583"/>
      <c r="GT197" s="2583"/>
      <c r="GU197" s="2583"/>
      <c r="GV197" s="2583"/>
      <c r="GW197" s="2583"/>
      <c r="GX197" s="2583"/>
      <c r="GY197" s="2583"/>
      <c r="GZ197" s="2583"/>
      <c r="HA197" s="2583"/>
      <c r="HB197" s="2583"/>
      <c r="HC197" s="2583"/>
      <c r="HD197" s="2583"/>
      <c r="HE197" s="2583"/>
      <c r="HF197" s="2583"/>
      <c r="HG197" s="2583"/>
      <c r="HH197" s="2583"/>
      <c r="HI197" s="2583"/>
      <c r="HJ197" s="2583"/>
      <c r="HK197" s="2583"/>
      <c r="HL197" s="2583"/>
      <c r="HM197" s="2583"/>
      <c r="HN197" s="2583"/>
      <c r="HO197" s="2583"/>
      <c r="HP197" s="2583"/>
      <c r="HQ197" s="2583"/>
      <c r="HR197" s="2583"/>
      <c r="HS197" s="2583"/>
      <c r="HT197" s="2583"/>
      <c r="HU197" s="2583"/>
      <c r="HV197" s="2583"/>
      <c r="HW197" s="2583"/>
      <c r="HX197" s="2583"/>
      <c r="HY197" s="2583"/>
      <c r="HZ197" s="2583"/>
      <c r="IA197" s="2583"/>
      <c r="IB197" s="2583"/>
      <c r="IC197" s="2583"/>
      <c r="ID197" s="2583"/>
      <c r="IE197" s="2583"/>
      <c r="IF197" s="2583"/>
      <c r="IG197" s="2583"/>
      <c r="IH197" s="2583"/>
      <c r="II197" s="2583"/>
      <c r="IJ197" s="2583"/>
      <c r="IK197" s="2583"/>
      <c r="IL197" s="2583"/>
      <c r="IM197" s="2583"/>
      <c r="IN197" s="2583"/>
      <c r="IO197" s="2583"/>
      <c r="IP197" s="2583"/>
      <c r="IQ197" s="2583"/>
      <c r="IR197" s="2583"/>
      <c r="IS197" s="2583"/>
      <c r="IT197" s="2583"/>
      <c r="IU197" s="2583"/>
      <c r="IV197" s="2583"/>
    </row>
    <row r="198" spans="3:256">
      <c r="C198" s="2584"/>
      <c r="D198" s="2584"/>
      <c r="E198" s="2584"/>
      <c r="F198" s="2584"/>
      <c r="G198" s="2584"/>
      <c r="H198" s="2584"/>
      <c r="AC198" s="2583"/>
      <c r="AD198" s="2583"/>
      <c r="AE198" s="2583"/>
      <c r="AF198" s="2583"/>
      <c r="AG198" s="2583"/>
      <c r="AH198" s="2583"/>
      <c r="AI198" s="2583"/>
      <c r="AJ198" s="2583"/>
      <c r="AK198" s="2583"/>
      <c r="AL198" s="2583"/>
      <c r="AM198" s="2583"/>
      <c r="AN198" s="2583"/>
      <c r="AO198" s="2583"/>
      <c r="AP198" s="2583"/>
      <c r="AQ198" s="2583"/>
      <c r="AR198" s="2583"/>
      <c r="AS198" s="2583"/>
      <c r="AT198" s="2583"/>
      <c r="AU198" s="2583"/>
      <c r="AV198" s="2583"/>
      <c r="AW198" s="2583"/>
      <c r="AX198" s="2583"/>
      <c r="AY198" s="2583"/>
      <c r="AZ198" s="2583"/>
      <c r="BA198" s="2583"/>
      <c r="BB198" s="2583"/>
      <c r="BC198" s="2583"/>
      <c r="BD198" s="2583"/>
      <c r="BE198" s="2583"/>
      <c r="BF198" s="2583"/>
      <c r="BG198" s="2583"/>
      <c r="BH198" s="2583"/>
      <c r="BI198" s="2583"/>
      <c r="BJ198" s="2583"/>
      <c r="BK198" s="2583"/>
      <c r="BL198" s="2583"/>
      <c r="BM198" s="2583"/>
      <c r="BN198" s="2583"/>
      <c r="BO198" s="2583"/>
      <c r="BP198" s="2583"/>
      <c r="BQ198" s="2583"/>
      <c r="BR198" s="2583"/>
      <c r="BS198" s="2583"/>
      <c r="BT198" s="2583"/>
      <c r="BU198" s="2583"/>
      <c r="BV198" s="2583"/>
      <c r="BW198" s="2583"/>
      <c r="BX198" s="2583"/>
      <c r="BY198" s="2583"/>
      <c r="BZ198" s="2583"/>
      <c r="CA198" s="2583"/>
      <c r="CB198" s="2583"/>
      <c r="CC198" s="2583"/>
      <c r="CD198" s="2583"/>
      <c r="CE198" s="2583"/>
      <c r="CF198" s="2583"/>
      <c r="CG198" s="2583"/>
      <c r="CH198" s="2583"/>
      <c r="CI198" s="2583"/>
      <c r="CJ198" s="2583"/>
      <c r="CK198" s="2583"/>
      <c r="CL198" s="2583"/>
      <c r="CM198" s="2583"/>
      <c r="CN198" s="2583"/>
      <c r="CO198" s="2583"/>
      <c r="CP198" s="2583"/>
      <c r="CQ198" s="2583"/>
      <c r="CR198" s="2583"/>
      <c r="CS198" s="2583"/>
      <c r="CT198" s="2583"/>
      <c r="CU198" s="2583"/>
      <c r="CV198" s="2583"/>
      <c r="CW198" s="2583"/>
      <c r="CX198" s="2583"/>
      <c r="CY198" s="2583"/>
      <c r="CZ198" s="2583"/>
      <c r="DA198" s="2583"/>
      <c r="DB198" s="2583"/>
      <c r="DC198" s="2583"/>
      <c r="DD198" s="2583"/>
      <c r="DE198" s="2583"/>
      <c r="DF198" s="2583"/>
      <c r="DG198" s="2583"/>
      <c r="DH198" s="2583"/>
      <c r="DI198" s="2583"/>
      <c r="DJ198" s="2583"/>
      <c r="DK198" s="2583"/>
      <c r="DL198" s="2583"/>
      <c r="DM198" s="2583"/>
      <c r="DN198" s="2583"/>
      <c r="DO198" s="2583"/>
      <c r="DP198" s="2583"/>
      <c r="DQ198" s="2583"/>
      <c r="DR198" s="2583"/>
      <c r="DS198" s="2583"/>
      <c r="DT198" s="2583"/>
      <c r="DU198" s="2583"/>
      <c r="DV198" s="2583"/>
      <c r="DW198" s="2583"/>
      <c r="DX198" s="2583"/>
      <c r="DY198" s="2583"/>
      <c r="DZ198" s="2583"/>
      <c r="EA198" s="2583"/>
      <c r="EB198" s="2583"/>
      <c r="EC198" s="2583"/>
      <c r="ED198" s="2583"/>
      <c r="EE198" s="2583"/>
      <c r="EF198" s="2583"/>
      <c r="EG198" s="2583"/>
      <c r="EH198" s="2583"/>
      <c r="EI198" s="2583"/>
      <c r="EJ198" s="2583"/>
      <c r="EK198" s="2583"/>
      <c r="EL198" s="2583"/>
      <c r="EM198" s="2583"/>
      <c r="EN198" s="2583"/>
      <c r="EO198" s="2583"/>
      <c r="EP198" s="2583"/>
      <c r="EQ198" s="2583"/>
      <c r="ER198" s="2583"/>
      <c r="ES198" s="2583"/>
      <c r="ET198" s="2583"/>
      <c r="EU198" s="2583"/>
      <c r="EV198" s="2583"/>
      <c r="EW198" s="2583"/>
      <c r="EX198" s="2583"/>
      <c r="EY198" s="2583"/>
      <c r="EZ198" s="2583"/>
      <c r="FA198" s="2583"/>
      <c r="FB198" s="2583"/>
      <c r="FC198" s="2583"/>
      <c r="FD198" s="2583"/>
      <c r="FE198" s="2583"/>
      <c r="FF198" s="2583"/>
      <c r="FG198" s="2583"/>
      <c r="FH198" s="2583"/>
      <c r="FI198" s="2583"/>
      <c r="FJ198" s="2583"/>
      <c r="FK198" s="2583"/>
      <c r="FL198" s="2583"/>
      <c r="FM198" s="2583"/>
      <c r="FN198" s="2583"/>
      <c r="FO198" s="2583"/>
      <c r="FP198" s="2583"/>
      <c r="FQ198" s="2583"/>
      <c r="FR198" s="2583"/>
      <c r="FS198" s="2583"/>
      <c r="FT198" s="2583"/>
      <c r="FU198" s="2583"/>
      <c r="FV198" s="2583"/>
      <c r="FW198" s="2583"/>
      <c r="FX198" s="2583"/>
      <c r="FY198" s="2583"/>
      <c r="FZ198" s="2583"/>
      <c r="GA198" s="2583"/>
      <c r="GB198" s="2583"/>
      <c r="GC198" s="2583"/>
      <c r="GD198" s="2583"/>
      <c r="GE198" s="2583"/>
      <c r="GF198" s="2583"/>
      <c r="GG198" s="2583"/>
      <c r="GH198" s="2583"/>
      <c r="GI198" s="2583"/>
      <c r="GJ198" s="2583"/>
      <c r="GK198" s="2583"/>
      <c r="GL198" s="2583"/>
      <c r="GM198" s="2583"/>
      <c r="GN198" s="2583"/>
      <c r="GO198" s="2583"/>
      <c r="GP198" s="2583"/>
      <c r="GQ198" s="2583"/>
      <c r="GR198" s="2583"/>
      <c r="GS198" s="2583"/>
      <c r="GT198" s="2583"/>
      <c r="GU198" s="2583"/>
      <c r="GV198" s="2583"/>
      <c r="GW198" s="2583"/>
      <c r="GX198" s="2583"/>
      <c r="GY198" s="2583"/>
      <c r="GZ198" s="2583"/>
      <c r="HA198" s="2583"/>
      <c r="HB198" s="2583"/>
      <c r="HC198" s="2583"/>
      <c r="HD198" s="2583"/>
      <c r="HE198" s="2583"/>
      <c r="HF198" s="2583"/>
      <c r="HG198" s="2583"/>
      <c r="HH198" s="2583"/>
      <c r="HI198" s="2583"/>
      <c r="HJ198" s="2583"/>
      <c r="HK198" s="2583"/>
      <c r="HL198" s="2583"/>
      <c r="HM198" s="2583"/>
      <c r="HN198" s="2583"/>
      <c r="HO198" s="2583"/>
      <c r="HP198" s="2583"/>
      <c r="HQ198" s="2583"/>
      <c r="HR198" s="2583"/>
      <c r="HS198" s="2583"/>
      <c r="HT198" s="2583"/>
      <c r="HU198" s="2583"/>
      <c r="HV198" s="2583"/>
      <c r="HW198" s="2583"/>
      <c r="HX198" s="2583"/>
      <c r="HY198" s="2583"/>
      <c r="HZ198" s="2583"/>
      <c r="IA198" s="2583"/>
      <c r="IB198" s="2583"/>
      <c r="IC198" s="2583"/>
      <c r="ID198" s="2583"/>
      <c r="IE198" s="2583"/>
      <c r="IF198" s="2583"/>
      <c r="IG198" s="2583"/>
      <c r="IH198" s="2583"/>
      <c r="II198" s="2583"/>
      <c r="IJ198" s="2583"/>
      <c r="IK198" s="2583"/>
      <c r="IL198" s="2583"/>
      <c r="IM198" s="2583"/>
      <c r="IN198" s="2583"/>
      <c r="IO198" s="2583"/>
      <c r="IP198" s="2583"/>
      <c r="IQ198" s="2583"/>
      <c r="IR198" s="2583"/>
      <c r="IS198" s="2583"/>
      <c r="IT198" s="2583"/>
      <c r="IU198" s="2583"/>
      <c r="IV198" s="2583"/>
    </row>
    <row r="199" spans="3:256">
      <c r="C199" s="2584"/>
      <c r="D199" s="2584"/>
      <c r="E199" s="2584"/>
      <c r="F199" s="2584"/>
      <c r="G199" s="2584"/>
      <c r="H199" s="2584"/>
      <c r="AC199" s="2583"/>
      <c r="AD199" s="2583"/>
      <c r="AE199" s="2583"/>
      <c r="AF199" s="2583"/>
      <c r="AG199" s="2583"/>
      <c r="AH199" s="2583"/>
      <c r="AI199" s="2583"/>
      <c r="AJ199" s="2583"/>
      <c r="AK199" s="2583"/>
      <c r="AL199" s="2583"/>
      <c r="AM199" s="2583"/>
      <c r="AN199" s="2583"/>
      <c r="AO199" s="2583"/>
      <c r="AP199" s="2583"/>
      <c r="AQ199" s="2583"/>
      <c r="AR199" s="2583"/>
      <c r="AS199" s="2583"/>
      <c r="AT199" s="2583"/>
      <c r="AU199" s="2583"/>
      <c r="AV199" s="2583"/>
      <c r="AW199" s="2583"/>
      <c r="AX199" s="2583"/>
      <c r="AY199" s="2583"/>
      <c r="AZ199" s="2583"/>
      <c r="BA199" s="2583"/>
      <c r="BB199" s="2583"/>
      <c r="BC199" s="2583"/>
      <c r="BD199" s="2583"/>
      <c r="BE199" s="2583"/>
      <c r="BF199" s="2583"/>
      <c r="BG199" s="2583"/>
      <c r="BH199" s="2583"/>
      <c r="BI199" s="2583"/>
      <c r="BJ199" s="2583"/>
      <c r="BK199" s="2583"/>
      <c r="BL199" s="2583"/>
      <c r="BM199" s="2583"/>
      <c r="BN199" s="2583"/>
      <c r="BO199" s="2583"/>
      <c r="BP199" s="2583"/>
      <c r="BQ199" s="2583"/>
      <c r="BR199" s="2583"/>
      <c r="BS199" s="2583"/>
      <c r="BT199" s="2583"/>
      <c r="BU199" s="2583"/>
      <c r="BV199" s="2583"/>
      <c r="BW199" s="2583"/>
      <c r="BX199" s="2583"/>
      <c r="BY199" s="2583"/>
      <c r="BZ199" s="2583"/>
      <c r="CA199" s="2583"/>
      <c r="CB199" s="2583"/>
      <c r="CC199" s="2583"/>
      <c r="CD199" s="2583"/>
      <c r="CE199" s="2583"/>
      <c r="CF199" s="2583"/>
      <c r="CG199" s="2583"/>
      <c r="CH199" s="2583"/>
      <c r="CI199" s="2583"/>
      <c r="CJ199" s="2583"/>
      <c r="CK199" s="2583"/>
      <c r="CL199" s="2583"/>
      <c r="CM199" s="2583"/>
      <c r="CN199" s="2583"/>
      <c r="CO199" s="2583"/>
      <c r="CP199" s="2583"/>
      <c r="CQ199" s="2583"/>
      <c r="CR199" s="2583"/>
      <c r="CS199" s="2583"/>
      <c r="CT199" s="2583"/>
      <c r="CU199" s="2583"/>
      <c r="CV199" s="2583"/>
      <c r="CW199" s="2583"/>
      <c r="CX199" s="2583"/>
      <c r="CY199" s="2583"/>
      <c r="CZ199" s="2583"/>
      <c r="DA199" s="2583"/>
      <c r="DB199" s="2583"/>
      <c r="DC199" s="2583"/>
      <c r="DD199" s="2583"/>
      <c r="DE199" s="2583"/>
      <c r="DF199" s="2583"/>
      <c r="DG199" s="2583"/>
      <c r="DH199" s="2583"/>
      <c r="DI199" s="2583"/>
      <c r="DJ199" s="2583"/>
      <c r="DK199" s="2583"/>
      <c r="DL199" s="2583"/>
      <c r="DM199" s="2583"/>
      <c r="DN199" s="2583"/>
      <c r="DO199" s="2583"/>
      <c r="DP199" s="2583"/>
      <c r="DQ199" s="2583"/>
      <c r="DR199" s="2583"/>
      <c r="DS199" s="2583"/>
      <c r="DT199" s="2583"/>
      <c r="DU199" s="2583"/>
      <c r="DV199" s="2583"/>
      <c r="DW199" s="2583"/>
      <c r="DX199" s="2583"/>
      <c r="DY199" s="2583"/>
      <c r="DZ199" s="2583"/>
      <c r="EA199" s="2583"/>
      <c r="EB199" s="2583"/>
      <c r="EC199" s="2583"/>
      <c r="ED199" s="2583"/>
      <c r="EE199" s="2583"/>
      <c r="EF199" s="2583"/>
      <c r="EG199" s="2583"/>
      <c r="EH199" s="2583"/>
      <c r="EI199" s="2583"/>
      <c r="EJ199" s="2583"/>
      <c r="EK199" s="2583"/>
      <c r="EL199" s="2583"/>
      <c r="EM199" s="2583"/>
      <c r="EN199" s="2583"/>
      <c r="EO199" s="2583"/>
      <c r="EP199" s="2583"/>
      <c r="EQ199" s="2583"/>
      <c r="ER199" s="2583"/>
      <c r="ES199" s="2583"/>
      <c r="ET199" s="2583"/>
      <c r="EU199" s="2583"/>
      <c r="EV199" s="2583"/>
      <c r="EW199" s="2583"/>
      <c r="EX199" s="2583"/>
      <c r="EY199" s="2583"/>
      <c r="EZ199" s="2583"/>
      <c r="FA199" s="2583"/>
      <c r="FB199" s="2583"/>
      <c r="FC199" s="2583"/>
      <c r="FD199" s="2583"/>
      <c r="FE199" s="2583"/>
      <c r="FF199" s="2583"/>
      <c r="FG199" s="2583"/>
      <c r="FH199" s="2583"/>
      <c r="FI199" s="2583"/>
      <c r="FJ199" s="2583"/>
      <c r="FK199" s="2583"/>
      <c r="FL199" s="2583"/>
      <c r="FM199" s="2583"/>
      <c r="FN199" s="2583"/>
      <c r="FO199" s="2583"/>
      <c r="FP199" s="2583"/>
      <c r="FQ199" s="2583"/>
      <c r="FR199" s="2583"/>
      <c r="FS199" s="2583"/>
      <c r="FT199" s="2583"/>
      <c r="FU199" s="2583"/>
      <c r="FV199" s="2583"/>
      <c r="FW199" s="2583"/>
      <c r="FX199" s="2583"/>
      <c r="FY199" s="2583"/>
      <c r="FZ199" s="2583"/>
      <c r="GA199" s="2583"/>
      <c r="GB199" s="2583"/>
      <c r="GC199" s="2583"/>
      <c r="GD199" s="2583"/>
      <c r="GE199" s="2583"/>
      <c r="GF199" s="2583"/>
      <c r="GG199" s="2583"/>
      <c r="GH199" s="2583"/>
      <c r="GI199" s="2583"/>
      <c r="GJ199" s="2583"/>
      <c r="GK199" s="2583"/>
      <c r="GL199" s="2583"/>
      <c r="GM199" s="2583"/>
      <c r="GN199" s="2583"/>
      <c r="GO199" s="2583"/>
      <c r="GP199" s="2583"/>
      <c r="GQ199" s="2583"/>
      <c r="GR199" s="2583"/>
      <c r="GS199" s="2583"/>
      <c r="GT199" s="2583"/>
      <c r="GU199" s="2583"/>
      <c r="GV199" s="2583"/>
      <c r="GW199" s="2583"/>
      <c r="GX199" s="2583"/>
      <c r="GY199" s="2583"/>
      <c r="GZ199" s="2583"/>
      <c r="HA199" s="2583"/>
      <c r="HB199" s="2583"/>
      <c r="HC199" s="2583"/>
      <c r="HD199" s="2583"/>
      <c r="HE199" s="2583"/>
      <c r="HF199" s="2583"/>
      <c r="HG199" s="2583"/>
      <c r="HH199" s="2583"/>
      <c r="HI199" s="2583"/>
      <c r="HJ199" s="2583"/>
      <c r="HK199" s="2583"/>
      <c r="HL199" s="2583"/>
      <c r="HM199" s="2583"/>
      <c r="HN199" s="2583"/>
      <c r="HO199" s="2583"/>
      <c r="HP199" s="2583"/>
      <c r="HQ199" s="2583"/>
      <c r="HR199" s="2583"/>
      <c r="HS199" s="2583"/>
      <c r="HT199" s="2583"/>
      <c r="HU199" s="2583"/>
      <c r="HV199" s="2583"/>
      <c r="HW199" s="2583"/>
      <c r="HX199" s="2583"/>
      <c r="HY199" s="2583"/>
      <c r="HZ199" s="2583"/>
      <c r="IA199" s="2583"/>
      <c r="IB199" s="2583"/>
      <c r="IC199" s="2583"/>
      <c r="ID199" s="2583"/>
      <c r="IE199" s="2583"/>
      <c r="IF199" s="2583"/>
      <c r="IG199" s="2583"/>
      <c r="IH199" s="2583"/>
      <c r="II199" s="2583"/>
      <c r="IJ199" s="2583"/>
      <c r="IK199" s="2583"/>
      <c r="IL199" s="2583"/>
      <c r="IM199" s="2583"/>
      <c r="IN199" s="2583"/>
      <c r="IO199" s="2583"/>
      <c r="IP199" s="2583"/>
      <c r="IQ199" s="2583"/>
      <c r="IR199" s="2583"/>
      <c r="IS199" s="2583"/>
      <c r="IT199" s="2583"/>
      <c r="IU199" s="2583"/>
      <c r="IV199" s="2583"/>
    </row>
    <row r="200" spans="3:256">
      <c r="C200" s="2584"/>
      <c r="D200" s="2584"/>
      <c r="E200" s="2584"/>
      <c r="F200" s="2584"/>
      <c r="G200" s="2584"/>
      <c r="H200" s="2584"/>
      <c r="AC200" s="2583"/>
      <c r="AD200" s="2583"/>
      <c r="AE200" s="2583"/>
      <c r="AF200" s="2583"/>
      <c r="AG200" s="2583"/>
      <c r="AH200" s="2583"/>
      <c r="AI200" s="2583"/>
      <c r="AJ200" s="2583"/>
      <c r="AK200" s="2583"/>
      <c r="AL200" s="2583"/>
      <c r="AM200" s="2583"/>
      <c r="AN200" s="2583"/>
      <c r="AO200" s="2583"/>
      <c r="AP200" s="2583"/>
      <c r="AQ200" s="2583"/>
      <c r="AR200" s="2583"/>
      <c r="AS200" s="2583"/>
      <c r="AT200" s="2583"/>
      <c r="AU200" s="2583"/>
      <c r="AV200" s="2583"/>
      <c r="AW200" s="2583"/>
      <c r="AX200" s="2583"/>
      <c r="AY200" s="2583"/>
      <c r="AZ200" s="2583"/>
      <c r="BA200" s="2583"/>
      <c r="BB200" s="2583"/>
      <c r="BC200" s="2583"/>
      <c r="BD200" s="2583"/>
      <c r="BE200" s="2583"/>
      <c r="BF200" s="2583"/>
      <c r="BG200" s="2583"/>
      <c r="BH200" s="2583"/>
      <c r="BI200" s="2583"/>
      <c r="BJ200" s="2583"/>
      <c r="BK200" s="2583"/>
      <c r="BL200" s="2583"/>
      <c r="BM200" s="2583"/>
      <c r="BN200" s="2583"/>
      <c r="BO200" s="2583"/>
      <c r="BP200" s="2583"/>
      <c r="BQ200" s="2583"/>
      <c r="BR200" s="2583"/>
      <c r="BS200" s="2583"/>
      <c r="BT200" s="2583"/>
      <c r="BU200" s="2583"/>
      <c r="BV200" s="2583"/>
      <c r="BW200" s="2583"/>
      <c r="BX200" s="2583"/>
      <c r="BY200" s="2583"/>
      <c r="BZ200" s="2583"/>
      <c r="CA200" s="2583"/>
      <c r="CB200" s="2583"/>
      <c r="CC200" s="2583"/>
      <c r="CD200" s="2583"/>
      <c r="CE200" s="2583"/>
      <c r="CF200" s="2583"/>
      <c r="CG200" s="2583"/>
      <c r="CH200" s="2583"/>
      <c r="CI200" s="2583"/>
      <c r="CJ200" s="2583"/>
      <c r="CK200" s="2583"/>
      <c r="CL200" s="2583"/>
      <c r="CM200" s="2583"/>
      <c r="CN200" s="2583"/>
      <c r="CO200" s="2583"/>
      <c r="CP200" s="2583"/>
      <c r="CQ200" s="2583"/>
      <c r="CR200" s="2583"/>
      <c r="CS200" s="2583"/>
      <c r="CT200" s="2583"/>
      <c r="CU200" s="2583"/>
      <c r="CV200" s="2583"/>
      <c r="CW200" s="2583"/>
      <c r="CX200" s="2583"/>
      <c r="CY200" s="2583"/>
      <c r="CZ200" s="2583"/>
      <c r="DA200" s="2583"/>
      <c r="DB200" s="2583"/>
      <c r="DC200" s="2583"/>
      <c r="DD200" s="2583"/>
      <c r="DE200" s="2583"/>
      <c r="DF200" s="2583"/>
      <c r="DG200" s="2583"/>
      <c r="DH200" s="2583"/>
      <c r="DI200" s="2583"/>
      <c r="DJ200" s="2583"/>
      <c r="DK200" s="2583"/>
      <c r="DL200" s="2583"/>
      <c r="DM200" s="2583"/>
      <c r="DN200" s="2583"/>
      <c r="DO200" s="2583"/>
      <c r="DP200" s="2583"/>
      <c r="DQ200" s="2583"/>
      <c r="DR200" s="2583"/>
      <c r="DS200" s="2583"/>
      <c r="DT200" s="2583"/>
      <c r="DU200" s="2583"/>
      <c r="DV200" s="2583"/>
      <c r="DW200" s="2583"/>
      <c r="DX200" s="2583"/>
      <c r="DY200" s="2583"/>
      <c r="DZ200" s="2583"/>
      <c r="EA200" s="2583"/>
      <c r="EB200" s="2583"/>
      <c r="EC200" s="2583"/>
      <c r="ED200" s="2583"/>
      <c r="EE200" s="2583"/>
      <c r="EF200" s="2583"/>
      <c r="EG200" s="2583"/>
      <c r="EH200" s="2583"/>
      <c r="EI200" s="2583"/>
      <c r="EJ200" s="2583"/>
      <c r="EK200" s="2583"/>
      <c r="EL200" s="2583"/>
      <c r="EM200" s="2583"/>
      <c r="EN200" s="2583"/>
      <c r="EO200" s="2583"/>
      <c r="EP200" s="2583"/>
      <c r="EQ200" s="2583"/>
      <c r="ER200" s="2583"/>
      <c r="ES200" s="2583"/>
      <c r="ET200" s="2583"/>
      <c r="EU200" s="2583"/>
      <c r="EV200" s="2583"/>
      <c r="EW200" s="2583"/>
      <c r="EX200" s="2583"/>
      <c r="EY200" s="2583"/>
      <c r="EZ200" s="2583"/>
      <c r="FA200" s="2583"/>
      <c r="FB200" s="2583"/>
      <c r="FC200" s="2583"/>
      <c r="FD200" s="2583"/>
      <c r="FE200" s="2583"/>
      <c r="FF200" s="2583"/>
      <c r="FG200" s="2583"/>
      <c r="FH200" s="2583"/>
      <c r="FI200" s="2583"/>
      <c r="FJ200" s="2583"/>
      <c r="FK200" s="2583"/>
      <c r="FL200" s="2583"/>
      <c r="FM200" s="2583"/>
      <c r="FN200" s="2583"/>
      <c r="FO200" s="2583"/>
      <c r="FP200" s="2583"/>
      <c r="FQ200" s="2583"/>
      <c r="FR200" s="2583"/>
      <c r="FS200" s="2583"/>
      <c r="FT200" s="2583"/>
      <c r="FU200" s="2583"/>
      <c r="FV200" s="2583"/>
      <c r="FW200" s="2583"/>
      <c r="FX200" s="2583"/>
      <c r="FY200" s="2583"/>
      <c r="FZ200" s="2583"/>
      <c r="GA200" s="2583"/>
      <c r="GB200" s="2583"/>
      <c r="GC200" s="2583"/>
      <c r="GD200" s="2583"/>
      <c r="GE200" s="2583"/>
      <c r="GF200" s="2583"/>
      <c r="GG200" s="2583"/>
      <c r="GH200" s="2583"/>
      <c r="GI200" s="2583"/>
      <c r="GJ200" s="2583"/>
      <c r="GK200" s="2583"/>
      <c r="GL200" s="2583"/>
      <c r="GM200" s="2583"/>
      <c r="GN200" s="2583"/>
      <c r="GO200" s="2583"/>
      <c r="GP200" s="2583"/>
      <c r="GQ200" s="2583"/>
      <c r="GR200" s="2583"/>
      <c r="GS200" s="2583"/>
      <c r="GT200" s="2583"/>
      <c r="GU200" s="2583"/>
      <c r="GV200" s="2583"/>
      <c r="GW200" s="2583"/>
      <c r="GX200" s="2583"/>
      <c r="GY200" s="2583"/>
      <c r="GZ200" s="2583"/>
      <c r="HA200" s="2583"/>
      <c r="HB200" s="2583"/>
      <c r="HC200" s="2583"/>
      <c r="HD200" s="2583"/>
      <c r="HE200" s="2583"/>
      <c r="HF200" s="2583"/>
      <c r="HG200" s="2583"/>
      <c r="HH200" s="2583"/>
      <c r="HI200" s="2583"/>
      <c r="HJ200" s="2583"/>
      <c r="HK200" s="2583"/>
      <c r="HL200" s="2583"/>
      <c r="HM200" s="2583"/>
      <c r="HN200" s="2583"/>
      <c r="HO200" s="2583"/>
      <c r="HP200" s="2583"/>
      <c r="HQ200" s="2583"/>
      <c r="HR200" s="2583"/>
      <c r="HS200" s="2583"/>
      <c r="HT200" s="2583"/>
      <c r="HU200" s="2583"/>
      <c r="HV200" s="2583"/>
      <c r="HW200" s="2583"/>
      <c r="HX200" s="2583"/>
      <c r="HY200" s="2583"/>
      <c r="HZ200" s="2583"/>
      <c r="IA200" s="2583"/>
      <c r="IB200" s="2583"/>
      <c r="IC200" s="2583"/>
      <c r="ID200" s="2583"/>
      <c r="IE200" s="2583"/>
      <c r="IF200" s="2583"/>
      <c r="IG200" s="2583"/>
      <c r="IH200" s="2583"/>
      <c r="II200" s="2583"/>
      <c r="IJ200" s="2583"/>
      <c r="IK200" s="2583"/>
      <c r="IL200" s="2583"/>
      <c r="IM200" s="2583"/>
      <c r="IN200" s="2583"/>
      <c r="IO200" s="2583"/>
      <c r="IP200" s="2583"/>
      <c r="IQ200" s="2583"/>
      <c r="IR200" s="2583"/>
      <c r="IS200" s="2583"/>
      <c r="IT200" s="2583"/>
      <c r="IU200" s="2583"/>
      <c r="IV200" s="2583"/>
    </row>
    <row r="201" spans="3:256">
      <c r="C201" s="2584"/>
      <c r="D201" s="2584"/>
      <c r="E201" s="2584"/>
      <c r="F201" s="2584"/>
      <c r="G201" s="2584"/>
      <c r="H201" s="2584"/>
      <c r="AC201" s="2583"/>
      <c r="AD201" s="2583"/>
      <c r="AE201" s="2583"/>
      <c r="AF201" s="2583"/>
      <c r="AG201" s="2583"/>
      <c r="AH201" s="2583"/>
      <c r="AI201" s="2583"/>
      <c r="AJ201" s="2583"/>
      <c r="AK201" s="2583"/>
      <c r="AL201" s="2583"/>
      <c r="AM201" s="2583"/>
      <c r="AN201" s="2583"/>
      <c r="AO201" s="2583"/>
      <c r="AP201" s="2583"/>
      <c r="AQ201" s="2583"/>
      <c r="AR201" s="2583"/>
      <c r="AS201" s="2583"/>
      <c r="AT201" s="2583"/>
      <c r="AU201" s="2583"/>
      <c r="AV201" s="2583"/>
      <c r="AW201" s="2583"/>
      <c r="AX201" s="2583"/>
      <c r="AY201" s="2583"/>
      <c r="AZ201" s="2583"/>
      <c r="BA201" s="2583"/>
      <c r="BB201" s="2583"/>
      <c r="BC201" s="2583"/>
      <c r="BD201" s="2583"/>
      <c r="BE201" s="2583"/>
      <c r="BF201" s="2583"/>
      <c r="BG201" s="2583"/>
      <c r="BH201" s="2583"/>
      <c r="BI201" s="2583"/>
      <c r="BJ201" s="2583"/>
      <c r="BK201" s="2583"/>
      <c r="BL201" s="2583"/>
      <c r="BM201" s="2583"/>
      <c r="BN201" s="2583"/>
      <c r="BO201" s="2583"/>
      <c r="BP201" s="2583"/>
      <c r="BQ201" s="2583"/>
      <c r="BR201" s="2583"/>
      <c r="BS201" s="2583"/>
      <c r="BT201" s="2583"/>
      <c r="BU201" s="2583"/>
      <c r="BV201" s="2583"/>
      <c r="BW201" s="2583"/>
      <c r="BX201" s="2583"/>
      <c r="BY201" s="2583"/>
      <c r="BZ201" s="2583"/>
      <c r="CA201" s="2583"/>
      <c r="CB201" s="2583"/>
      <c r="CC201" s="2583"/>
      <c r="CD201" s="2583"/>
      <c r="CE201" s="2583"/>
      <c r="CF201" s="2583"/>
      <c r="CG201" s="2583"/>
      <c r="CH201" s="2583"/>
      <c r="CI201" s="2583"/>
      <c r="CJ201" s="2583"/>
      <c r="CK201" s="2583"/>
      <c r="CL201" s="2583"/>
      <c r="CM201" s="2583"/>
      <c r="CN201" s="2583"/>
      <c r="CO201" s="2583"/>
      <c r="CP201" s="2583"/>
      <c r="CQ201" s="2583"/>
      <c r="CR201" s="2583"/>
      <c r="CS201" s="2583"/>
      <c r="CT201" s="2583"/>
      <c r="CU201" s="2583"/>
      <c r="CV201" s="2583"/>
      <c r="CW201" s="2583"/>
      <c r="CX201" s="2583"/>
      <c r="CY201" s="2583"/>
      <c r="CZ201" s="2583"/>
      <c r="DA201" s="2583"/>
      <c r="DB201" s="2583"/>
      <c r="DC201" s="2583"/>
      <c r="DD201" s="2583"/>
      <c r="DE201" s="2583"/>
      <c r="DF201" s="2583"/>
      <c r="DG201" s="2583"/>
      <c r="DH201" s="2583"/>
      <c r="DI201" s="2583"/>
      <c r="DJ201" s="2583"/>
      <c r="DK201" s="2583"/>
      <c r="DL201" s="2583"/>
      <c r="DM201" s="2583"/>
      <c r="DN201" s="2583"/>
      <c r="DO201" s="2583"/>
      <c r="DP201" s="2583"/>
      <c r="DQ201" s="2583"/>
      <c r="DR201" s="2583"/>
      <c r="DS201" s="2583"/>
      <c r="DT201" s="2583"/>
      <c r="DU201" s="2583"/>
      <c r="DV201" s="2583"/>
      <c r="DW201" s="2583"/>
      <c r="DX201" s="2583"/>
      <c r="DY201" s="2583"/>
      <c r="DZ201" s="2583"/>
      <c r="EA201" s="2583"/>
      <c r="EB201" s="2583"/>
      <c r="EC201" s="2583"/>
      <c r="ED201" s="2583"/>
      <c r="EE201" s="2583"/>
      <c r="EF201" s="2583"/>
      <c r="EG201" s="2583"/>
      <c r="EH201" s="2583"/>
      <c r="EI201" s="2583"/>
      <c r="EJ201" s="2583"/>
      <c r="EK201" s="2583"/>
      <c r="EL201" s="2583"/>
      <c r="EM201" s="2583"/>
      <c r="EN201" s="2583"/>
      <c r="EO201" s="2583"/>
      <c r="EP201" s="2583"/>
      <c r="EQ201" s="2583"/>
      <c r="ER201" s="2583"/>
      <c r="ES201" s="2583"/>
      <c r="ET201" s="2583"/>
      <c r="EU201" s="2583"/>
      <c r="EV201" s="2583"/>
      <c r="EW201" s="2583"/>
      <c r="EX201" s="2583"/>
      <c r="EY201" s="2583"/>
      <c r="EZ201" s="2583"/>
      <c r="FA201" s="2583"/>
      <c r="FB201" s="2583"/>
      <c r="FC201" s="2583"/>
      <c r="FD201" s="2583"/>
      <c r="FE201" s="2583"/>
      <c r="FF201" s="2583"/>
      <c r="FG201" s="2583"/>
      <c r="FH201" s="2583"/>
      <c r="FI201" s="2583"/>
      <c r="FJ201" s="2583"/>
      <c r="FK201" s="2583"/>
      <c r="FL201" s="2583"/>
      <c r="FM201" s="2583"/>
      <c r="FN201" s="2583"/>
      <c r="FO201" s="2583"/>
      <c r="FP201" s="2583"/>
      <c r="FQ201" s="2583"/>
      <c r="FR201" s="2583"/>
      <c r="FS201" s="2583"/>
      <c r="FT201" s="2583"/>
      <c r="FU201" s="2583"/>
      <c r="FV201" s="2583"/>
      <c r="FW201" s="2583"/>
      <c r="FX201" s="2583"/>
      <c r="FY201" s="2583"/>
      <c r="FZ201" s="2583"/>
      <c r="GA201" s="2583"/>
      <c r="GB201" s="2583"/>
      <c r="GC201" s="2583"/>
      <c r="GD201" s="2583"/>
      <c r="GE201" s="2583"/>
      <c r="GF201" s="2583"/>
      <c r="GG201" s="2583"/>
      <c r="GH201" s="2583"/>
      <c r="GI201" s="2583"/>
      <c r="GJ201" s="2583"/>
      <c r="GK201" s="2583"/>
      <c r="GL201" s="2583"/>
      <c r="GM201" s="2583"/>
      <c r="GN201" s="2583"/>
      <c r="GO201" s="2583"/>
      <c r="GP201" s="2583"/>
      <c r="GQ201" s="2583"/>
      <c r="GR201" s="2583"/>
      <c r="GS201" s="2583"/>
      <c r="GT201" s="2583"/>
      <c r="GU201" s="2583"/>
      <c r="GV201" s="2583"/>
      <c r="GW201" s="2583"/>
      <c r="GX201" s="2583"/>
      <c r="GY201" s="2583"/>
      <c r="GZ201" s="2583"/>
      <c r="HA201" s="2583"/>
      <c r="HB201" s="2583"/>
      <c r="HC201" s="2583"/>
      <c r="HD201" s="2583"/>
      <c r="HE201" s="2583"/>
      <c r="HF201" s="2583"/>
      <c r="HG201" s="2583"/>
      <c r="HH201" s="2583"/>
      <c r="HI201" s="2583"/>
      <c r="HJ201" s="2583"/>
      <c r="HK201" s="2583"/>
      <c r="HL201" s="2583"/>
      <c r="HM201" s="2583"/>
      <c r="HN201" s="2583"/>
      <c r="HO201" s="2583"/>
      <c r="HP201" s="2583"/>
      <c r="HQ201" s="2583"/>
      <c r="HR201" s="2583"/>
      <c r="HS201" s="2583"/>
      <c r="HT201" s="2583"/>
      <c r="HU201" s="2583"/>
      <c r="HV201" s="2583"/>
      <c r="HW201" s="2583"/>
      <c r="HX201" s="2583"/>
      <c r="HY201" s="2583"/>
      <c r="HZ201" s="2583"/>
      <c r="IA201" s="2583"/>
      <c r="IB201" s="2583"/>
      <c r="IC201" s="2583"/>
      <c r="ID201" s="2583"/>
      <c r="IE201" s="2583"/>
      <c r="IF201" s="2583"/>
      <c r="IG201" s="2583"/>
      <c r="IH201" s="2583"/>
      <c r="II201" s="2583"/>
      <c r="IJ201" s="2583"/>
      <c r="IK201" s="2583"/>
      <c r="IL201" s="2583"/>
      <c r="IM201" s="2583"/>
      <c r="IN201" s="2583"/>
      <c r="IO201" s="2583"/>
      <c r="IP201" s="2583"/>
      <c r="IQ201" s="2583"/>
      <c r="IR201" s="2583"/>
      <c r="IS201" s="2583"/>
      <c r="IT201" s="2583"/>
      <c r="IU201" s="2583"/>
      <c r="IV201" s="2583"/>
    </row>
    <row r="202" spans="3:256">
      <c r="C202" s="2584"/>
      <c r="D202" s="2584"/>
      <c r="E202" s="2584"/>
      <c r="F202" s="2584"/>
      <c r="G202" s="2584"/>
      <c r="H202" s="2584"/>
      <c r="AC202" s="2583"/>
      <c r="AD202" s="2583"/>
      <c r="AE202" s="2583"/>
      <c r="AF202" s="2583"/>
      <c r="AG202" s="2583"/>
      <c r="AH202" s="2583"/>
      <c r="AI202" s="2583"/>
      <c r="AJ202" s="2583"/>
      <c r="AK202" s="2583"/>
      <c r="AL202" s="2583"/>
      <c r="AM202" s="2583"/>
      <c r="AN202" s="2583"/>
      <c r="AO202" s="2583"/>
      <c r="AP202" s="2583"/>
      <c r="AQ202" s="2583"/>
      <c r="AR202" s="2583"/>
      <c r="AS202" s="2583"/>
      <c r="AT202" s="2583"/>
      <c r="AU202" s="2583"/>
      <c r="AV202" s="2583"/>
      <c r="AW202" s="2583"/>
      <c r="AX202" s="2583"/>
      <c r="AY202" s="2583"/>
      <c r="AZ202" s="2583"/>
      <c r="BA202" s="2583"/>
      <c r="BB202" s="2583"/>
      <c r="BC202" s="2583"/>
      <c r="BD202" s="2583"/>
      <c r="BE202" s="2583"/>
      <c r="BF202" s="2583"/>
      <c r="BG202" s="2583"/>
      <c r="BH202" s="2583"/>
      <c r="BI202" s="2583"/>
      <c r="BJ202" s="2583"/>
      <c r="BK202" s="2583"/>
      <c r="BL202" s="2583"/>
      <c r="BM202" s="2583"/>
      <c r="BN202" s="2583"/>
      <c r="BO202" s="2583"/>
      <c r="BP202" s="2583"/>
      <c r="BQ202" s="2583"/>
      <c r="BR202" s="2583"/>
      <c r="BS202" s="2583"/>
      <c r="BT202" s="2583"/>
      <c r="BU202" s="2583"/>
      <c r="BV202" s="2583"/>
      <c r="BW202" s="2583"/>
      <c r="BX202" s="2583"/>
      <c r="BY202" s="2583"/>
      <c r="BZ202" s="2583"/>
      <c r="CA202" s="2583"/>
      <c r="CB202" s="2583"/>
      <c r="CC202" s="2583"/>
      <c r="CD202" s="2583"/>
      <c r="CE202" s="2583"/>
      <c r="CF202" s="2583"/>
      <c r="CG202" s="2583"/>
      <c r="CH202" s="2583"/>
      <c r="CI202" s="2583"/>
      <c r="CJ202" s="2583"/>
      <c r="CK202" s="2583"/>
      <c r="CL202" s="2583"/>
      <c r="CM202" s="2583"/>
      <c r="CN202" s="2583"/>
      <c r="CO202" s="2583"/>
      <c r="CP202" s="2583"/>
      <c r="CQ202" s="2583"/>
      <c r="CR202" s="2583"/>
      <c r="CS202" s="2583"/>
      <c r="CT202" s="2583"/>
      <c r="CU202" s="2583"/>
      <c r="CV202" s="2583"/>
      <c r="CW202" s="2583"/>
      <c r="CX202" s="2583"/>
      <c r="CY202" s="2583"/>
      <c r="CZ202" s="2583"/>
      <c r="DA202" s="2583"/>
      <c r="DB202" s="2583"/>
      <c r="DC202" s="2583"/>
      <c r="DD202" s="2583"/>
      <c r="DE202" s="2583"/>
      <c r="DF202" s="2583"/>
      <c r="DG202" s="2583"/>
      <c r="DH202" s="2583"/>
      <c r="DI202" s="2583"/>
      <c r="DJ202" s="2583"/>
      <c r="DK202" s="2583"/>
      <c r="DL202" s="2583"/>
      <c r="DM202" s="2583"/>
      <c r="DN202" s="2583"/>
      <c r="DO202" s="2583"/>
      <c r="DP202" s="2583"/>
      <c r="DQ202" s="2583"/>
      <c r="DR202" s="2583"/>
      <c r="DS202" s="2583"/>
      <c r="DT202" s="2583"/>
      <c r="DU202" s="2583"/>
      <c r="DV202" s="2583"/>
      <c r="DW202" s="2583"/>
      <c r="DX202" s="2583"/>
      <c r="DY202" s="2583"/>
      <c r="DZ202" s="2583"/>
      <c r="EA202" s="2583"/>
      <c r="EB202" s="2583"/>
      <c r="EC202" s="2583"/>
      <c r="ED202" s="2583"/>
      <c r="EE202" s="2583"/>
      <c r="EF202" s="2583"/>
      <c r="EG202" s="2583"/>
      <c r="EH202" s="2583"/>
      <c r="EI202" s="2583"/>
      <c r="EJ202" s="2583"/>
      <c r="EK202" s="2583"/>
      <c r="EL202" s="2583"/>
      <c r="EM202" s="2583"/>
      <c r="EN202" s="2583"/>
      <c r="EO202" s="2583"/>
      <c r="EP202" s="2583"/>
      <c r="EQ202" s="2583"/>
      <c r="ER202" s="2583"/>
      <c r="ES202" s="2583"/>
      <c r="ET202" s="2583"/>
      <c r="EU202" s="2583"/>
      <c r="EV202" s="2583"/>
      <c r="EW202" s="2583"/>
      <c r="EX202" s="2583"/>
      <c r="EY202" s="2583"/>
      <c r="EZ202" s="2583"/>
      <c r="FA202" s="2583"/>
      <c r="FB202" s="2583"/>
      <c r="FC202" s="2583"/>
      <c r="FD202" s="2583"/>
      <c r="FE202" s="2583"/>
      <c r="FF202" s="2583"/>
      <c r="FG202" s="2583"/>
      <c r="FH202" s="2583"/>
      <c r="FI202" s="2583"/>
      <c r="FJ202" s="2583"/>
      <c r="FK202" s="2583"/>
      <c r="FL202" s="2583"/>
      <c r="FM202" s="2583"/>
      <c r="FN202" s="2583"/>
      <c r="FO202" s="2583"/>
      <c r="FP202" s="2583"/>
      <c r="FQ202" s="2583"/>
      <c r="FR202" s="2583"/>
      <c r="FS202" s="2583"/>
      <c r="FT202" s="2583"/>
      <c r="FU202" s="2583"/>
      <c r="FV202" s="2583"/>
      <c r="FW202" s="2583"/>
      <c r="FX202" s="2583"/>
      <c r="FY202" s="2583"/>
      <c r="FZ202" s="2583"/>
      <c r="GA202" s="2583"/>
      <c r="GB202" s="2583"/>
      <c r="GC202" s="2583"/>
      <c r="GD202" s="2583"/>
      <c r="GE202" s="2583"/>
      <c r="GF202" s="2583"/>
      <c r="GG202" s="2583"/>
      <c r="GH202" s="2583"/>
      <c r="GI202" s="2583"/>
      <c r="GJ202" s="2583"/>
      <c r="GK202" s="2583"/>
      <c r="GL202" s="2583"/>
      <c r="GM202" s="2583"/>
      <c r="GN202" s="2583"/>
      <c r="GO202" s="2583"/>
      <c r="GP202" s="2583"/>
      <c r="GQ202" s="2583"/>
      <c r="GR202" s="2583"/>
      <c r="GS202" s="2583"/>
      <c r="GT202" s="2583"/>
      <c r="GU202" s="2583"/>
      <c r="GV202" s="2583"/>
      <c r="GW202" s="2583"/>
      <c r="GX202" s="2583"/>
      <c r="GY202" s="2583"/>
      <c r="GZ202" s="2583"/>
      <c r="HA202" s="2583"/>
      <c r="HB202" s="2583"/>
      <c r="HC202" s="2583"/>
      <c r="HD202" s="2583"/>
      <c r="HE202" s="2583"/>
      <c r="HF202" s="2583"/>
      <c r="HG202" s="2583"/>
      <c r="HH202" s="2583"/>
      <c r="HI202" s="2583"/>
      <c r="HJ202" s="2583"/>
      <c r="HK202" s="2583"/>
      <c r="HL202" s="2583"/>
      <c r="HM202" s="2583"/>
      <c r="HN202" s="2583"/>
      <c r="HO202" s="2583"/>
      <c r="HP202" s="2583"/>
      <c r="HQ202" s="2583"/>
      <c r="HR202" s="2583"/>
      <c r="HS202" s="2583"/>
      <c r="HT202" s="2583"/>
      <c r="HU202" s="2583"/>
      <c r="HV202" s="2583"/>
      <c r="HW202" s="2583"/>
      <c r="HX202" s="2583"/>
      <c r="HY202" s="2583"/>
      <c r="HZ202" s="2583"/>
      <c r="IA202" s="2583"/>
      <c r="IB202" s="2583"/>
      <c r="IC202" s="2583"/>
      <c r="ID202" s="2583"/>
      <c r="IE202" s="2583"/>
      <c r="IF202" s="2583"/>
      <c r="IG202" s="2583"/>
      <c r="IH202" s="2583"/>
      <c r="II202" s="2583"/>
      <c r="IJ202" s="2583"/>
      <c r="IK202" s="2583"/>
      <c r="IL202" s="2583"/>
      <c r="IM202" s="2583"/>
      <c r="IN202" s="2583"/>
      <c r="IO202" s="2583"/>
      <c r="IP202" s="2583"/>
      <c r="IQ202" s="2583"/>
      <c r="IR202" s="2583"/>
      <c r="IS202" s="2583"/>
      <c r="IT202" s="2583"/>
      <c r="IU202" s="2583"/>
      <c r="IV202" s="2583"/>
    </row>
    <row r="203" spans="3:256">
      <c r="C203" s="2584"/>
      <c r="D203" s="2584"/>
      <c r="E203" s="2584"/>
      <c r="F203" s="2584"/>
      <c r="G203" s="2584"/>
      <c r="H203" s="2584"/>
      <c r="AC203" s="2583"/>
      <c r="AD203" s="2583"/>
      <c r="AE203" s="2583"/>
      <c r="AF203" s="2583"/>
      <c r="AG203" s="2583"/>
      <c r="AH203" s="2583"/>
      <c r="AI203" s="2583"/>
      <c r="AJ203" s="2583"/>
      <c r="AK203" s="2583"/>
      <c r="AL203" s="2583"/>
      <c r="AM203" s="2583"/>
      <c r="AN203" s="2583"/>
      <c r="AO203" s="2583"/>
      <c r="AP203" s="2583"/>
      <c r="AQ203" s="2583"/>
      <c r="AR203" s="2583"/>
      <c r="AS203" s="2583"/>
      <c r="AT203" s="2583"/>
      <c r="AU203" s="2583"/>
      <c r="AV203" s="2583"/>
      <c r="AW203" s="2583"/>
      <c r="AX203" s="2583"/>
      <c r="AY203" s="2583"/>
      <c r="AZ203" s="2583"/>
      <c r="BA203" s="2583"/>
      <c r="BB203" s="2583"/>
      <c r="BC203" s="2583"/>
      <c r="BD203" s="2583"/>
      <c r="BE203" s="2583"/>
      <c r="BF203" s="2583"/>
      <c r="BG203" s="2583"/>
      <c r="BH203" s="2583"/>
      <c r="BI203" s="2583"/>
      <c r="BJ203" s="2583"/>
      <c r="BK203" s="2583"/>
      <c r="BL203" s="2583"/>
      <c r="BM203" s="2583"/>
      <c r="BN203" s="2583"/>
      <c r="BO203" s="2583"/>
      <c r="BP203" s="2583"/>
      <c r="BQ203" s="2583"/>
      <c r="BR203" s="2583"/>
      <c r="BS203" s="2583"/>
      <c r="BT203" s="2583"/>
      <c r="BU203" s="2583"/>
      <c r="BV203" s="2583"/>
      <c r="BW203" s="2583"/>
      <c r="BX203" s="2583"/>
      <c r="BY203" s="2583"/>
      <c r="BZ203" s="2583"/>
      <c r="CA203" s="2583"/>
      <c r="CB203" s="2583"/>
      <c r="CC203" s="2583"/>
      <c r="CD203" s="2583"/>
      <c r="CE203" s="2583"/>
      <c r="CF203" s="2583"/>
      <c r="CG203" s="2583"/>
      <c r="CH203" s="2583"/>
      <c r="CI203" s="2583"/>
      <c r="CJ203" s="2583"/>
      <c r="CK203" s="2583"/>
      <c r="CL203" s="2583"/>
      <c r="CM203" s="2583"/>
      <c r="CN203" s="2583"/>
      <c r="CO203" s="2583"/>
      <c r="CP203" s="2583"/>
      <c r="CQ203" s="2583"/>
      <c r="CR203" s="2583"/>
      <c r="CS203" s="2583"/>
      <c r="CT203" s="2583"/>
      <c r="CU203" s="2583"/>
      <c r="CV203" s="2583"/>
      <c r="CW203" s="2583"/>
      <c r="CX203" s="2583"/>
      <c r="CY203" s="2583"/>
      <c r="CZ203" s="2583"/>
      <c r="DA203" s="2583"/>
      <c r="DB203" s="2583"/>
      <c r="DC203" s="2583"/>
      <c r="DD203" s="2583"/>
      <c r="DE203" s="2583"/>
      <c r="DF203" s="2583"/>
      <c r="DG203" s="2583"/>
      <c r="DH203" s="2583"/>
      <c r="DI203" s="2583"/>
      <c r="DJ203" s="2583"/>
      <c r="DK203" s="2583"/>
      <c r="DL203" s="2583"/>
      <c r="DM203" s="2583"/>
      <c r="DN203" s="2583"/>
      <c r="DO203" s="2583"/>
      <c r="DP203" s="2583"/>
      <c r="DQ203" s="2583"/>
      <c r="DR203" s="2583"/>
      <c r="DS203" s="2583"/>
      <c r="DT203" s="2583"/>
      <c r="DU203" s="2583"/>
      <c r="DV203" s="2583"/>
      <c r="DW203" s="2583"/>
      <c r="DX203" s="2583"/>
      <c r="DY203" s="2583"/>
      <c r="DZ203" s="2583"/>
      <c r="EA203" s="2583"/>
      <c r="EB203" s="2583"/>
      <c r="EC203" s="2583"/>
      <c r="ED203" s="2583"/>
      <c r="EE203" s="2583"/>
      <c r="EF203" s="2583"/>
      <c r="EG203" s="2583"/>
      <c r="EH203" s="2583"/>
      <c r="EI203" s="2583"/>
      <c r="EJ203" s="2583"/>
      <c r="EK203" s="2583"/>
      <c r="EL203" s="2583"/>
      <c r="EM203" s="2583"/>
      <c r="EN203" s="2583"/>
      <c r="EO203" s="2583"/>
      <c r="EP203" s="2583"/>
      <c r="EQ203" s="2583"/>
      <c r="ER203" s="2583"/>
      <c r="ES203" s="2583"/>
      <c r="ET203" s="2583"/>
      <c r="EU203" s="2583"/>
      <c r="EV203" s="2583"/>
      <c r="EW203" s="2583"/>
      <c r="EX203" s="2583"/>
      <c r="EY203" s="2583"/>
      <c r="EZ203" s="2583"/>
      <c r="FA203" s="2583"/>
      <c r="FB203" s="2583"/>
      <c r="FC203" s="2583"/>
      <c r="FD203" s="2583"/>
      <c r="FE203" s="2583"/>
      <c r="FF203" s="2583"/>
      <c r="FG203" s="2583"/>
      <c r="FH203" s="2583"/>
      <c r="FI203" s="2583"/>
      <c r="FJ203" s="2583"/>
      <c r="FK203" s="2583"/>
      <c r="FL203" s="2583"/>
      <c r="FM203" s="2583"/>
      <c r="FN203" s="2583"/>
      <c r="FO203" s="2583"/>
      <c r="FP203" s="2583"/>
      <c r="FQ203" s="2583"/>
      <c r="FR203" s="2583"/>
      <c r="FS203" s="2583"/>
      <c r="FT203" s="2583"/>
      <c r="FU203" s="2583"/>
      <c r="FV203" s="2583"/>
      <c r="FW203" s="2583"/>
      <c r="FX203" s="2583"/>
      <c r="FY203" s="2583"/>
      <c r="FZ203" s="2583"/>
      <c r="GA203" s="2583"/>
      <c r="GB203" s="2583"/>
      <c r="GC203" s="2583"/>
      <c r="GD203" s="2583"/>
      <c r="GE203" s="2583"/>
      <c r="GF203" s="2583"/>
      <c r="GG203" s="2583"/>
      <c r="GH203" s="2583"/>
      <c r="GI203" s="2583"/>
      <c r="GJ203" s="2583"/>
      <c r="GK203" s="2583"/>
      <c r="GL203" s="2583"/>
      <c r="GM203" s="2583"/>
      <c r="GN203" s="2583"/>
      <c r="GO203" s="2583"/>
      <c r="GP203" s="2583"/>
      <c r="GQ203" s="2583"/>
      <c r="GR203" s="2583"/>
      <c r="GS203" s="2583"/>
      <c r="GT203" s="2583"/>
      <c r="GU203" s="2583"/>
      <c r="GV203" s="2583"/>
      <c r="GW203" s="2583"/>
      <c r="GX203" s="2583"/>
      <c r="GY203" s="2583"/>
      <c r="GZ203" s="2583"/>
      <c r="HA203" s="2583"/>
      <c r="HB203" s="2583"/>
      <c r="HC203" s="2583"/>
      <c r="HD203" s="2583"/>
      <c r="HE203" s="2583"/>
      <c r="HF203" s="2583"/>
      <c r="HG203" s="2583"/>
      <c r="HH203" s="2583"/>
      <c r="HI203" s="2583"/>
      <c r="HJ203" s="2583"/>
      <c r="HK203" s="2583"/>
      <c r="HL203" s="2583"/>
      <c r="HM203" s="2583"/>
      <c r="HN203" s="2583"/>
      <c r="HO203" s="2583"/>
      <c r="HP203" s="2583"/>
      <c r="HQ203" s="2583"/>
      <c r="HR203" s="2583"/>
      <c r="HS203" s="2583"/>
      <c r="HT203" s="2583"/>
      <c r="HU203" s="2583"/>
      <c r="HV203" s="2583"/>
      <c r="HW203" s="2583"/>
      <c r="HX203" s="2583"/>
      <c r="HY203" s="2583"/>
      <c r="HZ203" s="2583"/>
      <c r="IA203" s="2583"/>
      <c r="IB203" s="2583"/>
      <c r="IC203" s="2583"/>
      <c r="ID203" s="2583"/>
      <c r="IE203" s="2583"/>
      <c r="IF203" s="2583"/>
      <c r="IG203" s="2583"/>
      <c r="IH203" s="2583"/>
      <c r="II203" s="2583"/>
      <c r="IJ203" s="2583"/>
      <c r="IK203" s="2583"/>
      <c r="IL203" s="2583"/>
      <c r="IM203" s="2583"/>
      <c r="IN203" s="2583"/>
      <c r="IO203" s="2583"/>
      <c r="IP203" s="2583"/>
      <c r="IQ203" s="2583"/>
      <c r="IR203" s="2583"/>
      <c r="IS203" s="2583"/>
      <c r="IT203" s="2583"/>
      <c r="IU203" s="2583"/>
      <c r="IV203" s="2583"/>
    </row>
    <row r="204" spans="3:256">
      <c r="C204" s="2584"/>
      <c r="D204" s="2584"/>
      <c r="E204" s="2584"/>
      <c r="F204" s="2584"/>
      <c r="G204" s="2584"/>
      <c r="H204" s="2584"/>
      <c r="AC204" s="2583"/>
      <c r="AD204" s="2583"/>
      <c r="AE204" s="2583"/>
      <c r="AF204" s="2583"/>
      <c r="AG204" s="2583"/>
      <c r="AH204" s="2583"/>
      <c r="AI204" s="2583"/>
      <c r="AJ204" s="2583"/>
      <c r="AK204" s="2583"/>
      <c r="AL204" s="2583"/>
      <c r="AM204" s="2583"/>
      <c r="AN204" s="2583"/>
      <c r="AO204" s="2583"/>
      <c r="AP204" s="2583"/>
      <c r="AQ204" s="2583"/>
      <c r="AR204" s="2583"/>
      <c r="AS204" s="2583"/>
      <c r="AT204" s="2583"/>
      <c r="AU204" s="2583"/>
      <c r="AV204" s="2583"/>
      <c r="AW204" s="2583"/>
      <c r="AX204" s="2583"/>
      <c r="AY204" s="2583"/>
      <c r="AZ204" s="2583"/>
      <c r="BA204" s="2583"/>
      <c r="BB204" s="2583"/>
      <c r="BC204" s="2583"/>
      <c r="BD204" s="2583"/>
      <c r="BE204" s="2583"/>
      <c r="BF204" s="2583"/>
      <c r="BG204" s="2583"/>
      <c r="BH204" s="2583"/>
      <c r="BI204" s="2583"/>
      <c r="BJ204" s="2583"/>
      <c r="BK204" s="2583"/>
      <c r="BL204" s="2583"/>
      <c r="BM204" s="2583"/>
      <c r="BN204" s="2583"/>
      <c r="BO204" s="2583"/>
      <c r="BP204" s="2583"/>
      <c r="BQ204" s="2583"/>
      <c r="BR204" s="2583"/>
      <c r="BS204" s="2583"/>
      <c r="BT204" s="2583"/>
      <c r="BU204" s="2583"/>
      <c r="BV204" s="2583"/>
      <c r="BW204" s="2583"/>
      <c r="BX204" s="2583"/>
      <c r="BY204" s="2583"/>
      <c r="BZ204" s="2583"/>
      <c r="CA204" s="2583"/>
      <c r="CB204" s="2583"/>
      <c r="CC204" s="2583"/>
      <c r="CD204" s="2583"/>
      <c r="CE204" s="2583"/>
      <c r="CF204" s="2583"/>
      <c r="CG204" s="2583"/>
      <c r="CH204" s="2583"/>
      <c r="CI204" s="2583"/>
      <c r="CJ204" s="2583"/>
      <c r="CK204" s="2583"/>
      <c r="CL204" s="2583"/>
      <c r="CM204" s="2583"/>
      <c r="CN204" s="2583"/>
      <c r="CO204" s="2583"/>
      <c r="CP204" s="2583"/>
      <c r="CQ204" s="2583"/>
      <c r="CR204" s="2583"/>
      <c r="CS204" s="2583"/>
      <c r="CT204" s="2583"/>
      <c r="CU204" s="2583"/>
      <c r="CV204" s="2583"/>
      <c r="CW204" s="2583"/>
      <c r="CX204" s="2583"/>
      <c r="CY204" s="2583"/>
      <c r="CZ204" s="2583"/>
      <c r="DA204" s="2583"/>
      <c r="DB204" s="2583"/>
      <c r="DC204" s="2583"/>
      <c r="DD204" s="2583"/>
      <c r="DE204" s="2583"/>
      <c r="DF204" s="2583"/>
      <c r="DG204" s="2583"/>
      <c r="DH204" s="2583"/>
      <c r="DI204" s="2583"/>
      <c r="DJ204" s="2583"/>
      <c r="DK204" s="2583"/>
      <c r="DL204" s="2583"/>
      <c r="DM204" s="2583"/>
      <c r="DN204" s="2583"/>
      <c r="DO204" s="2583"/>
      <c r="DP204" s="2583"/>
      <c r="DQ204" s="2583"/>
      <c r="DR204" s="2583"/>
      <c r="DS204" s="2583"/>
      <c r="DT204" s="2583"/>
      <c r="DU204" s="2583"/>
      <c r="DV204" s="2583"/>
      <c r="DW204" s="2583"/>
      <c r="DX204" s="2583"/>
      <c r="DY204" s="2583"/>
      <c r="DZ204" s="2583"/>
      <c r="EA204" s="2583"/>
      <c r="EB204" s="2583"/>
      <c r="EC204" s="2583"/>
      <c r="ED204" s="2583"/>
      <c r="EE204" s="2583"/>
      <c r="EF204" s="2583"/>
      <c r="EG204" s="2583"/>
      <c r="EH204" s="2583"/>
      <c r="EI204" s="2583"/>
      <c r="EJ204" s="2583"/>
      <c r="EK204" s="2583"/>
      <c r="EL204" s="2583"/>
      <c r="EM204" s="2583"/>
      <c r="EN204" s="2583"/>
      <c r="EO204" s="2583"/>
      <c r="EP204" s="2583"/>
      <c r="EQ204" s="2583"/>
      <c r="ER204" s="2583"/>
      <c r="ES204" s="2583"/>
      <c r="ET204" s="2583"/>
      <c r="EU204" s="2583"/>
      <c r="EV204" s="2583"/>
      <c r="EW204" s="2583"/>
      <c r="EX204" s="2583"/>
      <c r="EY204" s="2583"/>
      <c r="EZ204" s="2583"/>
      <c r="FA204" s="2583"/>
      <c r="FB204" s="2583"/>
      <c r="FC204" s="2583"/>
      <c r="FD204" s="2583"/>
      <c r="FE204" s="2583"/>
      <c r="FF204" s="2583"/>
      <c r="FG204" s="2583"/>
      <c r="FH204" s="2583"/>
      <c r="FI204" s="2583"/>
      <c r="FJ204" s="2583"/>
      <c r="FK204" s="2583"/>
      <c r="FL204" s="2583"/>
      <c r="FM204" s="2583"/>
      <c r="FN204" s="2583"/>
      <c r="FO204" s="2583"/>
      <c r="FP204" s="2583"/>
      <c r="FQ204" s="2583"/>
      <c r="FR204" s="2583"/>
      <c r="FS204" s="2583"/>
      <c r="FT204" s="2583"/>
      <c r="FU204" s="2583"/>
      <c r="FV204" s="2583"/>
      <c r="FW204" s="2583"/>
      <c r="FX204" s="2583"/>
      <c r="FY204" s="2583"/>
      <c r="FZ204" s="2583"/>
      <c r="GA204" s="2583"/>
      <c r="GB204" s="2583"/>
      <c r="GC204" s="2583"/>
      <c r="GD204" s="2583"/>
      <c r="GE204" s="2583"/>
      <c r="GF204" s="2583"/>
      <c r="GG204" s="2583"/>
      <c r="GH204" s="2583"/>
      <c r="GI204" s="2583"/>
      <c r="GJ204" s="2583"/>
      <c r="GK204" s="2583"/>
      <c r="GL204" s="2583"/>
      <c r="GM204" s="2583"/>
      <c r="GN204" s="2583"/>
      <c r="GO204" s="2583"/>
      <c r="GP204" s="2583"/>
      <c r="GQ204" s="2583"/>
      <c r="GR204" s="2583"/>
      <c r="GS204" s="2583"/>
      <c r="GT204" s="2583"/>
      <c r="GU204" s="2583"/>
      <c r="GV204" s="2583"/>
      <c r="GW204" s="2583"/>
      <c r="GX204" s="2583"/>
      <c r="GY204" s="2583"/>
      <c r="GZ204" s="2583"/>
      <c r="HA204" s="2583"/>
      <c r="HB204" s="2583"/>
      <c r="HC204" s="2583"/>
      <c r="HD204" s="2583"/>
      <c r="HE204" s="2583"/>
      <c r="HF204" s="2583"/>
      <c r="HG204" s="2583"/>
      <c r="HH204" s="2583"/>
      <c r="HI204" s="2583"/>
      <c r="HJ204" s="2583"/>
      <c r="HK204" s="2583"/>
      <c r="HL204" s="2583"/>
      <c r="HM204" s="2583"/>
      <c r="HN204" s="2583"/>
      <c r="HO204" s="2583"/>
      <c r="HP204" s="2583"/>
      <c r="HQ204" s="2583"/>
      <c r="HR204" s="2583"/>
      <c r="HS204" s="2583"/>
      <c r="HT204" s="2583"/>
      <c r="HU204" s="2583"/>
      <c r="HV204" s="2583"/>
      <c r="HW204" s="2583"/>
      <c r="HX204" s="2583"/>
      <c r="HY204" s="2583"/>
      <c r="HZ204" s="2583"/>
      <c r="IA204" s="2583"/>
      <c r="IB204" s="2583"/>
      <c r="IC204" s="2583"/>
      <c r="ID204" s="2583"/>
      <c r="IE204" s="2583"/>
      <c r="IF204" s="2583"/>
      <c r="IG204" s="2583"/>
      <c r="IH204" s="2583"/>
      <c r="II204" s="2583"/>
      <c r="IJ204" s="2583"/>
      <c r="IK204" s="2583"/>
      <c r="IL204" s="2583"/>
      <c r="IM204" s="2583"/>
      <c r="IN204" s="2583"/>
      <c r="IO204" s="2583"/>
      <c r="IP204" s="2583"/>
      <c r="IQ204" s="2583"/>
      <c r="IR204" s="2583"/>
      <c r="IS204" s="2583"/>
      <c r="IT204" s="2583"/>
      <c r="IU204" s="2583"/>
      <c r="IV204" s="2583"/>
    </row>
    <row r="205" spans="3:256">
      <c r="C205" s="2584"/>
      <c r="D205" s="2584"/>
      <c r="E205" s="2584"/>
      <c r="F205" s="2584"/>
      <c r="G205" s="2584"/>
      <c r="H205" s="2584"/>
      <c r="AC205" s="2583"/>
      <c r="AD205" s="2583"/>
      <c r="AE205" s="2583"/>
      <c r="AF205" s="2583"/>
      <c r="AG205" s="2583"/>
      <c r="AH205" s="2583"/>
      <c r="AI205" s="2583"/>
      <c r="AJ205" s="2583"/>
      <c r="AK205" s="2583"/>
      <c r="AL205" s="2583"/>
      <c r="AM205" s="2583"/>
      <c r="AN205" s="2583"/>
      <c r="AO205" s="2583"/>
      <c r="AP205" s="2583"/>
      <c r="AQ205" s="2583"/>
      <c r="AR205" s="2583"/>
      <c r="AS205" s="2583"/>
      <c r="AT205" s="2583"/>
      <c r="AU205" s="2583"/>
      <c r="AV205" s="2583"/>
      <c r="AW205" s="2583"/>
      <c r="AX205" s="2583"/>
      <c r="AY205" s="2583"/>
      <c r="AZ205" s="2583"/>
      <c r="BA205" s="2583"/>
      <c r="BB205" s="2583"/>
      <c r="BC205" s="2583"/>
      <c r="BD205" s="2583"/>
      <c r="BE205" s="2583"/>
      <c r="BF205" s="2583"/>
      <c r="BG205" s="2583"/>
      <c r="BH205" s="2583"/>
      <c r="BI205" s="2583"/>
      <c r="BJ205" s="2583"/>
      <c r="BK205" s="2583"/>
      <c r="BL205" s="2583"/>
      <c r="BM205" s="2583"/>
      <c r="BN205" s="2583"/>
      <c r="BO205" s="2583"/>
      <c r="BP205" s="2583"/>
      <c r="BQ205" s="2583"/>
      <c r="BR205" s="2583"/>
      <c r="BS205" s="2583"/>
      <c r="BT205" s="2583"/>
      <c r="BU205" s="2583"/>
      <c r="BV205" s="2583"/>
      <c r="BW205" s="2583"/>
      <c r="BX205" s="2583"/>
      <c r="BY205" s="2583"/>
      <c r="BZ205" s="2583"/>
      <c r="CA205" s="2583"/>
      <c r="CB205" s="2583"/>
      <c r="CC205" s="2583"/>
      <c r="CD205" s="2583"/>
      <c r="CE205" s="2583"/>
      <c r="CF205" s="2583"/>
      <c r="CG205" s="2583"/>
      <c r="CH205" s="2583"/>
      <c r="CI205" s="2583"/>
      <c r="CJ205" s="2583"/>
      <c r="CK205" s="2583"/>
      <c r="CL205" s="2583"/>
      <c r="CM205" s="2583"/>
      <c r="CN205" s="2583"/>
      <c r="CO205" s="2583"/>
      <c r="CP205" s="2583"/>
      <c r="CQ205" s="2583"/>
      <c r="CR205" s="2583"/>
      <c r="CS205" s="2583"/>
      <c r="CT205" s="2583"/>
      <c r="CU205" s="2583"/>
      <c r="CV205" s="2583"/>
      <c r="CW205" s="2583"/>
      <c r="CX205" s="2583"/>
      <c r="CY205" s="2583"/>
      <c r="CZ205" s="2583"/>
      <c r="DA205" s="2583"/>
      <c r="DB205" s="2583"/>
      <c r="DC205" s="2583"/>
      <c r="DD205" s="2583"/>
      <c r="DE205" s="2583"/>
      <c r="DF205" s="2583"/>
      <c r="DG205" s="2583"/>
      <c r="DH205" s="2583"/>
      <c r="DI205" s="2583"/>
      <c r="DJ205" s="2583"/>
      <c r="DK205" s="2583"/>
      <c r="DL205" s="2583"/>
      <c r="DM205" s="2583"/>
      <c r="DN205" s="2583"/>
      <c r="DO205" s="2583"/>
      <c r="DP205" s="2583"/>
      <c r="DQ205" s="2583"/>
      <c r="DR205" s="2583"/>
      <c r="DS205" s="2583"/>
      <c r="DT205" s="2583"/>
      <c r="DU205" s="2583"/>
      <c r="DV205" s="2583"/>
      <c r="DW205" s="2583"/>
      <c r="DX205" s="2583"/>
      <c r="DY205" s="2583"/>
      <c r="DZ205" s="2583"/>
      <c r="EA205" s="2583"/>
      <c r="EB205" s="2583"/>
      <c r="EC205" s="2583"/>
      <c r="ED205" s="2583"/>
      <c r="EE205" s="2583"/>
      <c r="EF205" s="2583"/>
      <c r="EG205" s="2583"/>
      <c r="EH205" s="2583"/>
      <c r="EI205" s="2583"/>
      <c r="EJ205" s="2583"/>
      <c r="EK205" s="2583"/>
      <c r="EL205" s="2583"/>
      <c r="EM205" s="2583"/>
      <c r="EN205" s="2583"/>
      <c r="EO205" s="2583"/>
      <c r="EP205" s="2583"/>
      <c r="EQ205" s="2583"/>
      <c r="ER205" s="2583"/>
      <c r="ES205" s="2583"/>
      <c r="ET205" s="2583"/>
      <c r="EU205" s="2583"/>
      <c r="EV205" s="2583"/>
      <c r="EW205" s="2583"/>
      <c r="EX205" s="2583"/>
      <c r="EY205" s="2583"/>
      <c r="EZ205" s="2583"/>
      <c r="FA205" s="2583"/>
      <c r="FB205" s="2583"/>
      <c r="FC205" s="2583"/>
      <c r="FD205" s="2583"/>
      <c r="FE205" s="2583"/>
      <c r="FF205" s="2583"/>
      <c r="FG205" s="2583"/>
      <c r="FH205" s="2583"/>
      <c r="FI205" s="2583"/>
      <c r="FJ205" s="2583"/>
      <c r="FK205" s="2583"/>
      <c r="FL205" s="2583"/>
      <c r="FM205" s="2583"/>
      <c r="FN205" s="2583"/>
      <c r="FO205" s="2583"/>
      <c r="FP205" s="2583"/>
      <c r="FQ205" s="2583"/>
      <c r="FR205" s="2583"/>
      <c r="FS205" s="2583"/>
      <c r="FT205" s="2583"/>
      <c r="FU205" s="2583"/>
      <c r="FV205" s="2583"/>
      <c r="FW205" s="2583"/>
      <c r="FX205" s="2583"/>
      <c r="FY205" s="2583"/>
      <c r="FZ205" s="2583"/>
      <c r="GA205" s="2583"/>
      <c r="GB205" s="2583"/>
      <c r="GC205" s="2583"/>
      <c r="GD205" s="2583"/>
      <c r="GE205" s="2583"/>
      <c r="GF205" s="2583"/>
      <c r="GG205" s="2583"/>
      <c r="GH205" s="2583"/>
      <c r="GI205" s="2583"/>
      <c r="GJ205" s="2583"/>
      <c r="GK205" s="2583"/>
      <c r="GL205" s="2583"/>
      <c r="GM205" s="2583"/>
      <c r="GN205" s="2583"/>
      <c r="GO205" s="2583"/>
      <c r="GP205" s="2583"/>
      <c r="GQ205" s="2583"/>
      <c r="GR205" s="2583"/>
      <c r="GS205" s="2583"/>
      <c r="GT205" s="2583"/>
      <c r="GU205" s="2583"/>
      <c r="GV205" s="2583"/>
      <c r="GW205" s="2583"/>
      <c r="GX205" s="2583"/>
      <c r="GY205" s="2583"/>
      <c r="GZ205" s="2583"/>
      <c r="HA205" s="2583"/>
      <c r="HB205" s="2583"/>
      <c r="HC205" s="2583"/>
      <c r="HD205" s="2583"/>
      <c r="HE205" s="2583"/>
      <c r="HF205" s="2583"/>
      <c r="HG205" s="2583"/>
      <c r="HH205" s="2583"/>
      <c r="HI205" s="2583"/>
      <c r="HJ205" s="2583"/>
      <c r="HK205" s="2583"/>
      <c r="HL205" s="2583"/>
      <c r="HM205" s="2583"/>
      <c r="HN205" s="2583"/>
      <c r="HO205" s="2583"/>
      <c r="HP205" s="2583"/>
      <c r="HQ205" s="2583"/>
      <c r="HR205" s="2583"/>
      <c r="HS205" s="2583"/>
      <c r="HT205" s="2583"/>
      <c r="HU205" s="2583"/>
      <c r="HV205" s="2583"/>
      <c r="HW205" s="2583"/>
      <c r="HX205" s="2583"/>
      <c r="HY205" s="2583"/>
      <c r="HZ205" s="2583"/>
      <c r="IA205" s="2583"/>
      <c r="IB205" s="2583"/>
      <c r="IC205" s="2583"/>
      <c r="ID205" s="2583"/>
      <c r="IE205" s="2583"/>
      <c r="IF205" s="2583"/>
      <c r="IG205" s="2583"/>
      <c r="IH205" s="2583"/>
      <c r="II205" s="2583"/>
      <c r="IJ205" s="2583"/>
      <c r="IK205" s="2583"/>
      <c r="IL205" s="2583"/>
      <c r="IM205" s="2583"/>
      <c r="IN205" s="2583"/>
      <c r="IO205" s="2583"/>
      <c r="IP205" s="2583"/>
      <c r="IQ205" s="2583"/>
      <c r="IR205" s="2583"/>
      <c r="IS205" s="2583"/>
      <c r="IT205" s="2583"/>
      <c r="IU205" s="2583"/>
      <c r="IV205" s="2583"/>
    </row>
    <row r="206" spans="3:256">
      <c r="C206" s="2584"/>
      <c r="D206" s="2584"/>
      <c r="E206" s="2584"/>
      <c r="F206" s="2584"/>
      <c r="G206" s="2584"/>
      <c r="H206" s="2584"/>
      <c r="AC206" s="2583"/>
      <c r="AD206" s="2583"/>
      <c r="AE206" s="2583"/>
      <c r="AF206" s="2583"/>
      <c r="AG206" s="2583"/>
      <c r="AH206" s="2583"/>
      <c r="AI206" s="2583"/>
      <c r="AJ206" s="2583"/>
      <c r="AK206" s="2583"/>
      <c r="AL206" s="2583"/>
      <c r="AM206" s="2583"/>
      <c r="AN206" s="2583"/>
      <c r="AO206" s="2583"/>
      <c r="AP206" s="2583"/>
      <c r="AQ206" s="2583"/>
      <c r="AR206" s="2583"/>
      <c r="AS206" s="2583"/>
      <c r="AT206" s="2583"/>
      <c r="AU206" s="2583"/>
      <c r="AV206" s="2583"/>
      <c r="AW206" s="2583"/>
      <c r="AX206" s="2583"/>
      <c r="AY206" s="2583"/>
      <c r="AZ206" s="2583"/>
      <c r="BA206" s="2583"/>
      <c r="BB206" s="2583"/>
      <c r="BC206" s="2583"/>
      <c r="BD206" s="2583"/>
      <c r="BE206" s="2583"/>
      <c r="BF206" s="2583"/>
      <c r="BG206" s="2583"/>
      <c r="BH206" s="2583"/>
      <c r="BI206" s="2583"/>
      <c r="BJ206" s="2583"/>
      <c r="BK206" s="2583"/>
      <c r="BL206" s="2583"/>
      <c r="BM206" s="2583"/>
      <c r="BN206" s="2583"/>
      <c r="BO206" s="2583"/>
      <c r="BP206" s="2583"/>
      <c r="BQ206" s="2583"/>
      <c r="BR206" s="2583"/>
      <c r="BS206" s="2583"/>
      <c r="BT206" s="2583"/>
      <c r="BU206" s="2583"/>
      <c r="BV206" s="2583"/>
      <c r="BW206" s="2583"/>
      <c r="BX206" s="2583"/>
      <c r="BY206" s="2583"/>
      <c r="BZ206" s="2583"/>
      <c r="CA206" s="2583"/>
      <c r="CB206" s="2583"/>
      <c r="CC206" s="2583"/>
      <c r="CD206" s="2583"/>
      <c r="CE206" s="2583"/>
      <c r="CF206" s="2583"/>
      <c r="CG206" s="2583"/>
      <c r="CH206" s="2583"/>
      <c r="CI206" s="2583"/>
      <c r="CJ206" s="2583"/>
      <c r="CK206" s="2583"/>
      <c r="CL206" s="2583"/>
      <c r="CM206" s="2583"/>
      <c r="CN206" s="2583"/>
      <c r="CO206" s="2583"/>
      <c r="CP206" s="2583"/>
      <c r="CQ206" s="2583"/>
      <c r="CR206" s="2583"/>
      <c r="CS206" s="2583"/>
      <c r="CT206" s="2583"/>
      <c r="CU206" s="2583"/>
      <c r="CV206" s="2583"/>
      <c r="CW206" s="2583"/>
      <c r="CX206" s="2583"/>
      <c r="CY206" s="2583"/>
      <c r="CZ206" s="2583"/>
      <c r="DA206" s="2583"/>
      <c r="DB206" s="2583"/>
      <c r="DC206" s="2583"/>
      <c r="DD206" s="2583"/>
      <c r="DE206" s="2583"/>
      <c r="DF206" s="2583"/>
      <c r="DG206" s="2583"/>
      <c r="DH206" s="2583"/>
      <c r="DI206" s="2583"/>
      <c r="DJ206" s="2583"/>
      <c r="DK206" s="2583"/>
      <c r="DL206" s="2583"/>
      <c r="DM206" s="2583"/>
      <c r="DN206" s="2583"/>
      <c r="DO206" s="2583"/>
      <c r="DP206" s="2583"/>
      <c r="DQ206" s="2583"/>
      <c r="DR206" s="2583"/>
      <c r="DS206" s="2583"/>
      <c r="DT206" s="2583"/>
      <c r="DU206" s="2583"/>
      <c r="DV206" s="2583"/>
      <c r="DW206" s="2583"/>
      <c r="DX206" s="2583"/>
      <c r="DY206" s="2583"/>
      <c r="DZ206" s="2583"/>
      <c r="EA206" s="2583"/>
      <c r="EB206" s="2583"/>
      <c r="EC206" s="2583"/>
      <c r="ED206" s="2583"/>
      <c r="EE206" s="2583"/>
      <c r="EF206" s="2583"/>
      <c r="EG206" s="2583"/>
      <c r="EH206" s="2583"/>
      <c r="EI206" s="2583"/>
      <c r="EJ206" s="2583"/>
      <c r="EK206" s="2583"/>
      <c r="EL206" s="2583"/>
      <c r="EM206" s="2583"/>
      <c r="EN206" s="2583"/>
      <c r="EO206" s="2583"/>
      <c r="EP206" s="2583"/>
      <c r="EQ206" s="2583"/>
      <c r="ER206" s="2583"/>
      <c r="ES206" s="2583"/>
      <c r="ET206" s="2583"/>
      <c r="EU206" s="2583"/>
      <c r="EV206" s="2583"/>
      <c r="EW206" s="2583"/>
      <c r="EX206" s="2583"/>
      <c r="EY206" s="2583"/>
      <c r="EZ206" s="2583"/>
      <c r="FA206" s="2583"/>
      <c r="FB206" s="2583"/>
      <c r="FC206" s="2583"/>
      <c r="FD206" s="2583"/>
      <c r="FE206" s="2583"/>
      <c r="FF206" s="2583"/>
      <c r="FG206" s="2583"/>
      <c r="FH206" s="2583"/>
      <c r="FI206" s="2583"/>
      <c r="FJ206" s="2583"/>
      <c r="FK206" s="2583"/>
      <c r="FL206" s="2583"/>
      <c r="FM206" s="2583"/>
      <c r="FN206" s="2583"/>
      <c r="FO206" s="2583"/>
      <c r="FP206" s="2583"/>
      <c r="FQ206" s="2583"/>
      <c r="FR206" s="2583"/>
      <c r="FS206" s="2583"/>
      <c r="FT206" s="2583"/>
      <c r="FU206" s="2583"/>
      <c r="FV206" s="2583"/>
      <c r="FW206" s="2583"/>
      <c r="FX206" s="2583"/>
      <c r="FY206" s="2583"/>
      <c r="FZ206" s="2583"/>
      <c r="GA206" s="2583"/>
      <c r="GB206" s="2583"/>
      <c r="GC206" s="2583"/>
      <c r="GD206" s="2583"/>
      <c r="GE206" s="2583"/>
      <c r="GF206" s="2583"/>
      <c r="GG206" s="2583"/>
      <c r="GH206" s="2583"/>
      <c r="GI206" s="2583"/>
      <c r="GJ206" s="2583"/>
      <c r="GK206" s="2583"/>
      <c r="GL206" s="2583"/>
      <c r="GM206" s="2583"/>
      <c r="GN206" s="2583"/>
      <c r="GO206" s="2583"/>
      <c r="GP206" s="2583"/>
      <c r="GQ206" s="2583"/>
      <c r="GR206" s="2583"/>
      <c r="GS206" s="2583"/>
      <c r="GT206" s="2583"/>
      <c r="GU206" s="2583"/>
      <c r="GV206" s="2583"/>
      <c r="GW206" s="2583"/>
      <c r="GX206" s="2583"/>
      <c r="GY206" s="2583"/>
      <c r="GZ206" s="2583"/>
      <c r="HA206" s="2583"/>
      <c r="HB206" s="2583"/>
      <c r="HC206" s="2583"/>
      <c r="HD206" s="2583"/>
      <c r="HE206" s="2583"/>
      <c r="HF206" s="2583"/>
      <c r="HG206" s="2583"/>
      <c r="HH206" s="2583"/>
      <c r="HI206" s="2583"/>
      <c r="HJ206" s="2583"/>
      <c r="HK206" s="2583"/>
      <c r="HL206" s="2583"/>
      <c r="HM206" s="2583"/>
      <c r="HN206" s="2583"/>
      <c r="HO206" s="2583"/>
      <c r="HP206" s="2583"/>
      <c r="HQ206" s="2583"/>
      <c r="HR206" s="2583"/>
      <c r="HS206" s="2583"/>
      <c r="HT206" s="2583"/>
      <c r="HU206" s="2583"/>
      <c r="HV206" s="2583"/>
      <c r="HW206" s="2583"/>
      <c r="HX206" s="2583"/>
      <c r="HY206" s="2583"/>
      <c r="HZ206" s="2583"/>
      <c r="IA206" s="2583"/>
      <c r="IB206" s="2583"/>
      <c r="IC206" s="2583"/>
      <c r="ID206" s="2583"/>
      <c r="IE206" s="2583"/>
      <c r="IF206" s="2583"/>
      <c r="IG206" s="2583"/>
      <c r="IH206" s="2583"/>
      <c r="II206" s="2583"/>
      <c r="IJ206" s="2583"/>
      <c r="IK206" s="2583"/>
      <c r="IL206" s="2583"/>
      <c r="IM206" s="2583"/>
      <c r="IN206" s="2583"/>
      <c r="IO206" s="2583"/>
      <c r="IP206" s="2583"/>
      <c r="IQ206" s="2583"/>
      <c r="IR206" s="2583"/>
      <c r="IS206" s="2583"/>
      <c r="IT206" s="2583"/>
      <c r="IU206" s="2583"/>
      <c r="IV206" s="2583"/>
    </row>
    <row r="207" spans="3:256">
      <c r="C207" s="2584"/>
      <c r="D207" s="2584"/>
      <c r="E207" s="2584"/>
      <c r="F207" s="2584"/>
      <c r="G207" s="2584"/>
      <c r="H207" s="2584"/>
      <c r="AC207" s="2583"/>
      <c r="AD207" s="2583"/>
      <c r="AE207" s="2583"/>
      <c r="AF207" s="2583"/>
      <c r="AG207" s="2583"/>
      <c r="AH207" s="2583"/>
      <c r="AI207" s="2583"/>
      <c r="AJ207" s="2583"/>
      <c r="AK207" s="2583"/>
      <c r="AL207" s="2583"/>
      <c r="AM207" s="2583"/>
      <c r="AN207" s="2583"/>
      <c r="AO207" s="2583"/>
      <c r="AP207" s="2583"/>
      <c r="AQ207" s="2583"/>
      <c r="AR207" s="2583"/>
      <c r="AS207" s="2583"/>
      <c r="AT207" s="2583"/>
      <c r="AU207" s="2583"/>
      <c r="AV207" s="2583"/>
      <c r="AW207" s="2583"/>
      <c r="AX207" s="2583"/>
      <c r="AY207" s="2583"/>
      <c r="AZ207" s="2583"/>
      <c r="BA207" s="2583"/>
      <c r="BB207" s="2583"/>
      <c r="BC207" s="2583"/>
      <c r="BD207" s="2583"/>
      <c r="BE207" s="2583"/>
      <c r="BF207" s="2583"/>
      <c r="BG207" s="2583"/>
      <c r="BH207" s="2583"/>
      <c r="BI207" s="2583"/>
      <c r="BJ207" s="2583"/>
      <c r="BK207" s="2583"/>
      <c r="BL207" s="2583"/>
      <c r="BM207" s="2583"/>
      <c r="BN207" s="2583"/>
      <c r="BO207" s="2583"/>
      <c r="BP207" s="2583"/>
      <c r="BQ207" s="2583"/>
      <c r="BR207" s="2583"/>
      <c r="BS207" s="2583"/>
      <c r="BT207" s="2583"/>
      <c r="BU207" s="2583"/>
      <c r="BV207" s="2583"/>
      <c r="BW207" s="2583"/>
      <c r="BX207" s="2583"/>
      <c r="BY207" s="2583"/>
      <c r="BZ207" s="2583"/>
      <c r="CA207" s="2583"/>
      <c r="CB207" s="2583"/>
      <c r="CC207" s="2583"/>
      <c r="CD207" s="2583"/>
      <c r="CE207" s="2583"/>
      <c r="CF207" s="2583"/>
      <c r="CG207" s="2583"/>
      <c r="CH207" s="2583"/>
      <c r="CI207" s="2583"/>
      <c r="CJ207" s="2583"/>
      <c r="CK207" s="2583"/>
      <c r="CL207" s="2583"/>
      <c r="CM207" s="2583"/>
      <c r="CN207" s="2583"/>
      <c r="CO207" s="2583"/>
      <c r="CP207" s="2583"/>
      <c r="CQ207" s="2583"/>
      <c r="CR207" s="2583"/>
      <c r="CS207" s="2583"/>
      <c r="CT207" s="2583"/>
      <c r="CU207" s="2583"/>
      <c r="CV207" s="2583"/>
      <c r="CW207" s="2583"/>
      <c r="CX207" s="2583"/>
      <c r="CY207" s="2583"/>
      <c r="CZ207" s="2583"/>
      <c r="DA207" s="2583"/>
      <c r="DB207" s="2583"/>
      <c r="DC207" s="2583"/>
      <c r="DD207" s="2583"/>
      <c r="DE207" s="2583"/>
      <c r="DF207" s="2583"/>
      <c r="DG207" s="2583"/>
      <c r="DH207" s="2583"/>
      <c r="DI207" s="2583"/>
      <c r="DJ207" s="2583"/>
      <c r="DK207" s="2583"/>
      <c r="DL207" s="2583"/>
      <c r="DM207" s="2583"/>
      <c r="DN207" s="2583"/>
      <c r="DO207" s="2583"/>
      <c r="DP207" s="2583"/>
      <c r="DQ207" s="2583"/>
      <c r="DR207" s="2583"/>
      <c r="DS207" s="2583"/>
      <c r="DT207" s="2583"/>
      <c r="DU207" s="2583"/>
      <c r="DV207" s="2583"/>
      <c r="DW207" s="2583"/>
      <c r="DX207" s="2583"/>
      <c r="DY207" s="2583"/>
      <c r="DZ207" s="2583"/>
      <c r="EA207" s="2583"/>
      <c r="EB207" s="2583"/>
      <c r="EC207" s="2583"/>
      <c r="ED207" s="2583"/>
      <c r="EE207" s="2583"/>
      <c r="EF207" s="2583"/>
      <c r="EG207" s="2583"/>
      <c r="EH207" s="2583"/>
      <c r="EI207" s="2583"/>
      <c r="EJ207" s="2583"/>
      <c r="EK207" s="2583"/>
      <c r="EL207" s="2583"/>
      <c r="EM207" s="2583"/>
      <c r="EN207" s="2583"/>
      <c r="EO207" s="2583"/>
      <c r="EP207" s="2583"/>
      <c r="EQ207" s="2583"/>
      <c r="ER207" s="2583"/>
      <c r="ES207" s="2583"/>
      <c r="ET207" s="2583"/>
      <c r="EU207" s="2583"/>
      <c r="EV207" s="2583"/>
      <c r="EW207" s="2583"/>
      <c r="EX207" s="2583"/>
      <c r="EY207" s="2583"/>
      <c r="EZ207" s="2583"/>
      <c r="FA207" s="2583"/>
      <c r="FB207" s="2583"/>
      <c r="FC207" s="2583"/>
      <c r="FD207" s="2583"/>
      <c r="FE207" s="2583"/>
      <c r="FF207" s="2583"/>
      <c r="FG207" s="2583"/>
      <c r="FH207" s="2583"/>
      <c r="FI207" s="2583"/>
      <c r="FJ207" s="2583"/>
      <c r="FK207" s="2583"/>
      <c r="FL207" s="2583"/>
      <c r="FM207" s="2583"/>
      <c r="FN207" s="2583"/>
      <c r="FO207" s="2583"/>
      <c r="FP207" s="2583"/>
      <c r="FQ207" s="2583"/>
      <c r="FR207" s="2583"/>
      <c r="FS207" s="2583"/>
      <c r="FT207" s="2583"/>
      <c r="FU207" s="2583"/>
      <c r="FV207" s="2583"/>
      <c r="FW207" s="2583"/>
      <c r="FX207" s="2583"/>
      <c r="FY207" s="2583"/>
      <c r="FZ207" s="2583"/>
      <c r="GA207" s="2583"/>
      <c r="GB207" s="2583"/>
      <c r="GC207" s="2583"/>
      <c r="GD207" s="2583"/>
      <c r="GE207" s="2583"/>
      <c r="GF207" s="2583"/>
      <c r="GG207" s="2583"/>
      <c r="GH207" s="2583"/>
      <c r="GI207" s="2583"/>
      <c r="GJ207" s="2583"/>
      <c r="GK207" s="2583"/>
      <c r="GL207" s="2583"/>
      <c r="GM207" s="2583"/>
      <c r="GN207" s="2583"/>
      <c r="GO207" s="2583"/>
      <c r="GP207" s="2583"/>
      <c r="GQ207" s="2583"/>
      <c r="GR207" s="2583"/>
      <c r="GS207" s="2583"/>
      <c r="GT207" s="2583"/>
      <c r="GU207" s="2583"/>
      <c r="GV207" s="2583"/>
      <c r="GW207" s="2583"/>
      <c r="GX207" s="2583"/>
      <c r="GY207" s="2583"/>
      <c r="GZ207" s="2583"/>
      <c r="HA207" s="2583"/>
      <c r="HB207" s="2583"/>
      <c r="HC207" s="2583"/>
      <c r="HD207" s="2583"/>
      <c r="HE207" s="2583"/>
      <c r="HF207" s="2583"/>
      <c r="HG207" s="2583"/>
      <c r="HH207" s="2583"/>
      <c r="HI207" s="2583"/>
      <c r="HJ207" s="2583"/>
      <c r="HK207" s="2583"/>
      <c r="HL207" s="2583"/>
      <c r="HM207" s="2583"/>
      <c r="HN207" s="2583"/>
      <c r="HO207" s="2583"/>
      <c r="HP207" s="2583"/>
      <c r="HQ207" s="2583"/>
      <c r="HR207" s="2583"/>
      <c r="HS207" s="2583"/>
      <c r="HT207" s="2583"/>
      <c r="HU207" s="2583"/>
      <c r="HV207" s="2583"/>
      <c r="HW207" s="2583"/>
      <c r="HX207" s="2583"/>
      <c r="HY207" s="2583"/>
      <c r="HZ207" s="2583"/>
      <c r="IA207" s="2583"/>
      <c r="IB207" s="2583"/>
      <c r="IC207" s="2583"/>
      <c r="ID207" s="2583"/>
      <c r="IE207" s="2583"/>
      <c r="IF207" s="2583"/>
      <c r="IG207" s="2583"/>
      <c r="IH207" s="2583"/>
      <c r="II207" s="2583"/>
      <c r="IJ207" s="2583"/>
      <c r="IK207" s="2583"/>
      <c r="IL207" s="2583"/>
      <c r="IM207" s="2583"/>
      <c r="IN207" s="2583"/>
      <c r="IO207" s="2583"/>
      <c r="IP207" s="2583"/>
      <c r="IQ207" s="2583"/>
      <c r="IR207" s="2583"/>
      <c r="IS207" s="2583"/>
      <c r="IT207" s="2583"/>
      <c r="IU207" s="2583"/>
      <c r="IV207" s="2583"/>
    </row>
    <row r="208" spans="3:256">
      <c r="C208" s="2584"/>
      <c r="D208" s="2584"/>
      <c r="E208" s="2584"/>
      <c r="F208" s="2584"/>
      <c r="G208" s="2584"/>
      <c r="H208" s="2584"/>
      <c r="AC208" s="2583"/>
      <c r="AD208" s="2583"/>
      <c r="AE208" s="2583"/>
      <c r="AF208" s="2583"/>
      <c r="AG208" s="2583"/>
      <c r="AH208" s="2583"/>
      <c r="AI208" s="2583"/>
      <c r="AJ208" s="2583"/>
      <c r="AK208" s="2583"/>
      <c r="AL208" s="2583"/>
      <c r="AM208" s="2583"/>
      <c r="AN208" s="2583"/>
      <c r="AO208" s="2583"/>
      <c r="AP208" s="2583"/>
      <c r="AQ208" s="2583"/>
      <c r="AR208" s="2583"/>
      <c r="AS208" s="2583"/>
      <c r="AT208" s="2583"/>
      <c r="AU208" s="2583"/>
      <c r="AV208" s="2583"/>
      <c r="AW208" s="2583"/>
      <c r="AX208" s="2583"/>
      <c r="AY208" s="2583"/>
      <c r="AZ208" s="2583"/>
      <c r="BA208" s="2583"/>
      <c r="BB208" s="2583"/>
      <c r="BC208" s="2583"/>
      <c r="BD208" s="2583"/>
      <c r="BE208" s="2583"/>
      <c r="BF208" s="2583"/>
      <c r="BG208" s="2583"/>
      <c r="BH208" s="2583"/>
      <c r="BI208" s="2583"/>
      <c r="BJ208" s="2583"/>
      <c r="BK208" s="2583"/>
      <c r="BL208" s="2583"/>
      <c r="BM208" s="2583"/>
      <c r="BN208" s="2583"/>
      <c r="BO208" s="2583"/>
      <c r="BP208" s="2583"/>
      <c r="BQ208" s="2583"/>
      <c r="BR208" s="2583"/>
      <c r="BS208" s="2583"/>
      <c r="BT208" s="2583"/>
      <c r="BU208" s="2583"/>
      <c r="BV208" s="2583"/>
      <c r="BW208" s="2583"/>
      <c r="BX208" s="2583"/>
      <c r="BY208" s="2583"/>
      <c r="BZ208" s="2583"/>
      <c r="CA208" s="2583"/>
      <c r="CB208" s="2583"/>
      <c r="CC208" s="2583"/>
      <c r="CD208" s="2583"/>
      <c r="CE208" s="2583"/>
      <c r="CF208" s="2583"/>
      <c r="CG208" s="2583"/>
      <c r="CH208" s="2583"/>
      <c r="CI208" s="2583"/>
      <c r="CJ208" s="2583"/>
      <c r="CK208" s="2583"/>
      <c r="CL208" s="2583"/>
      <c r="CM208" s="2583"/>
      <c r="CN208" s="2583"/>
      <c r="CO208" s="2583"/>
      <c r="CP208" s="2583"/>
      <c r="CQ208" s="2583"/>
      <c r="CR208" s="2583"/>
      <c r="CS208" s="2583"/>
      <c r="CT208" s="2583"/>
      <c r="CU208" s="2583"/>
      <c r="CV208" s="2583"/>
      <c r="CW208" s="2583"/>
      <c r="CX208" s="2583"/>
      <c r="CY208" s="2583"/>
      <c r="CZ208" s="2583"/>
      <c r="DA208" s="2583"/>
      <c r="DB208" s="2583"/>
      <c r="DC208" s="2583"/>
      <c r="DD208" s="2583"/>
      <c r="DE208" s="2583"/>
      <c r="DF208" s="2583"/>
      <c r="DG208" s="2583"/>
      <c r="DH208" s="2583"/>
      <c r="DI208" s="2583"/>
      <c r="DJ208" s="2583"/>
      <c r="DK208" s="2583"/>
      <c r="DL208" s="2583"/>
      <c r="DM208" s="2583"/>
      <c r="DN208" s="2583"/>
      <c r="DO208" s="2583"/>
      <c r="DP208" s="2583"/>
      <c r="DQ208" s="2583"/>
      <c r="DR208" s="2583"/>
      <c r="DS208" s="2583"/>
      <c r="DT208" s="2583"/>
      <c r="DU208" s="2583"/>
      <c r="DV208" s="2583"/>
      <c r="DW208" s="2583"/>
      <c r="DX208" s="2583"/>
      <c r="DY208" s="2583"/>
      <c r="DZ208" s="2583"/>
      <c r="EA208" s="2583"/>
      <c r="EB208" s="2583"/>
      <c r="EC208" s="2583"/>
      <c r="ED208" s="2583"/>
      <c r="EE208" s="2583"/>
      <c r="EF208" s="2583"/>
      <c r="EG208" s="2583"/>
      <c r="EH208" s="2583"/>
      <c r="EI208" s="2583"/>
      <c r="EJ208" s="2583"/>
      <c r="EK208" s="2583"/>
      <c r="EL208" s="2583"/>
      <c r="EM208" s="2583"/>
      <c r="EN208" s="2583"/>
      <c r="EO208" s="2583"/>
      <c r="EP208" s="2583"/>
      <c r="EQ208" s="2583"/>
      <c r="ER208" s="2583"/>
      <c r="ES208" s="2583"/>
      <c r="ET208" s="2583"/>
      <c r="EU208" s="2583"/>
      <c r="EV208" s="2583"/>
      <c r="EW208" s="2583"/>
      <c r="EX208" s="2583"/>
      <c r="EY208" s="2583"/>
      <c r="EZ208" s="2583"/>
      <c r="FA208" s="2583"/>
      <c r="FB208" s="2583"/>
      <c r="FC208" s="2583"/>
      <c r="FD208" s="2583"/>
      <c r="FE208" s="2583"/>
      <c r="FF208" s="2583"/>
      <c r="FG208" s="2583"/>
      <c r="FH208" s="2583"/>
      <c r="FI208" s="2583"/>
      <c r="FJ208" s="2583"/>
      <c r="FK208" s="2583"/>
      <c r="FL208" s="2583"/>
      <c r="FM208" s="2583"/>
      <c r="FN208" s="2583"/>
      <c r="FO208" s="2583"/>
      <c r="FP208" s="2583"/>
      <c r="FQ208" s="2583"/>
      <c r="FR208" s="2583"/>
      <c r="FS208" s="2583"/>
      <c r="FT208" s="2583"/>
      <c r="FU208" s="2583"/>
      <c r="FV208" s="2583"/>
      <c r="FW208" s="2583"/>
      <c r="FX208" s="2583"/>
      <c r="FY208" s="2583"/>
      <c r="FZ208" s="2583"/>
      <c r="GA208" s="2583"/>
      <c r="GB208" s="2583"/>
      <c r="GC208" s="2583"/>
      <c r="GD208" s="2583"/>
      <c r="GE208" s="2583"/>
      <c r="GF208" s="2583"/>
      <c r="GG208" s="2583"/>
      <c r="GH208" s="2583"/>
      <c r="GI208" s="2583"/>
      <c r="GJ208" s="2583"/>
      <c r="GK208" s="2583"/>
      <c r="GL208" s="2583"/>
      <c r="GM208" s="2583"/>
      <c r="GN208" s="2583"/>
      <c r="GO208" s="2583"/>
      <c r="GP208" s="2583"/>
      <c r="GQ208" s="2583"/>
      <c r="GR208" s="2583"/>
      <c r="GS208" s="2583"/>
      <c r="GT208" s="2583"/>
      <c r="GU208" s="2583"/>
      <c r="GV208" s="2583"/>
      <c r="GW208" s="2583"/>
      <c r="GX208" s="2583"/>
      <c r="GY208" s="2583"/>
      <c r="GZ208" s="2583"/>
      <c r="HA208" s="2583"/>
      <c r="HB208" s="2583"/>
      <c r="HC208" s="2583"/>
      <c r="HD208" s="2583"/>
      <c r="HE208" s="2583"/>
      <c r="HF208" s="2583"/>
      <c r="HG208" s="2583"/>
      <c r="HH208" s="2583"/>
      <c r="HI208" s="2583"/>
      <c r="HJ208" s="2583"/>
      <c r="HK208" s="2583"/>
      <c r="HL208" s="2583"/>
      <c r="HM208" s="2583"/>
      <c r="HN208" s="2583"/>
      <c r="HO208" s="2583"/>
      <c r="HP208" s="2583"/>
      <c r="HQ208" s="2583"/>
      <c r="HR208" s="2583"/>
      <c r="HS208" s="2583"/>
      <c r="HT208" s="2583"/>
      <c r="HU208" s="2583"/>
      <c r="HV208" s="2583"/>
      <c r="HW208" s="2583"/>
      <c r="HX208" s="2583"/>
      <c r="HY208" s="2583"/>
      <c r="HZ208" s="2583"/>
      <c r="IA208" s="2583"/>
      <c r="IB208" s="2583"/>
      <c r="IC208" s="2583"/>
      <c r="ID208" s="2583"/>
      <c r="IE208" s="2583"/>
      <c r="IF208" s="2583"/>
      <c r="IG208" s="2583"/>
      <c r="IH208" s="2583"/>
      <c r="II208" s="2583"/>
      <c r="IJ208" s="2583"/>
      <c r="IK208" s="2583"/>
      <c r="IL208" s="2583"/>
      <c r="IM208" s="2583"/>
      <c r="IN208" s="2583"/>
      <c r="IO208" s="2583"/>
      <c r="IP208" s="2583"/>
      <c r="IQ208" s="2583"/>
      <c r="IR208" s="2583"/>
      <c r="IS208" s="2583"/>
      <c r="IT208" s="2583"/>
      <c r="IU208" s="2583"/>
      <c r="IV208" s="2583"/>
    </row>
    <row r="209" spans="3:256">
      <c r="C209" s="2584"/>
      <c r="D209" s="2584"/>
      <c r="E209" s="2584"/>
      <c r="F209" s="2584"/>
      <c r="G209" s="2584"/>
      <c r="H209" s="2584"/>
      <c r="AC209" s="2583"/>
      <c r="AD209" s="2583"/>
      <c r="AE209" s="2583"/>
      <c r="AF209" s="2583"/>
      <c r="AG209" s="2583"/>
      <c r="AH209" s="2583"/>
      <c r="AI209" s="2583"/>
      <c r="AJ209" s="2583"/>
      <c r="AK209" s="2583"/>
      <c r="AL209" s="2583"/>
      <c r="AM209" s="2583"/>
      <c r="AN209" s="2583"/>
      <c r="AO209" s="2583"/>
      <c r="AP209" s="2583"/>
      <c r="AQ209" s="2583"/>
      <c r="AR209" s="2583"/>
      <c r="AS209" s="2583"/>
      <c r="AT209" s="2583"/>
      <c r="AU209" s="2583"/>
      <c r="AV209" s="2583"/>
      <c r="AW209" s="2583"/>
      <c r="AX209" s="2583"/>
      <c r="AY209" s="2583"/>
      <c r="AZ209" s="2583"/>
      <c r="BA209" s="2583"/>
      <c r="BB209" s="2583"/>
      <c r="BC209" s="2583"/>
      <c r="BD209" s="2583"/>
      <c r="BE209" s="2583"/>
      <c r="BF209" s="2583"/>
      <c r="BG209" s="2583"/>
      <c r="BH209" s="2583"/>
      <c r="BI209" s="2583"/>
      <c r="BJ209" s="2583"/>
      <c r="BK209" s="2583"/>
      <c r="BL209" s="2583"/>
      <c r="BM209" s="2583"/>
      <c r="BN209" s="2583"/>
      <c r="BO209" s="2583"/>
      <c r="BP209" s="2583"/>
      <c r="BQ209" s="2583"/>
      <c r="BR209" s="2583"/>
      <c r="BS209" s="2583"/>
      <c r="BT209" s="2583"/>
      <c r="BU209" s="2583"/>
      <c r="BV209" s="2583"/>
      <c r="BW209" s="2583"/>
      <c r="BX209" s="2583"/>
      <c r="BY209" s="2583"/>
      <c r="BZ209" s="2583"/>
      <c r="CA209" s="2583"/>
      <c r="CB209" s="2583"/>
      <c r="CC209" s="2583"/>
      <c r="CD209" s="2583"/>
      <c r="CE209" s="2583"/>
      <c r="CF209" s="2583"/>
      <c r="CG209" s="2583"/>
      <c r="CH209" s="2583"/>
      <c r="CI209" s="2583"/>
      <c r="CJ209" s="2583"/>
      <c r="CK209" s="2583"/>
      <c r="CL209" s="2583"/>
      <c r="CM209" s="2583"/>
      <c r="CN209" s="2583"/>
      <c r="CO209" s="2583"/>
      <c r="CP209" s="2583"/>
      <c r="CQ209" s="2583"/>
      <c r="CR209" s="2583"/>
      <c r="CS209" s="2583"/>
      <c r="CT209" s="2583"/>
      <c r="CU209" s="2583"/>
      <c r="CV209" s="2583"/>
      <c r="CW209" s="2583"/>
      <c r="CX209" s="2583"/>
      <c r="CY209" s="2583"/>
      <c r="CZ209" s="2583"/>
      <c r="DA209" s="2583"/>
      <c r="DB209" s="2583"/>
      <c r="DC209" s="2583"/>
      <c r="DD209" s="2583"/>
      <c r="DE209" s="2583"/>
      <c r="DF209" s="2583"/>
      <c r="DG209" s="2583"/>
      <c r="DH209" s="2583"/>
      <c r="DI209" s="2583"/>
      <c r="DJ209" s="2583"/>
      <c r="DK209" s="2583"/>
      <c r="DL209" s="2583"/>
      <c r="DM209" s="2583"/>
      <c r="DN209" s="2583"/>
      <c r="DO209" s="2583"/>
      <c r="DP209" s="2583"/>
      <c r="DQ209" s="2583"/>
      <c r="DR209" s="2583"/>
      <c r="DS209" s="2583"/>
      <c r="DT209" s="2583"/>
      <c r="DU209" s="2583"/>
      <c r="DV209" s="2583"/>
      <c r="DW209" s="2583"/>
      <c r="DX209" s="2583"/>
      <c r="DY209" s="2583"/>
      <c r="DZ209" s="2583"/>
      <c r="EA209" s="2583"/>
      <c r="EB209" s="2583"/>
      <c r="EC209" s="2583"/>
      <c r="ED209" s="2583"/>
      <c r="EE209" s="2583"/>
      <c r="EF209" s="2583"/>
      <c r="EG209" s="2583"/>
      <c r="EH209" s="2583"/>
      <c r="EI209" s="2583"/>
      <c r="EJ209" s="2583"/>
      <c r="EK209" s="2583"/>
      <c r="EL209" s="2583"/>
      <c r="EM209" s="2583"/>
      <c r="EN209" s="2583"/>
      <c r="EO209" s="2583"/>
      <c r="EP209" s="2583"/>
      <c r="EQ209" s="2583"/>
      <c r="ER209" s="2583"/>
      <c r="ES209" s="2583"/>
      <c r="ET209" s="2583"/>
      <c r="EU209" s="2583"/>
      <c r="EV209" s="2583"/>
      <c r="EW209" s="2583"/>
      <c r="EX209" s="2583"/>
      <c r="EY209" s="2583"/>
      <c r="EZ209" s="2583"/>
      <c r="FA209" s="2583"/>
      <c r="FB209" s="2583"/>
      <c r="FC209" s="2583"/>
      <c r="FD209" s="2583"/>
      <c r="FE209" s="2583"/>
      <c r="FF209" s="2583"/>
      <c r="FG209" s="2583"/>
      <c r="FH209" s="2583"/>
      <c r="FI209" s="2583"/>
      <c r="FJ209" s="2583"/>
      <c r="FK209" s="2583"/>
      <c r="FL209" s="2583"/>
      <c r="FM209" s="2583"/>
      <c r="FN209" s="2583"/>
      <c r="FO209" s="2583"/>
      <c r="FP209" s="2583"/>
      <c r="FQ209" s="2583"/>
      <c r="FR209" s="2583"/>
      <c r="FS209" s="2583"/>
      <c r="FT209" s="2583"/>
      <c r="FU209" s="2583"/>
      <c r="FV209" s="2583"/>
      <c r="FW209" s="2583"/>
      <c r="FX209" s="2583"/>
      <c r="FY209" s="2583"/>
      <c r="FZ209" s="2583"/>
      <c r="GA209" s="2583"/>
      <c r="GB209" s="2583"/>
      <c r="GC209" s="2583"/>
      <c r="GD209" s="2583"/>
      <c r="GE209" s="2583"/>
      <c r="GF209" s="2583"/>
      <c r="GG209" s="2583"/>
      <c r="GH209" s="2583"/>
      <c r="GI209" s="2583"/>
      <c r="GJ209" s="2583"/>
      <c r="GK209" s="2583"/>
      <c r="GL209" s="2583"/>
      <c r="GM209" s="2583"/>
      <c r="GN209" s="2583"/>
      <c r="GO209" s="2583"/>
      <c r="GP209" s="2583"/>
      <c r="GQ209" s="2583"/>
      <c r="GR209" s="2583"/>
      <c r="GS209" s="2583"/>
      <c r="GT209" s="2583"/>
      <c r="GU209" s="2583"/>
      <c r="GV209" s="2583"/>
      <c r="GW209" s="2583"/>
      <c r="GX209" s="2583"/>
      <c r="GY209" s="2583"/>
      <c r="GZ209" s="2583"/>
      <c r="HA209" s="2583"/>
      <c r="HB209" s="2583"/>
      <c r="HC209" s="2583"/>
      <c r="HD209" s="2583"/>
      <c r="HE209" s="2583"/>
      <c r="HF209" s="2583"/>
      <c r="HG209" s="2583"/>
      <c r="HH209" s="2583"/>
      <c r="HI209" s="2583"/>
      <c r="HJ209" s="2583"/>
      <c r="HK209" s="2583"/>
      <c r="HL209" s="2583"/>
      <c r="HM209" s="2583"/>
      <c r="HN209" s="2583"/>
      <c r="HO209" s="2583"/>
      <c r="HP209" s="2583"/>
      <c r="HQ209" s="2583"/>
      <c r="HR209" s="2583"/>
      <c r="HS209" s="2583"/>
      <c r="HT209" s="2583"/>
      <c r="HU209" s="2583"/>
      <c r="HV209" s="2583"/>
      <c r="HW209" s="2583"/>
      <c r="HX209" s="2583"/>
      <c r="HY209" s="2583"/>
      <c r="HZ209" s="2583"/>
      <c r="IA209" s="2583"/>
      <c r="IB209" s="2583"/>
      <c r="IC209" s="2583"/>
      <c r="ID209" s="2583"/>
      <c r="IE209" s="2583"/>
      <c r="IF209" s="2583"/>
      <c r="IG209" s="2583"/>
      <c r="IH209" s="2583"/>
      <c r="II209" s="2583"/>
      <c r="IJ209" s="2583"/>
      <c r="IK209" s="2583"/>
      <c r="IL209" s="2583"/>
      <c r="IM209" s="2583"/>
      <c r="IN209" s="2583"/>
      <c r="IO209" s="2583"/>
      <c r="IP209" s="2583"/>
      <c r="IQ209" s="2583"/>
      <c r="IR209" s="2583"/>
      <c r="IS209" s="2583"/>
      <c r="IT209" s="2583"/>
      <c r="IU209" s="2583"/>
      <c r="IV209" s="2583"/>
    </row>
    <row r="210" spans="3:256">
      <c r="C210" s="2584"/>
      <c r="D210" s="2584"/>
      <c r="E210" s="2584"/>
      <c r="F210" s="2584"/>
      <c r="G210" s="2584"/>
      <c r="H210" s="2584"/>
      <c r="AC210" s="2583"/>
      <c r="AD210" s="2583"/>
      <c r="AE210" s="2583"/>
      <c r="AF210" s="2583"/>
      <c r="AG210" s="2583"/>
      <c r="AH210" s="2583"/>
      <c r="AI210" s="2583"/>
      <c r="AJ210" s="2583"/>
      <c r="AK210" s="2583"/>
      <c r="AL210" s="2583"/>
      <c r="AM210" s="2583"/>
      <c r="AN210" s="2583"/>
      <c r="AO210" s="2583"/>
      <c r="AP210" s="2583"/>
      <c r="AQ210" s="2583"/>
      <c r="AR210" s="2583"/>
      <c r="AS210" s="2583"/>
      <c r="AT210" s="2583"/>
      <c r="AU210" s="2583"/>
      <c r="AV210" s="2583"/>
      <c r="AW210" s="2583"/>
      <c r="AX210" s="2583"/>
      <c r="AY210" s="2583"/>
      <c r="AZ210" s="2583"/>
      <c r="BA210" s="2583"/>
      <c r="BB210" s="2583"/>
      <c r="BC210" s="2583"/>
      <c r="BD210" s="2583"/>
      <c r="BE210" s="2583"/>
      <c r="BF210" s="2583"/>
      <c r="BG210" s="2583"/>
      <c r="BH210" s="2583"/>
      <c r="BI210" s="2583"/>
      <c r="BJ210" s="2583"/>
      <c r="BK210" s="2583"/>
      <c r="BL210" s="2583"/>
      <c r="BM210" s="2583"/>
      <c r="BN210" s="2583"/>
      <c r="BO210" s="2583"/>
      <c r="BP210" s="2583"/>
      <c r="BQ210" s="2583"/>
      <c r="BR210" s="2583"/>
      <c r="BS210" s="2583"/>
      <c r="BT210" s="2583"/>
      <c r="BU210" s="2583"/>
      <c r="BV210" s="2583"/>
      <c r="BW210" s="2583"/>
      <c r="BX210" s="2583"/>
      <c r="BY210" s="2583"/>
      <c r="BZ210" s="2583"/>
      <c r="CA210" s="2583"/>
      <c r="CB210" s="2583"/>
      <c r="CC210" s="2583"/>
      <c r="CD210" s="2583"/>
      <c r="CE210" s="2583"/>
      <c r="CF210" s="2583"/>
      <c r="CG210" s="2583"/>
      <c r="CH210" s="2583"/>
      <c r="CI210" s="2583"/>
      <c r="CJ210" s="2583"/>
      <c r="CK210" s="2583"/>
      <c r="CL210" s="2583"/>
      <c r="CM210" s="2583"/>
      <c r="CN210" s="2583"/>
      <c r="CO210" s="2583"/>
      <c r="CP210" s="2583"/>
      <c r="CQ210" s="2583"/>
      <c r="CR210" s="2583"/>
      <c r="CS210" s="2583"/>
      <c r="CT210" s="2583"/>
      <c r="CU210" s="2583"/>
      <c r="CV210" s="2583"/>
      <c r="CW210" s="2583"/>
      <c r="CX210" s="2583"/>
      <c r="CY210" s="2583"/>
      <c r="CZ210" s="2583"/>
      <c r="DA210" s="2583"/>
      <c r="DB210" s="2583"/>
      <c r="DC210" s="2583"/>
      <c r="DD210" s="2583"/>
      <c r="DE210" s="2583"/>
      <c r="DF210" s="2583"/>
      <c r="DG210" s="2583"/>
      <c r="DH210" s="2583"/>
      <c r="DI210" s="2583"/>
      <c r="DJ210" s="2583"/>
      <c r="DK210" s="2583"/>
      <c r="DL210" s="2583"/>
      <c r="DM210" s="2583"/>
      <c r="DN210" s="2583"/>
      <c r="DO210" s="2583"/>
      <c r="DP210" s="2583"/>
      <c r="DQ210" s="2583"/>
      <c r="DR210" s="2583"/>
      <c r="DS210" s="2583"/>
      <c r="DT210" s="2583"/>
      <c r="DU210" s="2583"/>
      <c r="DV210" s="2583"/>
      <c r="DW210" s="2583"/>
      <c r="DX210" s="2583"/>
      <c r="DY210" s="2583"/>
      <c r="DZ210" s="2583"/>
      <c r="EA210" s="2583"/>
      <c r="EB210" s="2583"/>
      <c r="EC210" s="2583"/>
      <c r="ED210" s="2583"/>
      <c r="EE210" s="2583"/>
      <c r="EF210" s="2583"/>
      <c r="EG210" s="2583"/>
      <c r="EH210" s="2583"/>
      <c r="EI210" s="2583"/>
      <c r="EJ210" s="2583"/>
      <c r="EK210" s="2583"/>
      <c r="EL210" s="2583"/>
      <c r="EM210" s="2583"/>
      <c r="EN210" s="2583"/>
      <c r="EO210" s="2583"/>
      <c r="EP210" s="2583"/>
      <c r="EQ210" s="2583"/>
      <c r="ER210" s="2583"/>
      <c r="ES210" s="2583"/>
      <c r="ET210" s="2583"/>
      <c r="EU210" s="2583"/>
      <c r="EV210" s="2583"/>
      <c r="EW210" s="2583"/>
      <c r="EX210" s="2583"/>
      <c r="EY210" s="2583"/>
      <c r="EZ210" s="2583"/>
      <c r="FA210" s="2583"/>
      <c r="FB210" s="2583"/>
      <c r="FC210" s="2583"/>
      <c r="FD210" s="2583"/>
      <c r="FE210" s="2583"/>
      <c r="FF210" s="2583"/>
      <c r="FG210" s="2583"/>
      <c r="FH210" s="2583"/>
      <c r="FI210" s="2583"/>
      <c r="FJ210" s="2583"/>
      <c r="FK210" s="2583"/>
      <c r="FL210" s="2583"/>
      <c r="FM210" s="2583"/>
      <c r="FN210" s="2583"/>
      <c r="FO210" s="2583"/>
      <c r="FP210" s="2583"/>
      <c r="FQ210" s="2583"/>
      <c r="FR210" s="2583"/>
      <c r="FS210" s="2583"/>
      <c r="FT210" s="2583"/>
      <c r="FU210" s="2583"/>
      <c r="FV210" s="2583"/>
      <c r="FW210" s="2583"/>
      <c r="FX210" s="2583"/>
      <c r="FY210" s="2583"/>
      <c r="FZ210" s="2583"/>
      <c r="GA210" s="2583"/>
      <c r="GB210" s="2583"/>
      <c r="GC210" s="2583"/>
      <c r="GD210" s="2583"/>
      <c r="GE210" s="2583"/>
      <c r="GF210" s="2583"/>
      <c r="GG210" s="2583"/>
      <c r="GH210" s="2583"/>
      <c r="GI210" s="2583"/>
      <c r="GJ210" s="2583"/>
      <c r="GK210" s="2583"/>
      <c r="GL210" s="2583"/>
      <c r="GM210" s="2583"/>
      <c r="GN210" s="2583"/>
      <c r="GO210" s="2583"/>
      <c r="GP210" s="2583"/>
      <c r="GQ210" s="2583"/>
      <c r="GR210" s="2583"/>
      <c r="GS210" s="2583"/>
      <c r="GT210" s="2583"/>
      <c r="GU210" s="2583"/>
      <c r="GV210" s="2583"/>
      <c r="GW210" s="2583"/>
      <c r="GX210" s="2583"/>
      <c r="GY210" s="2583"/>
      <c r="GZ210" s="2583"/>
      <c r="HA210" s="2583"/>
      <c r="HB210" s="2583"/>
      <c r="HC210" s="2583"/>
      <c r="HD210" s="2583"/>
      <c r="HE210" s="2583"/>
      <c r="HF210" s="2583"/>
      <c r="HG210" s="2583"/>
      <c r="HH210" s="2583"/>
      <c r="HI210" s="2583"/>
      <c r="HJ210" s="2583"/>
      <c r="HK210" s="2583"/>
      <c r="HL210" s="2583"/>
      <c r="HM210" s="2583"/>
      <c r="HN210" s="2583"/>
      <c r="HO210" s="2583"/>
      <c r="HP210" s="2583"/>
      <c r="HQ210" s="2583"/>
      <c r="HR210" s="2583"/>
      <c r="HS210" s="2583"/>
      <c r="HT210" s="2583"/>
      <c r="HU210" s="2583"/>
      <c r="HV210" s="2583"/>
      <c r="HW210" s="2583"/>
      <c r="HX210" s="2583"/>
      <c r="HY210" s="2583"/>
      <c r="HZ210" s="2583"/>
      <c r="IA210" s="2583"/>
      <c r="IB210" s="2583"/>
      <c r="IC210" s="2583"/>
      <c r="ID210" s="2583"/>
      <c r="IE210" s="2583"/>
      <c r="IF210" s="2583"/>
      <c r="IG210" s="2583"/>
      <c r="IH210" s="2583"/>
      <c r="II210" s="2583"/>
      <c r="IJ210" s="2583"/>
      <c r="IK210" s="2583"/>
      <c r="IL210" s="2583"/>
      <c r="IM210" s="2583"/>
      <c r="IN210" s="2583"/>
      <c r="IO210" s="2583"/>
      <c r="IP210" s="2583"/>
      <c r="IQ210" s="2583"/>
      <c r="IR210" s="2583"/>
      <c r="IS210" s="2583"/>
      <c r="IT210" s="2583"/>
      <c r="IU210" s="2583"/>
      <c r="IV210" s="2583"/>
    </row>
    <row r="211" spans="3:256">
      <c r="C211" s="2584"/>
      <c r="D211" s="2584"/>
      <c r="E211" s="2584"/>
      <c r="F211" s="2584"/>
      <c r="G211" s="2584"/>
      <c r="H211" s="2584"/>
      <c r="AC211" s="2583"/>
      <c r="AD211" s="2583"/>
      <c r="AE211" s="2583"/>
      <c r="AF211" s="2583"/>
      <c r="AG211" s="2583"/>
      <c r="AH211" s="2583"/>
      <c r="AI211" s="2583"/>
      <c r="AJ211" s="2583"/>
      <c r="AK211" s="2583"/>
      <c r="AL211" s="2583"/>
      <c r="AM211" s="2583"/>
      <c r="AN211" s="2583"/>
      <c r="AO211" s="2583"/>
      <c r="AP211" s="2583"/>
      <c r="AQ211" s="2583"/>
      <c r="AR211" s="2583"/>
      <c r="AS211" s="2583"/>
      <c r="AT211" s="2583"/>
      <c r="AU211" s="2583"/>
      <c r="AV211" s="2583"/>
      <c r="AW211" s="2583"/>
      <c r="AX211" s="2583"/>
      <c r="AY211" s="2583"/>
      <c r="AZ211" s="2583"/>
      <c r="BA211" s="2583"/>
      <c r="BB211" s="2583"/>
      <c r="BC211" s="2583"/>
      <c r="BD211" s="2583"/>
      <c r="BE211" s="2583"/>
      <c r="BF211" s="2583"/>
      <c r="BG211" s="2583"/>
      <c r="BH211" s="2583"/>
      <c r="BI211" s="2583"/>
      <c r="BJ211" s="2583"/>
      <c r="BK211" s="2583"/>
      <c r="BL211" s="2583"/>
      <c r="BM211" s="2583"/>
      <c r="BN211" s="2583"/>
      <c r="BO211" s="2583"/>
      <c r="BP211" s="2583"/>
      <c r="BQ211" s="2583"/>
      <c r="BR211" s="2583"/>
      <c r="BS211" s="2583"/>
      <c r="BT211" s="2583"/>
      <c r="BU211" s="2583"/>
      <c r="BV211" s="2583"/>
      <c r="BW211" s="2583"/>
      <c r="BX211" s="2583"/>
      <c r="BY211" s="2583"/>
      <c r="BZ211" s="2583"/>
      <c r="CA211" s="2583"/>
      <c r="CB211" s="2583"/>
      <c r="CC211" s="2583"/>
      <c r="CD211" s="2583"/>
      <c r="CE211" s="2583"/>
      <c r="CF211" s="2583"/>
      <c r="CG211" s="2583"/>
      <c r="CH211" s="2583"/>
      <c r="CI211" s="2583"/>
      <c r="CJ211" s="2583"/>
      <c r="CK211" s="2583"/>
      <c r="CL211" s="2583"/>
      <c r="CM211" s="2583"/>
      <c r="CN211" s="2583"/>
      <c r="CO211" s="2583"/>
      <c r="CP211" s="2583"/>
      <c r="CQ211" s="2583"/>
      <c r="CR211" s="2583"/>
      <c r="CS211" s="2583"/>
      <c r="CT211" s="2583"/>
      <c r="CU211" s="2583"/>
      <c r="CV211" s="2583"/>
      <c r="CW211" s="2583"/>
      <c r="CX211" s="2583"/>
      <c r="CY211" s="2583"/>
      <c r="CZ211" s="2583"/>
      <c r="DA211" s="2583"/>
      <c r="DB211" s="2583"/>
      <c r="DC211" s="2583"/>
      <c r="DD211" s="2583"/>
      <c r="DE211" s="2583"/>
      <c r="DF211" s="2583"/>
      <c r="DG211" s="2583"/>
      <c r="DH211" s="2583"/>
      <c r="DI211" s="2583"/>
      <c r="DJ211" s="2583"/>
      <c r="DK211" s="2583"/>
      <c r="DL211" s="2583"/>
      <c r="DM211" s="2583"/>
      <c r="DN211" s="2583"/>
      <c r="DO211" s="2583"/>
      <c r="DP211" s="2583"/>
      <c r="DQ211" s="2583"/>
      <c r="DR211" s="2583"/>
      <c r="DS211" s="2583"/>
      <c r="DT211" s="2583"/>
      <c r="DU211" s="2583"/>
      <c r="DV211" s="2583"/>
      <c r="DW211" s="2583"/>
      <c r="DX211" s="2583"/>
      <c r="DY211" s="2583"/>
      <c r="DZ211" s="2583"/>
      <c r="EA211" s="2583"/>
      <c r="EB211" s="2583"/>
      <c r="EC211" s="2583"/>
      <c r="ED211" s="2583"/>
      <c r="EE211" s="2583"/>
      <c r="EF211" s="2583"/>
      <c r="EG211" s="2583"/>
      <c r="EH211" s="2583"/>
      <c r="EI211" s="2583"/>
      <c r="EJ211" s="2583"/>
      <c r="EK211" s="2583"/>
      <c r="EL211" s="2583"/>
      <c r="EM211" s="2583"/>
      <c r="EN211" s="2583"/>
      <c r="EO211" s="2583"/>
      <c r="EP211" s="2583"/>
      <c r="EQ211" s="2583"/>
      <c r="ER211" s="2583"/>
      <c r="ES211" s="2583"/>
      <c r="ET211" s="2583"/>
      <c r="EU211" s="2583"/>
      <c r="EV211" s="2583"/>
      <c r="EW211" s="2583"/>
      <c r="EX211" s="2583"/>
      <c r="EY211" s="2583"/>
      <c r="EZ211" s="2583"/>
      <c r="FA211" s="2583"/>
      <c r="FB211" s="2583"/>
      <c r="FC211" s="2583"/>
      <c r="FD211" s="2583"/>
      <c r="FE211" s="2583"/>
      <c r="FF211" s="2583"/>
      <c r="FG211" s="2583"/>
      <c r="FH211" s="2583"/>
      <c r="FI211" s="2583"/>
      <c r="FJ211" s="2583"/>
      <c r="FK211" s="2583"/>
      <c r="FL211" s="2583"/>
      <c r="FM211" s="2583"/>
      <c r="FN211" s="2583"/>
      <c r="FO211" s="2583"/>
      <c r="FP211" s="2583"/>
      <c r="FQ211" s="2583"/>
      <c r="FR211" s="2583"/>
      <c r="FS211" s="2583"/>
      <c r="FT211" s="2583"/>
      <c r="FU211" s="2583"/>
      <c r="FV211" s="2583"/>
      <c r="FW211" s="2583"/>
      <c r="FX211" s="2583"/>
      <c r="FY211" s="2583"/>
      <c r="FZ211" s="2583"/>
      <c r="GA211" s="2583"/>
      <c r="GB211" s="2583"/>
      <c r="GC211" s="2583"/>
      <c r="GD211" s="2583"/>
      <c r="GE211" s="2583"/>
      <c r="GF211" s="2583"/>
      <c r="GG211" s="2583"/>
      <c r="GH211" s="2583"/>
      <c r="GI211" s="2583"/>
      <c r="GJ211" s="2583"/>
      <c r="GK211" s="2583"/>
      <c r="GL211" s="2583"/>
      <c r="GM211" s="2583"/>
      <c r="GN211" s="2583"/>
      <c r="GO211" s="2583"/>
      <c r="GP211" s="2583"/>
      <c r="GQ211" s="2583"/>
      <c r="GR211" s="2583"/>
      <c r="GS211" s="2583"/>
      <c r="GT211" s="2583"/>
      <c r="GU211" s="2583"/>
      <c r="GV211" s="2583"/>
      <c r="GW211" s="2583"/>
      <c r="GX211" s="2583"/>
      <c r="GY211" s="2583"/>
      <c r="GZ211" s="2583"/>
      <c r="HA211" s="2583"/>
      <c r="HB211" s="2583"/>
      <c r="HC211" s="2583"/>
      <c r="HD211" s="2583"/>
      <c r="HE211" s="2583"/>
      <c r="HF211" s="2583"/>
      <c r="HG211" s="2583"/>
      <c r="HH211" s="2583"/>
      <c r="HI211" s="2583"/>
      <c r="HJ211" s="2583"/>
      <c r="HK211" s="2583"/>
      <c r="HL211" s="2583"/>
      <c r="HM211" s="2583"/>
      <c r="HN211" s="2583"/>
      <c r="HO211" s="2583"/>
      <c r="HP211" s="2583"/>
      <c r="HQ211" s="2583"/>
      <c r="HR211" s="2583"/>
      <c r="HS211" s="2583"/>
      <c r="HT211" s="2583"/>
      <c r="HU211" s="2583"/>
      <c r="HV211" s="2583"/>
      <c r="HW211" s="2583"/>
      <c r="HX211" s="2583"/>
      <c r="HY211" s="2583"/>
      <c r="HZ211" s="2583"/>
      <c r="IA211" s="2583"/>
      <c r="IB211" s="2583"/>
      <c r="IC211" s="2583"/>
      <c r="ID211" s="2583"/>
      <c r="IE211" s="2583"/>
      <c r="IF211" s="2583"/>
      <c r="IG211" s="2583"/>
      <c r="IH211" s="2583"/>
      <c r="II211" s="2583"/>
      <c r="IJ211" s="2583"/>
      <c r="IK211" s="2583"/>
      <c r="IL211" s="2583"/>
      <c r="IM211" s="2583"/>
      <c r="IN211" s="2583"/>
      <c r="IO211" s="2583"/>
      <c r="IP211" s="2583"/>
      <c r="IQ211" s="2583"/>
      <c r="IR211" s="2583"/>
      <c r="IS211" s="2583"/>
      <c r="IT211" s="2583"/>
      <c r="IU211" s="2583"/>
      <c r="IV211" s="2583"/>
    </row>
    <row r="212" spans="3:256">
      <c r="C212" s="2584"/>
      <c r="D212" s="2584"/>
      <c r="E212" s="2584"/>
      <c r="F212" s="2584"/>
      <c r="G212" s="2584"/>
      <c r="H212" s="2584"/>
      <c r="AC212" s="2583"/>
      <c r="AD212" s="2583"/>
      <c r="AE212" s="2583"/>
      <c r="AF212" s="2583"/>
      <c r="AG212" s="2583"/>
      <c r="AH212" s="2583"/>
      <c r="AI212" s="2583"/>
      <c r="AJ212" s="2583"/>
      <c r="AK212" s="2583"/>
      <c r="AL212" s="2583"/>
      <c r="AM212" s="2583"/>
      <c r="AN212" s="2583"/>
      <c r="AO212" s="2583"/>
      <c r="AP212" s="2583"/>
      <c r="AQ212" s="2583"/>
      <c r="AR212" s="2583"/>
      <c r="AS212" s="2583"/>
      <c r="AT212" s="2583"/>
      <c r="AU212" s="2583"/>
      <c r="AV212" s="2583"/>
      <c r="AW212" s="2583"/>
      <c r="AX212" s="2583"/>
      <c r="AY212" s="2583"/>
      <c r="AZ212" s="2583"/>
      <c r="BA212" s="2583"/>
      <c r="BB212" s="2583"/>
      <c r="BC212" s="2583"/>
      <c r="BD212" s="2583"/>
      <c r="BE212" s="2583"/>
      <c r="BF212" s="2583"/>
      <c r="BG212" s="2583"/>
      <c r="BH212" s="2583"/>
      <c r="BI212" s="2583"/>
      <c r="BJ212" s="2583"/>
      <c r="BK212" s="2583"/>
      <c r="BL212" s="2583"/>
      <c r="BM212" s="2583"/>
      <c r="BN212" s="2583"/>
      <c r="BO212" s="2583"/>
      <c r="BP212" s="2583"/>
      <c r="BQ212" s="2583"/>
      <c r="BR212" s="2583"/>
      <c r="BS212" s="2583"/>
      <c r="BT212" s="2583"/>
      <c r="BU212" s="2583"/>
      <c r="BV212" s="2583"/>
      <c r="BW212" s="2583"/>
      <c r="BX212" s="2583"/>
      <c r="BY212" s="2583"/>
      <c r="BZ212" s="2583"/>
      <c r="CA212" s="2583"/>
      <c r="CB212" s="2583"/>
      <c r="CC212" s="2583"/>
      <c r="CD212" s="2583"/>
      <c r="CE212" s="2583"/>
      <c r="CF212" s="2583"/>
      <c r="CG212" s="2583"/>
      <c r="CH212" s="2583"/>
      <c r="CI212" s="2583"/>
      <c r="CJ212" s="2583"/>
      <c r="CK212" s="2583"/>
      <c r="CL212" s="2583"/>
      <c r="CM212" s="2583"/>
      <c r="CN212" s="2583"/>
      <c r="CO212" s="2583"/>
      <c r="CP212" s="2583"/>
      <c r="CQ212" s="2583"/>
      <c r="CR212" s="2583"/>
      <c r="CS212" s="2583"/>
      <c r="CT212" s="2583"/>
      <c r="CU212" s="2583"/>
      <c r="CV212" s="2583"/>
      <c r="CW212" s="2583"/>
      <c r="CX212" s="2583"/>
      <c r="CY212" s="2583"/>
      <c r="CZ212" s="2583"/>
      <c r="DA212" s="2583"/>
      <c r="DB212" s="2583"/>
      <c r="DC212" s="2583"/>
      <c r="DD212" s="2583"/>
      <c r="DE212" s="2583"/>
      <c r="DF212" s="2583"/>
      <c r="DG212" s="2583"/>
      <c r="DH212" s="2583"/>
      <c r="DI212" s="2583"/>
      <c r="DJ212" s="2583"/>
      <c r="DK212" s="2583"/>
      <c r="DL212" s="2583"/>
      <c r="DM212" s="2583"/>
      <c r="DN212" s="2583"/>
      <c r="DO212" s="2583"/>
      <c r="DP212" s="2583"/>
      <c r="DQ212" s="2583"/>
      <c r="DR212" s="2583"/>
      <c r="DS212" s="2583"/>
      <c r="DT212" s="2583"/>
      <c r="DU212" s="2583"/>
      <c r="DV212" s="2583"/>
      <c r="DW212" s="2583"/>
      <c r="DX212" s="2583"/>
      <c r="DY212" s="2583"/>
      <c r="DZ212" s="2583"/>
      <c r="EA212" s="2583"/>
      <c r="EB212" s="2583"/>
      <c r="EC212" s="2583"/>
      <c r="ED212" s="2583"/>
      <c r="EE212" s="2583"/>
      <c r="EF212" s="2583"/>
      <c r="EG212" s="2583"/>
      <c r="EH212" s="2583"/>
      <c r="EI212" s="2583"/>
      <c r="EJ212" s="2583"/>
      <c r="EK212" s="2583"/>
      <c r="EL212" s="2583"/>
      <c r="EM212" s="2583"/>
      <c r="EN212" s="2583"/>
      <c r="EO212" s="2583"/>
      <c r="EP212" s="2583"/>
      <c r="EQ212" s="2583"/>
      <c r="ER212" s="2583"/>
      <c r="ES212" s="2583"/>
      <c r="ET212" s="2583"/>
      <c r="EU212" s="2583"/>
      <c r="EV212" s="2583"/>
      <c r="EW212" s="2583"/>
      <c r="EX212" s="2583"/>
      <c r="EY212" s="2583"/>
      <c r="EZ212" s="2583"/>
      <c r="FA212" s="2583"/>
      <c r="FB212" s="2583"/>
      <c r="FC212" s="2583"/>
      <c r="FD212" s="2583"/>
      <c r="FE212" s="2583"/>
      <c r="FF212" s="2583"/>
      <c r="FG212" s="2583"/>
      <c r="FH212" s="2583"/>
      <c r="FI212" s="2583"/>
      <c r="FJ212" s="2583"/>
      <c r="FK212" s="2583"/>
      <c r="FL212" s="2583"/>
      <c r="FM212" s="2583"/>
      <c r="FN212" s="2583"/>
      <c r="FO212" s="2583"/>
      <c r="FP212" s="2583"/>
      <c r="FQ212" s="2583"/>
      <c r="FR212" s="2583"/>
      <c r="FS212" s="2583"/>
      <c r="FT212" s="2583"/>
      <c r="FU212" s="2583"/>
      <c r="FV212" s="2583"/>
      <c r="FW212" s="2583"/>
      <c r="FX212" s="2583"/>
      <c r="FY212" s="2583"/>
      <c r="FZ212" s="2583"/>
      <c r="GA212" s="2583"/>
      <c r="GB212" s="2583"/>
      <c r="GC212" s="2583"/>
      <c r="GD212" s="2583"/>
      <c r="GE212" s="2583"/>
      <c r="GF212" s="2583"/>
      <c r="GG212" s="2583"/>
      <c r="GH212" s="2583"/>
      <c r="GI212" s="2583"/>
      <c r="GJ212" s="2583"/>
      <c r="GK212" s="2583"/>
      <c r="GL212" s="2583"/>
      <c r="GM212" s="2583"/>
      <c r="GN212" s="2583"/>
      <c r="GO212" s="2583"/>
      <c r="GP212" s="2583"/>
      <c r="GQ212" s="2583"/>
      <c r="GR212" s="2583"/>
      <c r="GS212" s="2583"/>
      <c r="GT212" s="2583"/>
      <c r="GU212" s="2583"/>
      <c r="GV212" s="2583"/>
      <c r="GW212" s="2583"/>
      <c r="GX212" s="2583"/>
      <c r="GY212" s="2583"/>
      <c r="GZ212" s="2583"/>
      <c r="HA212" s="2583"/>
      <c r="HB212" s="2583"/>
      <c r="HC212" s="2583"/>
      <c r="HD212" s="2583"/>
      <c r="HE212" s="2583"/>
      <c r="HF212" s="2583"/>
      <c r="HG212" s="2583"/>
      <c r="HH212" s="2583"/>
      <c r="HI212" s="2583"/>
      <c r="HJ212" s="2583"/>
      <c r="HK212" s="2583"/>
      <c r="HL212" s="2583"/>
      <c r="HM212" s="2583"/>
      <c r="HN212" s="2583"/>
      <c r="HO212" s="2583"/>
      <c r="HP212" s="2583"/>
      <c r="HQ212" s="2583"/>
      <c r="HR212" s="2583"/>
      <c r="HS212" s="2583"/>
      <c r="HT212" s="2583"/>
      <c r="HU212" s="2583"/>
      <c r="HV212" s="2583"/>
      <c r="HW212" s="2583"/>
      <c r="HX212" s="2583"/>
      <c r="HY212" s="2583"/>
      <c r="HZ212" s="2583"/>
      <c r="IA212" s="2583"/>
      <c r="IB212" s="2583"/>
      <c r="IC212" s="2583"/>
      <c r="ID212" s="2583"/>
      <c r="IE212" s="2583"/>
      <c r="IF212" s="2583"/>
      <c r="IG212" s="2583"/>
      <c r="IH212" s="2583"/>
      <c r="II212" s="2583"/>
      <c r="IJ212" s="2583"/>
      <c r="IK212" s="2583"/>
      <c r="IL212" s="2583"/>
      <c r="IM212" s="2583"/>
      <c r="IN212" s="2583"/>
      <c r="IO212" s="2583"/>
      <c r="IP212" s="2583"/>
      <c r="IQ212" s="2583"/>
      <c r="IR212" s="2583"/>
      <c r="IS212" s="2583"/>
      <c r="IT212" s="2583"/>
      <c r="IU212" s="2583"/>
      <c r="IV212" s="2583"/>
    </row>
    <row r="213" spans="3:256">
      <c r="C213" s="2584"/>
      <c r="D213" s="2584"/>
      <c r="E213" s="2584"/>
      <c r="F213" s="2584"/>
      <c r="G213" s="2584"/>
      <c r="H213" s="2584"/>
      <c r="AC213" s="2583"/>
      <c r="AD213" s="2583"/>
      <c r="AE213" s="2583"/>
      <c r="AF213" s="2583"/>
      <c r="AG213" s="2583"/>
      <c r="AH213" s="2583"/>
      <c r="AI213" s="2583"/>
      <c r="AJ213" s="2583"/>
      <c r="AK213" s="2583"/>
      <c r="AL213" s="2583"/>
      <c r="AM213" s="2583"/>
      <c r="AN213" s="2583"/>
      <c r="AO213" s="2583"/>
      <c r="AP213" s="2583"/>
      <c r="AQ213" s="2583"/>
      <c r="AR213" s="2583"/>
      <c r="AS213" s="2583"/>
      <c r="AT213" s="2583"/>
      <c r="AU213" s="2583"/>
      <c r="AV213" s="2583"/>
      <c r="AW213" s="2583"/>
      <c r="AX213" s="2583"/>
      <c r="AY213" s="2583"/>
      <c r="AZ213" s="2583"/>
      <c r="BA213" s="2583"/>
      <c r="BB213" s="2583"/>
      <c r="BC213" s="2583"/>
      <c r="BD213" s="2583"/>
      <c r="BE213" s="2583"/>
      <c r="BF213" s="2583"/>
      <c r="BG213" s="2583"/>
      <c r="BH213" s="2583"/>
      <c r="BI213" s="2583"/>
      <c r="BJ213" s="2583"/>
      <c r="BK213" s="2583"/>
      <c r="BL213" s="2583"/>
      <c r="BM213" s="2583"/>
      <c r="BN213" s="2583"/>
      <c r="BO213" s="2583"/>
      <c r="BP213" s="2583"/>
      <c r="BQ213" s="2583"/>
      <c r="BR213" s="2583"/>
      <c r="BS213" s="2583"/>
      <c r="BT213" s="2583"/>
      <c r="BU213" s="2583"/>
      <c r="BV213" s="2583"/>
      <c r="BW213" s="2583"/>
      <c r="BX213" s="2583"/>
      <c r="BY213" s="2583"/>
      <c r="BZ213" s="2583"/>
      <c r="CA213" s="2583"/>
      <c r="CB213" s="2583"/>
      <c r="CC213" s="2583"/>
      <c r="CD213" s="2583"/>
      <c r="CE213" s="2583"/>
      <c r="CF213" s="2583"/>
      <c r="CG213" s="2583"/>
      <c r="CH213" s="2583"/>
      <c r="CI213" s="2583"/>
      <c r="CJ213" s="2583"/>
      <c r="CK213" s="2583"/>
      <c r="CL213" s="2583"/>
      <c r="CM213" s="2583"/>
      <c r="CN213" s="2583"/>
      <c r="CO213" s="2583"/>
      <c r="CP213" s="2583"/>
      <c r="CQ213" s="2583"/>
      <c r="CR213" s="2583"/>
      <c r="CS213" s="2583"/>
      <c r="CT213" s="2583"/>
      <c r="CU213" s="2583"/>
      <c r="CV213" s="2583"/>
      <c r="CW213" s="2583"/>
      <c r="CX213" s="2583"/>
      <c r="CY213" s="2583"/>
      <c r="CZ213" s="2583"/>
      <c r="DA213" s="2583"/>
      <c r="DB213" s="2583"/>
      <c r="DC213" s="2583"/>
      <c r="DD213" s="2583"/>
      <c r="DE213" s="2583"/>
      <c r="DF213" s="2583"/>
      <c r="DG213" s="2583"/>
      <c r="DH213" s="2583"/>
      <c r="DI213" s="2583"/>
      <c r="DJ213" s="2583"/>
      <c r="DK213" s="2583"/>
      <c r="DL213" s="2583"/>
      <c r="DM213" s="2583"/>
      <c r="DN213" s="2583"/>
      <c r="DO213" s="2583"/>
      <c r="DP213" s="2583"/>
      <c r="DQ213" s="2583"/>
      <c r="DR213" s="2583"/>
      <c r="DS213" s="2583"/>
      <c r="DT213" s="2583"/>
      <c r="DU213" s="2583"/>
      <c r="DV213" s="2583"/>
      <c r="DW213" s="2583"/>
      <c r="DX213" s="2583"/>
      <c r="DY213" s="2583"/>
      <c r="DZ213" s="2583"/>
      <c r="EA213" s="2583"/>
      <c r="EB213" s="2583"/>
      <c r="EC213" s="2583"/>
      <c r="ED213" s="2583"/>
      <c r="EE213" s="2583"/>
      <c r="EF213" s="2583"/>
      <c r="EG213" s="2583"/>
      <c r="EH213" s="2583"/>
      <c r="EI213" s="2583"/>
      <c r="EJ213" s="2583"/>
      <c r="EK213" s="2583"/>
      <c r="EL213" s="2583"/>
      <c r="EM213" s="2583"/>
      <c r="EN213" s="2583"/>
      <c r="EO213" s="2583"/>
      <c r="EP213" s="2583"/>
      <c r="EQ213" s="2583"/>
      <c r="ER213" s="2583"/>
      <c r="ES213" s="2583"/>
      <c r="ET213" s="2583"/>
      <c r="EU213" s="2583"/>
      <c r="EV213" s="2583"/>
      <c r="EW213" s="2583"/>
      <c r="EX213" s="2583"/>
      <c r="EY213" s="2583"/>
      <c r="EZ213" s="2583"/>
      <c r="FA213" s="2583"/>
      <c r="FB213" s="2583"/>
      <c r="FC213" s="2583"/>
      <c r="FD213" s="2583"/>
      <c r="FE213" s="2583"/>
      <c r="FF213" s="2583"/>
      <c r="FG213" s="2583"/>
      <c r="FH213" s="2583"/>
      <c r="FI213" s="2583"/>
      <c r="FJ213" s="2583"/>
      <c r="FK213" s="2583"/>
      <c r="FL213" s="2583"/>
      <c r="FM213" s="2583"/>
      <c r="FN213" s="2583"/>
      <c r="FO213" s="2583"/>
      <c r="FP213" s="2583"/>
      <c r="FQ213" s="2583"/>
      <c r="FR213" s="2583"/>
      <c r="FS213" s="2583"/>
      <c r="FT213" s="2583"/>
      <c r="FU213" s="2583"/>
      <c r="FV213" s="2583"/>
      <c r="FW213" s="2583"/>
      <c r="FX213" s="2583"/>
      <c r="FY213" s="2583"/>
      <c r="FZ213" s="2583"/>
      <c r="GA213" s="2583"/>
      <c r="GB213" s="2583"/>
      <c r="GC213" s="2583"/>
      <c r="GD213" s="2583"/>
      <c r="GE213" s="2583"/>
      <c r="GF213" s="2583"/>
      <c r="GG213" s="2583"/>
      <c r="GH213" s="2583"/>
      <c r="GI213" s="2583"/>
      <c r="GJ213" s="2583"/>
      <c r="GK213" s="2583"/>
      <c r="GL213" s="2583"/>
      <c r="GM213" s="2583"/>
      <c r="GN213" s="2583"/>
      <c r="GO213" s="2583"/>
      <c r="GP213" s="2583"/>
      <c r="GQ213" s="2583"/>
      <c r="GR213" s="2583"/>
      <c r="GS213" s="2583"/>
      <c r="GT213" s="2583"/>
      <c r="GU213" s="2583"/>
      <c r="GV213" s="2583"/>
      <c r="GW213" s="2583"/>
      <c r="GX213" s="2583"/>
      <c r="GY213" s="2583"/>
      <c r="GZ213" s="2583"/>
      <c r="HA213" s="2583"/>
      <c r="HB213" s="2583"/>
      <c r="HC213" s="2583"/>
      <c r="HD213" s="2583"/>
      <c r="HE213" s="2583"/>
      <c r="HF213" s="2583"/>
      <c r="HG213" s="2583"/>
      <c r="HH213" s="2583"/>
      <c r="HI213" s="2583"/>
      <c r="HJ213" s="2583"/>
      <c r="HK213" s="2583"/>
      <c r="HL213" s="2583"/>
      <c r="HM213" s="2583"/>
      <c r="HN213" s="2583"/>
      <c r="HO213" s="2583"/>
      <c r="HP213" s="2583"/>
      <c r="HQ213" s="2583"/>
      <c r="HR213" s="2583"/>
      <c r="HS213" s="2583"/>
      <c r="HT213" s="2583"/>
      <c r="HU213" s="2583"/>
      <c r="HV213" s="2583"/>
      <c r="HW213" s="2583"/>
      <c r="HX213" s="2583"/>
      <c r="HY213" s="2583"/>
      <c r="HZ213" s="2583"/>
      <c r="IA213" s="2583"/>
      <c r="IB213" s="2583"/>
      <c r="IC213" s="2583"/>
      <c r="ID213" s="2583"/>
      <c r="IE213" s="2583"/>
      <c r="IF213" s="2583"/>
      <c r="IG213" s="2583"/>
      <c r="IH213" s="2583"/>
      <c r="II213" s="2583"/>
      <c r="IJ213" s="2583"/>
      <c r="IK213" s="2583"/>
      <c r="IL213" s="2583"/>
      <c r="IM213" s="2583"/>
      <c r="IN213" s="2583"/>
      <c r="IO213" s="2583"/>
      <c r="IP213" s="2583"/>
      <c r="IQ213" s="2583"/>
      <c r="IR213" s="2583"/>
      <c r="IS213" s="2583"/>
      <c r="IT213" s="2583"/>
      <c r="IU213" s="2583"/>
      <c r="IV213" s="2583"/>
    </row>
    <row r="214" spans="3:256">
      <c r="C214" s="2584"/>
      <c r="D214" s="2584"/>
      <c r="E214" s="2584"/>
      <c r="F214" s="2584"/>
      <c r="G214" s="2584"/>
      <c r="H214" s="2584"/>
      <c r="AC214" s="2583"/>
      <c r="AD214" s="2583"/>
      <c r="AE214" s="2583"/>
      <c r="AF214" s="2583"/>
      <c r="AG214" s="2583"/>
      <c r="AH214" s="2583"/>
      <c r="AI214" s="2583"/>
      <c r="AJ214" s="2583"/>
      <c r="AK214" s="2583"/>
      <c r="AL214" s="2583"/>
      <c r="AM214" s="2583"/>
      <c r="AN214" s="2583"/>
      <c r="AO214" s="2583"/>
      <c r="AP214" s="2583"/>
      <c r="AQ214" s="2583"/>
      <c r="AR214" s="2583"/>
      <c r="AS214" s="2583"/>
      <c r="AT214" s="2583"/>
      <c r="AU214" s="2583"/>
      <c r="AV214" s="2583"/>
      <c r="AW214" s="2583"/>
      <c r="AX214" s="2583"/>
      <c r="AY214" s="2583"/>
      <c r="AZ214" s="2583"/>
      <c r="BA214" s="2583"/>
      <c r="BB214" s="2583"/>
      <c r="BC214" s="2583"/>
      <c r="BD214" s="2583"/>
      <c r="BE214" s="2583"/>
      <c r="BF214" s="2583"/>
      <c r="BG214" s="2583"/>
      <c r="BH214" s="2583"/>
      <c r="BI214" s="2583"/>
      <c r="BJ214" s="2583"/>
      <c r="BK214" s="2583"/>
      <c r="BL214" s="2583"/>
      <c r="BM214" s="2583"/>
      <c r="BN214" s="2583"/>
      <c r="BO214" s="2583"/>
      <c r="BP214" s="2583"/>
      <c r="BQ214" s="2583"/>
      <c r="BR214" s="2583"/>
      <c r="BS214" s="2583"/>
      <c r="BT214" s="2583"/>
      <c r="BU214" s="2583"/>
      <c r="BV214" s="2583"/>
      <c r="BW214" s="2583"/>
      <c r="BX214" s="2583"/>
      <c r="BY214" s="2583"/>
      <c r="BZ214" s="2583"/>
      <c r="CA214" s="2583"/>
      <c r="CB214" s="2583"/>
      <c r="CC214" s="2583"/>
      <c r="CD214" s="2583"/>
      <c r="CE214" s="2583"/>
      <c r="CF214" s="2583"/>
      <c r="CG214" s="2583"/>
      <c r="CH214" s="2583"/>
      <c r="CI214" s="2583"/>
      <c r="CJ214" s="2583"/>
      <c r="CK214" s="2583"/>
      <c r="CL214" s="2583"/>
      <c r="CM214" s="2583"/>
      <c r="CN214" s="2583"/>
      <c r="CO214" s="2583"/>
      <c r="CP214" s="2583"/>
      <c r="CQ214" s="2583"/>
      <c r="CR214" s="2583"/>
      <c r="CS214" s="2583"/>
      <c r="CT214" s="2583"/>
      <c r="CU214" s="2583"/>
      <c r="CV214" s="2583"/>
      <c r="CW214" s="2583"/>
      <c r="CX214" s="2583"/>
      <c r="CY214" s="2583"/>
      <c r="CZ214" s="2583"/>
      <c r="DA214" s="2583"/>
      <c r="DB214" s="2583"/>
      <c r="DC214" s="2583"/>
      <c r="DD214" s="2583"/>
      <c r="DE214" s="2583"/>
      <c r="DF214" s="2583"/>
      <c r="DG214" s="2583"/>
      <c r="DH214" s="2583"/>
      <c r="DI214" s="2583"/>
      <c r="DJ214" s="2583"/>
      <c r="DK214" s="2583"/>
      <c r="DL214" s="2583"/>
      <c r="DM214" s="2583"/>
      <c r="DN214" s="2583"/>
      <c r="DO214" s="2583"/>
      <c r="DP214" s="2583"/>
      <c r="DQ214" s="2583"/>
      <c r="DR214" s="2583"/>
      <c r="DS214" s="2583"/>
      <c r="DT214" s="2583"/>
      <c r="DU214" s="2583"/>
      <c r="DV214" s="2583"/>
      <c r="DW214" s="2583"/>
      <c r="DX214" s="2583"/>
      <c r="DY214" s="2583"/>
      <c r="DZ214" s="2583"/>
      <c r="EA214" s="2583"/>
      <c r="EB214" s="2583"/>
      <c r="EC214" s="2583"/>
      <c r="ED214" s="2583"/>
      <c r="EE214" s="2583"/>
      <c r="EF214" s="2583"/>
      <c r="EG214" s="2583"/>
      <c r="EH214" s="2583"/>
      <c r="EI214" s="2583"/>
      <c r="EJ214" s="2583"/>
      <c r="EK214" s="2583"/>
      <c r="EL214" s="2583"/>
      <c r="EM214" s="2583"/>
      <c r="EN214" s="2583"/>
      <c r="EO214" s="2583"/>
      <c r="EP214" s="2583"/>
      <c r="EQ214" s="2583"/>
      <c r="ER214" s="2583"/>
      <c r="ES214" s="2583"/>
      <c r="ET214" s="2583"/>
      <c r="EU214" s="2583"/>
      <c r="EV214" s="2583"/>
      <c r="EW214" s="2583"/>
      <c r="EX214" s="2583"/>
      <c r="EY214" s="2583"/>
      <c r="EZ214" s="2583"/>
      <c r="FA214" s="2583"/>
      <c r="FB214" s="2583"/>
      <c r="FC214" s="2583"/>
      <c r="FD214" s="2583"/>
      <c r="FE214" s="2583"/>
      <c r="FF214" s="2583"/>
      <c r="FG214" s="2583"/>
      <c r="FH214" s="2583"/>
      <c r="FI214" s="2583"/>
      <c r="FJ214" s="2583"/>
      <c r="FK214" s="2583"/>
      <c r="FL214" s="2583"/>
      <c r="FM214" s="2583"/>
      <c r="FN214" s="2583"/>
      <c r="FO214" s="2583"/>
      <c r="FP214" s="2583"/>
      <c r="FQ214" s="2583"/>
      <c r="FR214" s="2583"/>
      <c r="FS214" s="2583"/>
      <c r="FT214" s="2583"/>
      <c r="FU214" s="2583"/>
      <c r="FV214" s="2583"/>
      <c r="FW214" s="2583"/>
      <c r="FX214" s="2583"/>
      <c r="FY214" s="2583"/>
      <c r="FZ214" s="2583"/>
      <c r="GA214" s="2583"/>
      <c r="GB214" s="2583"/>
      <c r="GC214" s="2583"/>
      <c r="GD214" s="2583"/>
      <c r="GE214" s="2583"/>
      <c r="GF214" s="2583"/>
      <c r="GG214" s="2583"/>
      <c r="GH214" s="2583"/>
      <c r="GI214" s="2583"/>
      <c r="GJ214" s="2583"/>
      <c r="GK214" s="2583"/>
      <c r="GL214" s="2583"/>
      <c r="GM214" s="2583"/>
      <c r="GN214" s="2583"/>
      <c r="GO214" s="2583"/>
      <c r="GP214" s="2583"/>
      <c r="GQ214" s="2583"/>
      <c r="GR214" s="2583"/>
      <c r="GS214" s="2583"/>
      <c r="GT214" s="2583"/>
      <c r="GU214" s="2583"/>
      <c r="GV214" s="2583"/>
      <c r="GW214" s="2583"/>
      <c r="GX214" s="2583"/>
      <c r="GY214" s="2583"/>
      <c r="GZ214" s="2583"/>
      <c r="HA214" s="2583"/>
      <c r="HB214" s="2583"/>
      <c r="HC214" s="2583"/>
      <c r="HD214" s="2583"/>
      <c r="HE214" s="2583"/>
      <c r="HF214" s="2583"/>
      <c r="HG214" s="2583"/>
      <c r="HH214" s="2583"/>
      <c r="HI214" s="2583"/>
      <c r="HJ214" s="2583"/>
      <c r="HK214" s="2583"/>
      <c r="HL214" s="2583"/>
      <c r="HM214" s="2583"/>
      <c r="HN214" s="2583"/>
      <c r="HO214" s="2583"/>
      <c r="HP214" s="2583"/>
      <c r="HQ214" s="2583"/>
      <c r="HR214" s="2583"/>
      <c r="HS214" s="2583"/>
      <c r="HT214" s="2583"/>
      <c r="HU214" s="2583"/>
      <c r="HV214" s="2583"/>
      <c r="HW214" s="2583"/>
      <c r="HX214" s="2583"/>
      <c r="HY214" s="2583"/>
      <c r="HZ214" s="2583"/>
      <c r="IA214" s="2583"/>
      <c r="IB214" s="2583"/>
      <c r="IC214" s="2583"/>
      <c r="ID214" s="2583"/>
      <c r="IE214" s="2583"/>
      <c r="IF214" s="2583"/>
      <c r="IG214" s="2583"/>
      <c r="IH214" s="2583"/>
      <c r="II214" s="2583"/>
      <c r="IJ214" s="2583"/>
      <c r="IK214" s="2583"/>
      <c r="IL214" s="2583"/>
      <c r="IM214" s="2583"/>
      <c r="IN214" s="2583"/>
      <c r="IO214" s="2583"/>
      <c r="IP214" s="2583"/>
      <c r="IQ214" s="2583"/>
      <c r="IR214" s="2583"/>
      <c r="IS214" s="2583"/>
      <c r="IT214" s="2583"/>
      <c r="IU214" s="2583"/>
      <c r="IV214" s="2583"/>
    </row>
    <row r="215" spans="3:256">
      <c r="C215" s="2584"/>
      <c r="D215" s="2584"/>
      <c r="E215" s="2584"/>
      <c r="F215" s="2584"/>
      <c r="G215" s="2584"/>
      <c r="H215" s="2584"/>
      <c r="AC215" s="2583"/>
      <c r="AD215" s="2583"/>
      <c r="AE215" s="2583"/>
      <c r="AF215" s="2583"/>
      <c r="AG215" s="2583"/>
      <c r="AH215" s="2583"/>
      <c r="AI215" s="2583"/>
      <c r="AJ215" s="2583"/>
      <c r="AK215" s="2583"/>
      <c r="AL215" s="2583"/>
      <c r="AM215" s="2583"/>
      <c r="AN215" s="2583"/>
      <c r="AO215" s="2583"/>
      <c r="AP215" s="2583"/>
      <c r="AQ215" s="2583"/>
      <c r="AR215" s="2583"/>
      <c r="AS215" s="2583"/>
      <c r="AT215" s="2583"/>
      <c r="AU215" s="2583"/>
      <c r="AV215" s="2583"/>
      <c r="AW215" s="2583"/>
      <c r="AX215" s="2583"/>
      <c r="AY215" s="2583"/>
      <c r="AZ215" s="2583"/>
      <c r="BA215" s="2583"/>
      <c r="BB215" s="2583"/>
      <c r="BC215" s="2583"/>
      <c r="BD215" s="2583"/>
      <c r="BE215" s="2583"/>
      <c r="BF215" s="2583"/>
      <c r="BG215" s="2583"/>
      <c r="BH215" s="2583"/>
      <c r="BI215" s="2583"/>
      <c r="BJ215" s="2583"/>
      <c r="BK215" s="2583"/>
      <c r="BL215" s="2583"/>
      <c r="BM215" s="2583"/>
      <c r="BN215" s="2583"/>
      <c r="BO215" s="2583"/>
      <c r="BP215" s="2583"/>
      <c r="BQ215" s="2583"/>
      <c r="BR215" s="2583"/>
      <c r="BS215" s="2583"/>
      <c r="BT215" s="2583"/>
      <c r="BU215" s="2583"/>
      <c r="BV215" s="2583"/>
      <c r="BW215" s="2583"/>
      <c r="BX215" s="2583"/>
      <c r="BY215" s="2583"/>
      <c r="BZ215" s="2583"/>
      <c r="CA215" s="2583"/>
      <c r="CB215" s="2583"/>
      <c r="CC215" s="2583"/>
      <c r="CD215" s="2583"/>
      <c r="CE215" s="2583"/>
      <c r="CF215" s="2583"/>
      <c r="CG215" s="2583"/>
      <c r="CH215" s="2583"/>
      <c r="CI215" s="2583"/>
      <c r="CJ215" s="2583"/>
      <c r="CK215" s="2583"/>
      <c r="CL215" s="2583"/>
      <c r="CM215" s="2583"/>
      <c r="CN215" s="2583"/>
      <c r="CO215" s="2583"/>
      <c r="CP215" s="2583"/>
      <c r="CQ215" s="2583"/>
      <c r="CR215" s="2583"/>
      <c r="CS215" s="2583"/>
      <c r="CT215" s="2583"/>
      <c r="CU215" s="2583"/>
      <c r="CV215" s="2583"/>
      <c r="CW215" s="2583"/>
      <c r="CX215" s="2583"/>
      <c r="CY215" s="2583"/>
      <c r="CZ215" s="2583"/>
      <c r="DA215" s="2583"/>
      <c r="DB215" s="2583"/>
      <c r="DC215" s="2583"/>
      <c r="DD215" s="2583"/>
      <c r="DE215" s="2583"/>
      <c r="DF215" s="2583"/>
      <c r="DG215" s="2583"/>
      <c r="DH215" s="2583"/>
      <c r="DI215" s="2583"/>
      <c r="DJ215" s="2583"/>
      <c r="DK215" s="2583"/>
      <c r="DL215" s="2583"/>
      <c r="DM215" s="2583"/>
      <c r="DN215" s="2583"/>
      <c r="DO215" s="2583"/>
      <c r="DP215" s="2583"/>
      <c r="DQ215" s="2583"/>
      <c r="DR215" s="2583"/>
      <c r="DS215" s="2583"/>
      <c r="DT215" s="2583"/>
      <c r="DU215" s="2583"/>
      <c r="DV215" s="2583"/>
      <c r="DW215" s="2583"/>
      <c r="DX215" s="2583"/>
      <c r="DY215" s="2583"/>
      <c r="DZ215" s="2583"/>
      <c r="EA215" s="2583"/>
      <c r="EB215" s="2583"/>
      <c r="EC215" s="2583"/>
      <c r="ED215" s="2583"/>
      <c r="EE215" s="2583"/>
      <c r="EF215" s="2583"/>
      <c r="EG215" s="2583"/>
      <c r="EH215" s="2583"/>
      <c r="EI215" s="2583"/>
      <c r="EJ215" s="2583"/>
      <c r="EK215" s="2583"/>
      <c r="EL215" s="2583"/>
      <c r="EM215" s="2583"/>
      <c r="EN215" s="2583"/>
      <c r="EO215" s="2583"/>
      <c r="EP215" s="2583"/>
      <c r="EQ215" s="2583"/>
      <c r="ER215" s="2583"/>
      <c r="ES215" s="2583"/>
      <c r="ET215" s="2583"/>
      <c r="EU215" s="2583"/>
      <c r="EV215" s="2583"/>
      <c r="EW215" s="2583"/>
      <c r="EX215" s="2583"/>
      <c r="EY215" s="2583"/>
      <c r="EZ215" s="2583"/>
      <c r="FA215" s="2583"/>
      <c r="FB215" s="2583"/>
      <c r="FC215" s="2583"/>
      <c r="FD215" s="2583"/>
      <c r="FE215" s="2583"/>
      <c r="FF215" s="2583"/>
      <c r="FG215" s="2583"/>
      <c r="FH215" s="2583"/>
      <c r="FI215" s="2583"/>
      <c r="FJ215" s="2583"/>
      <c r="FK215" s="2583"/>
      <c r="FL215" s="2583"/>
      <c r="FM215" s="2583"/>
      <c r="FN215" s="2583"/>
      <c r="FO215" s="2583"/>
      <c r="FP215" s="2583"/>
      <c r="FQ215" s="2583"/>
      <c r="FR215" s="2583"/>
      <c r="FS215" s="2583"/>
      <c r="FT215" s="2583"/>
      <c r="FU215" s="2583"/>
      <c r="FV215" s="2583"/>
      <c r="FW215" s="2583"/>
      <c r="FX215" s="2583"/>
      <c r="FY215" s="2583"/>
      <c r="FZ215" s="2583"/>
      <c r="GA215" s="2583"/>
      <c r="GB215" s="2583"/>
      <c r="GC215" s="2583"/>
      <c r="GD215" s="2583"/>
      <c r="GE215" s="2583"/>
      <c r="GF215" s="2583"/>
      <c r="GG215" s="2583"/>
      <c r="GH215" s="2583"/>
      <c r="GI215" s="2583"/>
      <c r="GJ215" s="2583"/>
      <c r="GK215" s="2583"/>
      <c r="GL215" s="2583"/>
      <c r="GM215" s="2583"/>
      <c r="GN215" s="2583"/>
      <c r="GO215" s="2583"/>
      <c r="GP215" s="2583"/>
      <c r="GQ215" s="2583"/>
      <c r="GR215" s="2583"/>
      <c r="GS215" s="2583"/>
      <c r="GT215" s="2583"/>
      <c r="GU215" s="2583"/>
      <c r="GV215" s="2583"/>
      <c r="GW215" s="2583"/>
      <c r="GX215" s="2583"/>
      <c r="GY215" s="2583"/>
      <c r="GZ215" s="2583"/>
      <c r="HA215" s="2583"/>
      <c r="HB215" s="2583"/>
      <c r="HC215" s="2583"/>
      <c r="HD215" s="2583"/>
      <c r="HE215" s="2583"/>
      <c r="HF215" s="2583"/>
      <c r="HG215" s="2583"/>
      <c r="HH215" s="2583"/>
      <c r="HI215" s="2583"/>
      <c r="HJ215" s="2583"/>
      <c r="HK215" s="2583"/>
      <c r="HL215" s="2583"/>
      <c r="HM215" s="2583"/>
      <c r="HN215" s="2583"/>
      <c r="HO215" s="2583"/>
      <c r="HP215" s="2583"/>
      <c r="HQ215" s="2583"/>
      <c r="HR215" s="2583"/>
      <c r="HS215" s="2583"/>
      <c r="HT215" s="2583"/>
      <c r="HU215" s="2583"/>
      <c r="HV215" s="2583"/>
      <c r="HW215" s="2583"/>
      <c r="HX215" s="2583"/>
      <c r="HY215" s="2583"/>
      <c r="HZ215" s="2583"/>
      <c r="IA215" s="2583"/>
      <c r="IB215" s="2583"/>
      <c r="IC215" s="2583"/>
      <c r="ID215" s="2583"/>
      <c r="IE215" s="2583"/>
      <c r="IF215" s="2583"/>
      <c r="IG215" s="2583"/>
      <c r="IH215" s="2583"/>
      <c r="II215" s="2583"/>
      <c r="IJ215" s="2583"/>
      <c r="IK215" s="2583"/>
      <c r="IL215" s="2583"/>
      <c r="IM215" s="2583"/>
      <c r="IN215" s="2583"/>
      <c r="IO215" s="2583"/>
      <c r="IP215" s="2583"/>
      <c r="IQ215" s="2583"/>
      <c r="IR215" s="2583"/>
      <c r="IS215" s="2583"/>
      <c r="IT215" s="2583"/>
      <c r="IU215" s="2583"/>
      <c r="IV215" s="2583"/>
    </row>
    <row r="216" spans="3:256">
      <c r="C216" s="2584"/>
      <c r="D216" s="2584"/>
      <c r="E216" s="2584"/>
      <c r="F216" s="2584"/>
      <c r="G216" s="2584"/>
      <c r="H216" s="2584"/>
      <c r="AC216" s="2583"/>
      <c r="AD216" s="2583"/>
      <c r="AE216" s="2583"/>
      <c r="AF216" s="2583"/>
      <c r="AG216" s="2583"/>
      <c r="AH216" s="2583"/>
      <c r="AI216" s="2583"/>
      <c r="AJ216" s="2583"/>
      <c r="AK216" s="2583"/>
      <c r="AL216" s="2583"/>
      <c r="AM216" s="2583"/>
      <c r="AN216" s="2583"/>
      <c r="AO216" s="2583"/>
      <c r="AP216" s="2583"/>
      <c r="AQ216" s="2583"/>
      <c r="AR216" s="2583"/>
      <c r="AS216" s="2583"/>
      <c r="AT216" s="2583"/>
      <c r="AU216" s="2583"/>
      <c r="AV216" s="2583"/>
      <c r="AW216" s="2583"/>
      <c r="AX216" s="2583"/>
      <c r="AY216" s="2583"/>
      <c r="AZ216" s="2583"/>
      <c r="BA216" s="2583"/>
      <c r="BB216" s="2583"/>
      <c r="BC216" s="2583"/>
      <c r="BD216" s="2583"/>
      <c r="BE216" s="2583"/>
      <c r="BF216" s="2583"/>
      <c r="BG216" s="2583"/>
      <c r="BH216" s="2583"/>
      <c r="BI216" s="2583"/>
      <c r="BJ216" s="2583"/>
      <c r="BK216" s="2583"/>
      <c r="BL216" s="2583"/>
      <c r="BM216" s="2583"/>
      <c r="BN216" s="2583"/>
      <c r="BO216" s="2583"/>
      <c r="BP216" s="2583"/>
      <c r="BQ216" s="2583"/>
      <c r="BR216" s="2583"/>
      <c r="BS216" s="2583"/>
      <c r="BT216" s="2583"/>
      <c r="BU216" s="2583"/>
      <c r="BV216" s="2583"/>
      <c r="BW216" s="2583"/>
      <c r="BX216" s="2583"/>
      <c r="BY216" s="2583"/>
      <c r="BZ216" s="2583"/>
      <c r="CA216" s="2583"/>
      <c r="CB216" s="2583"/>
      <c r="CC216" s="2583"/>
      <c r="CD216" s="2583"/>
      <c r="CE216" s="2583"/>
      <c r="CF216" s="2583"/>
      <c r="CG216" s="2583"/>
      <c r="CH216" s="2583"/>
      <c r="CI216" s="2583"/>
      <c r="CJ216" s="2583"/>
      <c r="CK216" s="2583"/>
      <c r="CL216" s="2583"/>
      <c r="CM216" s="2583"/>
      <c r="CN216" s="2583"/>
      <c r="CO216" s="2583"/>
      <c r="CP216" s="2583"/>
      <c r="CQ216" s="2583"/>
      <c r="CR216" s="2583"/>
      <c r="CS216" s="2583"/>
      <c r="CT216" s="2583"/>
      <c r="CU216" s="2583"/>
      <c r="CV216" s="2583"/>
      <c r="CW216" s="2583"/>
      <c r="CX216" s="2583"/>
      <c r="CY216" s="2583"/>
      <c r="CZ216" s="2583"/>
      <c r="DA216" s="2583"/>
      <c r="DB216" s="2583"/>
      <c r="DC216" s="2583"/>
      <c r="DD216" s="2583"/>
      <c r="DE216" s="2583"/>
      <c r="DF216" s="2583"/>
      <c r="DG216" s="2583"/>
      <c r="DH216" s="2583"/>
      <c r="DI216" s="2583"/>
      <c r="DJ216" s="2583"/>
      <c r="DK216" s="2583"/>
      <c r="DL216" s="2583"/>
      <c r="DM216" s="2583"/>
      <c r="DN216" s="2583"/>
      <c r="DO216" s="2583"/>
      <c r="DP216" s="2583"/>
      <c r="DQ216" s="2583"/>
      <c r="DR216" s="2583"/>
      <c r="DS216" s="2583"/>
      <c r="DT216" s="2583"/>
      <c r="DU216" s="2583"/>
      <c r="DV216" s="2583"/>
      <c r="DW216" s="2583"/>
      <c r="DX216" s="2583"/>
      <c r="DY216" s="2583"/>
      <c r="DZ216" s="2583"/>
      <c r="EA216" s="2583"/>
      <c r="EB216" s="2583"/>
      <c r="EC216" s="2583"/>
      <c r="ED216" s="2583"/>
      <c r="EE216" s="2583"/>
      <c r="EF216" s="2583"/>
      <c r="EG216" s="2583"/>
      <c r="EH216" s="2583"/>
      <c r="EI216" s="2583"/>
      <c r="EJ216" s="2583"/>
      <c r="EK216" s="2583"/>
      <c r="EL216" s="2583"/>
      <c r="EM216" s="2583"/>
      <c r="EN216" s="2583"/>
      <c r="EO216" s="2583"/>
      <c r="EP216" s="2583"/>
      <c r="EQ216" s="2583"/>
      <c r="ER216" s="2583"/>
      <c r="ES216" s="2583"/>
      <c r="ET216" s="2583"/>
      <c r="EU216" s="2583"/>
      <c r="EV216" s="2583"/>
      <c r="EW216" s="2583"/>
      <c r="EX216" s="2583"/>
      <c r="EY216" s="2583"/>
      <c r="EZ216" s="2583"/>
      <c r="FA216" s="2583"/>
      <c r="FB216" s="2583"/>
      <c r="FC216" s="2583"/>
      <c r="FD216" s="2583"/>
      <c r="FE216" s="2583"/>
      <c r="FF216" s="2583"/>
      <c r="FG216" s="2583"/>
      <c r="FH216" s="2583"/>
      <c r="FI216" s="2583"/>
      <c r="FJ216" s="2583"/>
      <c r="FK216" s="2583"/>
      <c r="FL216" s="2583"/>
      <c r="FM216" s="2583"/>
      <c r="FN216" s="2583"/>
      <c r="FO216" s="2583"/>
      <c r="FP216" s="2583"/>
      <c r="FQ216" s="2583"/>
      <c r="FR216" s="2583"/>
      <c r="FS216" s="2583"/>
      <c r="FT216" s="2583"/>
      <c r="FU216" s="2583"/>
      <c r="FV216" s="2583"/>
      <c r="FW216" s="2583"/>
      <c r="FX216" s="2583"/>
      <c r="FY216" s="2583"/>
      <c r="FZ216" s="2583"/>
      <c r="GA216" s="2583"/>
      <c r="GB216" s="2583"/>
      <c r="GC216" s="2583"/>
      <c r="GD216" s="2583"/>
      <c r="GE216" s="2583"/>
      <c r="GF216" s="2583"/>
      <c r="GG216" s="2583"/>
      <c r="GH216" s="2583"/>
      <c r="GI216" s="2583"/>
      <c r="GJ216" s="2583"/>
      <c r="GK216" s="2583"/>
      <c r="GL216" s="2583"/>
      <c r="GM216" s="2583"/>
      <c r="GN216" s="2583"/>
      <c r="GO216" s="2583"/>
      <c r="GP216" s="2583"/>
      <c r="GQ216" s="2583"/>
      <c r="GR216" s="2583"/>
      <c r="GS216" s="2583"/>
      <c r="GT216" s="2583"/>
      <c r="GU216" s="2583"/>
      <c r="GV216" s="2583"/>
      <c r="GW216" s="2583"/>
      <c r="GX216" s="2583"/>
      <c r="GY216" s="2583"/>
      <c r="GZ216" s="2583"/>
      <c r="HA216" s="2583"/>
      <c r="HB216" s="2583"/>
      <c r="HC216" s="2583"/>
      <c r="HD216" s="2583"/>
      <c r="HE216" s="2583"/>
      <c r="HF216" s="2583"/>
      <c r="HG216" s="2583"/>
      <c r="HH216" s="2583"/>
      <c r="HI216" s="2583"/>
      <c r="HJ216" s="2583"/>
      <c r="HK216" s="2583"/>
      <c r="HL216" s="2583"/>
      <c r="HM216" s="2583"/>
      <c r="HN216" s="2583"/>
      <c r="HO216" s="2583"/>
      <c r="HP216" s="2583"/>
      <c r="HQ216" s="2583"/>
      <c r="HR216" s="2583"/>
      <c r="HS216" s="2583"/>
      <c r="HT216" s="2583"/>
      <c r="HU216" s="2583"/>
      <c r="HV216" s="2583"/>
      <c r="HW216" s="2583"/>
      <c r="HX216" s="2583"/>
      <c r="HY216" s="2583"/>
      <c r="HZ216" s="2583"/>
      <c r="IA216" s="2583"/>
      <c r="IB216" s="2583"/>
      <c r="IC216" s="2583"/>
      <c r="ID216" s="2583"/>
      <c r="IE216" s="2583"/>
      <c r="IF216" s="2583"/>
      <c r="IG216" s="2583"/>
      <c r="IH216" s="2583"/>
      <c r="II216" s="2583"/>
      <c r="IJ216" s="2583"/>
      <c r="IK216" s="2583"/>
      <c r="IL216" s="2583"/>
      <c r="IM216" s="2583"/>
      <c r="IN216" s="2583"/>
      <c r="IO216" s="2583"/>
      <c r="IP216" s="2583"/>
      <c r="IQ216" s="2583"/>
      <c r="IR216" s="2583"/>
      <c r="IS216" s="2583"/>
      <c r="IT216" s="2583"/>
      <c r="IU216" s="2583"/>
      <c r="IV216" s="2583"/>
    </row>
    <row r="217" spans="3:256">
      <c r="C217" s="2584"/>
      <c r="D217" s="2584"/>
      <c r="E217" s="2584"/>
      <c r="F217" s="2584"/>
      <c r="G217" s="2584"/>
      <c r="H217" s="2584"/>
      <c r="AC217" s="2583"/>
      <c r="AD217" s="2583"/>
      <c r="AE217" s="2583"/>
      <c r="AF217" s="2583"/>
      <c r="AG217" s="2583"/>
      <c r="AH217" s="2583"/>
      <c r="AI217" s="2583"/>
      <c r="AJ217" s="2583"/>
      <c r="AK217" s="2583"/>
      <c r="AL217" s="2583"/>
      <c r="AM217" s="2583"/>
      <c r="AN217" s="2583"/>
      <c r="AO217" s="2583"/>
      <c r="AP217" s="2583"/>
      <c r="AQ217" s="2583"/>
      <c r="AR217" s="2583"/>
      <c r="AS217" s="2583"/>
      <c r="AT217" s="2583"/>
      <c r="AU217" s="2583"/>
      <c r="AV217" s="2583"/>
      <c r="AW217" s="2583"/>
      <c r="AX217" s="2583"/>
      <c r="AY217" s="2583"/>
      <c r="AZ217" s="2583"/>
      <c r="BA217" s="2583"/>
      <c r="BB217" s="2583"/>
      <c r="BC217" s="2583"/>
      <c r="BD217" s="2583"/>
      <c r="BE217" s="2583"/>
      <c r="BF217" s="2583"/>
      <c r="BG217" s="2583"/>
      <c r="BH217" s="2583"/>
      <c r="BI217" s="2583"/>
      <c r="BJ217" s="2583"/>
      <c r="BK217" s="2583"/>
      <c r="BL217" s="2583"/>
      <c r="BM217" s="2583"/>
      <c r="BN217" s="2583"/>
      <c r="BO217" s="2583"/>
      <c r="BP217" s="2583"/>
      <c r="BQ217" s="2583"/>
      <c r="BR217" s="2583"/>
      <c r="BS217" s="2583"/>
      <c r="BT217" s="2583"/>
      <c r="BU217" s="2583"/>
      <c r="BV217" s="2583"/>
      <c r="BW217" s="2583"/>
      <c r="BX217" s="2583"/>
      <c r="BY217" s="2583"/>
      <c r="BZ217" s="2583"/>
      <c r="CA217" s="2583"/>
      <c r="CB217" s="2583"/>
      <c r="CC217" s="2583"/>
      <c r="CD217" s="2583"/>
      <c r="CE217" s="2583"/>
      <c r="CF217" s="2583"/>
      <c r="CG217" s="2583"/>
      <c r="CH217" s="2583"/>
      <c r="CI217" s="2583"/>
      <c r="CJ217" s="2583"/>
      <c r="CK217" s="2583"/>
      <c r="CL217" s="2583"/>
      <c r="CM217" s="2583"/>
      <c r="CN217" s="2583"/>
      <c r="CO217" s="2583"/>
      <c r="CP217" s="2583"/>
      <c r="CQ217" s="2583"/>
      <c r="CR217" s="2583"/>
      <c r="CS217" s="2583"/>
      <c r="CT217" s="2583"/>
      <c r="CU217" s="2583"/>
      <c r="CV217" s="2583"/>
      <c r="CW217" s="2583"/>
      <c r="CX217" s="2583"/>
      <c r="CY217" s="2583"/>
      <c r="CZ217" s="2583"/>
      <c r="DA217" s="2583"/>
      <c r="DB217" s="2583"/>
      <c r="DC217" s="2583"/>
      <c r="DD217" s="2583"/>
      <c r="DE217" s="2583"/>
      <c r="DF217" s="2583"/>
      <c r="DG217" s="2583"/>
      <c r="DH217" s="2583"/>
      <c r="DI217" s="2583"/>
      <c r="DJ217" s="2583"/>
      <c r="DK217" s="2583"/>
      <c r="DL217" s="2583"/>
      <c r="DM217" s="2583"/>
      <c r="DN217" s="2583"/>
      <c r="DO217" s="2583"/>
      <c r="DP217" s="2583"/>
      <c r="DQ217" s="2583"/>
      <c r="DR217" s="2583"/>
      <c r="DS217" s="2583"/>
      <c r="DT217" s="2583"/>
      <c r="DU217" s="2583"/>
      <c r="DV217" s="2583"/>
      <c r="DW217" s="2583"/>
      <c r="DX217" s="2583"/>
      <c r="DY217" s="2583"/>
      <c r="DZ217" s="2583"/>
      <c r="EA217" s="2583"/>
      <c r="EB217" s="2583"/>
      <c r="EC217" s="2583"/>
      <c r="ED217" s="2583"/>
      <c r="EE217" s="2583"/>
      <c r="EF217" s="2583"/>
      <c r="EG217" s="2583"/>
      <c r="EH217" s="2583"/>
      <c r="EI217" s="2583"/>
      <c r="EJ217" s="2583"/>
      <c r="EK217" s="2583"/>
      <c r="EL217" s="2583"/>
      <c r="EM217" s="2583"/>
      <c r="EN217" s="2583"/>
      <c r="EO217" s="2583"/>
      <c r="EP217" s="2583"/>
      <c r="EQ217" s="2583"/>
      <c r="ER217" s="2583"/>
      <c r="ES217" s="2583"/>
      <c r="ET217" s="2583"/>
      <c r="EU217" s="2583"/>
      <c r="EV217" s="2583"/>
      <c r="EW217" s="2583"/>
      <c r="EX217" s="2583"/>
      <c r="EY217" s="2583"/>
      <c r="EZ217" s="2583"/>
      <c r="FA217" s="2583"/>
      <c r="FB217" s="2583"/>
      <c r="FC217" s="2583"/>
      <c r="FD217" s="2583"/>
      <c r="FE217" s="2583"/>
      <c r="FF217" s="2583"/>
      <c r="FG217" s="2583"/>
      <c r="FH217" s="2583"/>
      <c r="FI217" s="2583"/>
      <c r="FJ217" s="2583"/>
      <c r="FK217" s="2583"/>
      <c r="FL217" s="2583"/>
      <c r="FM217" s="2583"/>
      <c r="FN217" s="2583"/>
      <c r="FO217" s="2583"/>
      <c r="FP217" s="2583"/>
      <c r="FQ217" s="2583"/>
      <c r="FR217" s="2583"/>
      <c r="FS217" s="2583"/>
      <c r="FT217" s="2583"/>
      <c r="FU217" s="2583"/>
      <c r="FV217" s="2583"/>
      <c r="FW217" s="2583"/>
      <c r="FX217" s="2583"/>
      <c r="FY217" s="2583"/>
      <c r="FZ217" s="2583"/>
      <c r="GA217" s="2583"/>
      <c r="GB217" s="2583"/>
      <c r="GC217" s="2583"/>
      <c r="GD217" s="2583"/>
      <c r="GE217" s="2583"/>
      <c r="GF217" s="2583"/>
      <c r="GG217" s="2583"/>
      <c r="GH217" s="2583"/>
      <c r="GI217" s="2583"/>
      <c r="GJ217" s="2583"/>
      <c r="GK217" s="2583"/>
      <c r="GL217" s="2583"/>
      <c r="GM217" s="2583"/>
      <c r="GN217" s="2583"/>
      <c r="GO217" s="2583"/>
      <c r="GP217" s="2583"/>
      <c r="GQ217" s="2583"/>
      <c r="GR217" s="2583"/>
      <c r="GS217" s="2583"/>
      <c r="GT217" s="2583"/>
      <c r="GU217" s="2583"/>
      <c r="GV217" s="2583"/>
      <c r="GW217" s="2583"/>
      <c r="GX217" s="2583"/>
      <c r="GY217" s="2583"/>
      <c r="GZ217" s="2583"/>
      <c r="HA217" s="2583"/>
      <c r="HB217" s="2583"/>
      <c r="HC217" s="2583"/>
      <c r="HD217" s="2583"/>
      <c r="HE217" s="2583"/>
      <c r="HF217" s="2583"/>
      <c r="HG217" s="2583"/>
      <c r="HH217" s="2583"/>
      <c r="HI217" s="2583"/>
      <c r="HJ217" s="2583"/>
      <c r="HK217" s="2583"/>
      <c r="HL217" s="2583"/>
      <c r="HM217" s="2583"/>
      <c r="HN217" s="2583"/>
      <c r="HO217" s="2583"/>
      <c r="HP217" s="2583"/>
      <c r="HQ217" s="2583"/>
      <c r="HR217" s="2583"/>
      <c r="HS217" s="2583"/>
      <c r="HT217" s="2583"/>
      <c r="HU217" s="2583"/>
      <c r="HV217" s="2583"/>
      <c r="HW217" s="2583"/>
      <c r="HX217" s="2583"/>
      <c r="HY217" s="2583"/>
      <c r="HZ217" s="2583"/>
      <c r="IA217" s="2583"/>
      <c r="IB217" s="2583"/>
      <c r="IC217" s="2583"/>
      <c r="ID217" s="2583"/>
      <c r="IE217" s="2583"/>
      <c r="IF217" s="2583"/>
      <c r="IG217" s="2583"/>
      <c r="IH217" s="2583"/>
      <c r="II217" s="2583"/>
      <c r="IJ217" s="2583"/>
      <c r="IK217" s="2583"/>
      <c r="IL217" s="2583"/>
      <c r="IM217" s="2583"/>
      <c r="IN217" s="2583"/>
      <c r="IO217" s="2583"/>
      <c r="IP217" s="2583"/>
      <c r="IQ217" s="2583"/>
      <c r="IR217" s="2583"/>
      <c r="IS217" s="2583"/>
      <c r="IT217" s="2583"/>
      <c r="IU217" s="2583"/>
      <c r="IV217" s="2583"/>
    </row>
    <row r="218" spans="3:256">
      <c r="C218" s="2584"/>
      <c r="D218" s="2584"/>
      <c r="E218" s="2584"/>
      <c r="F218" s="2584"/>
      <c r="G218" s="2584"/>
      <c r="H218" s="2584"/>
      <c r="AC218" s="2583"/>
      <c r="AD218" s="2583"/>
      <c r="AE218" s="2583"/>
      <c r="AF218" s="2583"/>
      <c r="AG218" s="2583"/>
      <c r="AH218" s="2583"/>
      <c r="AI218" s="2583"/>
      <c r="AJ218" s="2583"/>
      <c r="AK218" s="2583"/>
      <c r="AL218" s="2583"/>
      <c r="AM218" s="2583"/>
      <c r="AN218" s="2583"/>
      <c r="AO218" s="2583"/>
      <c r="AP218" s="2583"/>
      <c r="AQ218" s="2583"/>
      <c r="AR218" s="2583"/>
      <c r="AS218" s="2583"/>
      <c r="AT218" s="2583"/>
      <c r="AU218" s="2583"/>
      <c r="AV218" s="2583"/>
      <c r="AW218" s="2583"/>
      <c r="AX218" s="2583"/>
      <c r="AY218" s="2583"/>
      <c r="AZ218" s="2583"/>
      <c r="BA218" s="2583"/>
      <c r="BB218" s="2583"/>
      <c r="BC218" s="2583"/>
      <c r="BD218" s="2583"/>
      <c r="BE218" s="2583"/>
      <c r="BF218" s="2583"/>
      <c r="BG218" s="2583"/>
      <c r="BH218" s="2583"/>
      <c r="BI218" s="2583"/>
      <c r="BJ218" s="2583"/>
      <c r="BK218" s="2583"/>
      <c r="BL218" s="2583"/>
      <c r="BM218" s="2583"/>
      <c r="BN218" s="2583"/>
      <c r="BO218" s="2583"/>
      <c r="BP218" s="2583"/>
      <c r="BQ218" s="2583"/>
      <c r="BR218" s="2583"/>
      <c r="BS218" s="2583"/>
      <c r="BT218" s="2583"/>
      <c r="BU218" s="2583"/>
      <c r="BV218" s="2583"/>
      <c r="BW218" s="2583"/>
      <c r="BX218" s="2583"/>
      <c r="BY218" s="2583"/>
      <c r="BZ218" s="2583"/>
      <c r="CA218" s="2583"/>
      <c r="CB218" s="2583"/>
      <c r="CC218" s="2583"/>
      <c r="CD218" s="2583"/>
      <c r="CE218" s="2583"/>
      <c r="CF218" s="2583"/>
      <c r="CG218" s="2583"/>
      <c r="CH218" s="2583"/>
      <c r="CI218" s="2583"/>
      <c r="CJ218" s="2583"/>
      <c r="CK218" s="2583"/>
      <c r="CL218" s="2583"/>
      <c r="CM218" s="2583"/>
      <c r="CN218" s="2583"/>
      <c r="CO218" s="2583"/>
      <c r="CP218" s="2583"/>
      <c r="CQ218" s="2583"/>
      <c r="CR218" s="2583"/>
      <c r="CS218" s="2583"/>
      <c r="CT218" s="2583"/>
      <c r="CU218" s="2583"/>
      <c r="CV218" s="2583"/>
      <c r="CW218" s="2583"/>
      <c r="CX218" s="2583"/>
      <c r="CY218" s="2583"/>
      <c r="CZ218" s="2583"/>
      <c r="DA218" s="2583"/>
      <c r="DB218" s="2583"/>
      <c r="DC218" s="2583"/>
      <c r="DD218" s="2583"/>
      <c r="DE218" s="2583"/>
      <c r="DF218" s="2583"/>
      <c r="DG218" s="2583"/>
      <c r="DH218" s="2583"/>
      <c r="DI218" s="2583"/>
      <c r="DJ218" s="2583"/>
      <c r="DK218" s="2583"/>
      <c r="DL218" s="2583"/>
      <c r="DM218" s="2583"/>
      <c r="DN218" s="2583"/>
      <c r="DO218" s="2583"/>
      <c r="DP218" s="2583"/>
      <c r="DQ218" s="2583"/>
      <c r="DR218" s="2583"/>
      <c r="DS218" s="2583"/>
      <c r="DT218" s="2583"/>
      <c r="DU218" s="2583"/>
      <c r="DV218" s="2583"/>
      <c r="DW218" s="2583"/>
      <c r="DX218" s="2583"/>
      <c r="DY218" s="2583"/>
      <c r="DZ218" s="2583"/>
      <c r="EA218" s="2583"/>
      <c r="EB218" s="2583"/>
      <c r="EC218" s="2583"/>
      <c r="ED218" s="2583"/>
      <c r="EE218" s="2583"/>
      <c r="EF218" s="2583"/>
      <c r="EG218" s="2583"/>
      <c r="EH218" s="2583"/>
      <c r="EI218" s="2583"/>
      <c r="EJ218" s="2583"/>
      <c r="EK218" s="2583"/>
      <c r="EL218" s="2583"/>
      <c r="EM218" s="2583"/>
      <c r="EN218" s="2583"/>
      <c r="EO218" s="2583"/>
      <c r="EP218" s="2583"/>
      <c r="EQ218" s="2583"/>
      <c r="ER218" s="2583"/>
      <c r="ES218" s="2583"/>
      <c r="ET218" s="2583"/>
      <c r="EU218" s="2583"/>
      <c r="EV218" s="2583"/>
      <c r="EW218" s="2583"/>
      <c r="EX218" s="2583"/>
      <c r="EY218" s="2583"/>
      <c r="EZ218" s="2583"/>
      <c r="FA218" s="2583"/>
      <c r="FB218" s="2583"/>
      <c r="FC218" s="2583"/>
      <c r="FD218" s="2583"/>
      <c r="FE218" s="2583"/>
      <c r="FF218" s="2583"/>
      <c r="FG218" s="2583"/>
      <c r="FH218" s="2583"/>
      <c r="FI218" s="2583"/>
      <c r="FJ218" s="2583"/>
      <c r="FK218" s="2583"/>
      <c r="FL218" s="2583"/>
      <c r="FM218" s="2583"/>
      <c r="FN218" s="2583"/>
      <c r="FO218" s="2583"/>
      <c r="FP218" s="2583"/>
      <c r="FQ218" s="2583"/>
      <c r="FR218" s="2583"/>
      <c r="FS218" s="2583"/>
      <c r="FT218" s="2583"/>
      <c r="FU218" s="2583"/>
      <c r="FV218" s="2583"/>
      <c r="FW218" s="2583"/>
      <c r="FX218" s="2583"/>
      <c r="FY218" s="2583"/>
      <c r="FZ218" s="2583"/>
      <c r="GA218" s="2583"/>
      <c r="GB218" s="2583"/>
      <c r="GC218" s="2583"/>
      <c r="GD218" s="2583"/>
      <c r="GE218" s="2583"/>
      <c r="GF218" s="2583"/>
      <c r="GG218" s="2583"/>
      <c r="GH218" s="2583"/>
      <c r="GI218" s="2583"/>
      <c r="GJ218" s="2583"/>
      <c r="GK218" s="2583"/>
      <c r="GL218" s="2583"/>
      <c r="GM218" s="2583"/>
      <c r="GN218" s="2583"/>
      <c r="GO218" s="2583"/>
      <c r="GP218" s="2583"/>
      <c r="GQ218" s="2583"/>
      <c r="GR218" s="2583"/>
      <c r="GS218" s="2583"/>
      <c r="GT218" s="2583"/>
      <c r="GU218" s="2583"/>
      <c r="GV218" s="2583"/>
      <c r="GW218" s="2583"/>
      <c r="GX218" s="2583"/>
      <c r="GY218" s="2583"/>
      <c r="GZ218" s="2583"/>
      <c r="HA218" s="2583"/>
      <c r="HB218" s="2583"/>
      <c r="HC218" s="2583"/>
      <c r="HD218" s="2583"/>
      <c r="HE218" s="2583"/>
      <c r="HF218" s="2583"/>
      <c r="HG218" s="2583"/>
      <c r="HH218" s="2583"/>
      <c r="HI218" s="2583"/>
      <c r="HJ218" s="2583"/>
      <c r="HK218" s="2583"/>
      <c r="HL218" s="2583"/>
      <c r="HM218" s="2583"/>
      <c r="HN218" s="2583"/>
      <c r="HO218" s="2583"/>
      <c r="HP218" s="2583"/>
      <c r="HQ218" s="2583"/>
      <c r="HR218" s="2583"/>
      <c r="HS218" s="2583"/>
      <c r="HT218" s="2583"/>
      <c r="HU218" s="2583"/>
      <c r="HV218" s="2583"/>
      <c r="HW218" s="2583"/>
      <c r="HX218" s="2583"/>
      <c r="HY218" s="2583"/>
      <c r="HZ218" s="2583"/>
      <c r="IA218" s="2583"/>
      <c r="IB218" s="2583"/>
      <c r="IC218" s="2583"/>
      <c r="ID218" s="2583"/>
      <c r="IE218" s="2583"/>
      <c r="IF218" s="2583"/>
      <c r="IG218" s="2583"/>
      <c r="IH218" s="2583"/>
      <c r="II218" s="2583"/>
      <c r="IJ218" s="2583"/>
      <c r="IK218" s="2583"/>
      <c r="IL218" s="2583"/>
      <c r="IM218" s="2583"/>
      <c r="IN218" s="2583"/>
      <c r="IO218" s="2583"/>
      <c r="IP218" s="2583"/>
      <c r="IQ218" s="2583"/>
      <c r="IR218" s="2583"/>
      <c r="IS218" s="2583"/>
      <c r="IT218" s="2583"/>
      <c r="IU218" s="2583"/>
      <c r="IV218" s="2583"/>
    </row>
    <row r="219" spans="3:256">
      <c r="C219" s="2584"/>
      <c r="D219" s="2584"/>
      <c r="E219" s="2584"/>
      <c r="F219" s="2584"/>
      <c r="G219" s="2584"/>
      <c r="H219" s="2584"/>
      <c r="AC219" s="2583"/>
      <c r="AD219" s="2583"/>
      <c r="AE219" s="2583"/>
      <c r="AF219" s="2583"/>
      <c r="AG219" s="2583"/>
      <c r="AH219" s="2583"/>
      <c r="AI219" s="2583"/>
      <c r="AJ219" s="2583"/>
      <c r="AK219" s="2583"/>
      <c r="AL219" s="2583"/>
      <c r="AM219" s="2583"/>
      <c r="AN219" s="2583"/>
      <c r="AO219" s="2583"/>
      <c r="AP219" s="2583"/>
      <c r="AQ219" s="2583"/>
      <c r="AR219" s="2583"/>
      <c r="AS219" s="2583"/>
      <c r="AT219" s="2583"/>
      <c r="AU219" s="2583"/>
      <c r="AV219" s="2583"/>
      <c r="AW219" s="2583"/>
      <c r="AX219" s="2583"/>
      <c r="AY219" s="2583"/>
      <c r="AZ219" s="2583"/>
      <c r="BA219" s="2583"/>
      <c r="BB219" s="2583"/>
      <c r="BC219" s="2583"/>
      <c r="BD219" s="2583"/>
      <c r="BE219" s="2583"/>
      <c r="BF219" s="2583"/>
      <c r="BG219" s="2583"/>
      <c r="BH219" s="2583"/>
      <c r="BI219" s="2583"/>
      <c r="BJ219" s="2583"/>
      <c r="BK219" s="2583"/>
      <c r="BL219" s="2583"/>
      <c r="BM219" s="2583"/>
      <c r="BN219" s="2583"/>
      <c r="BO219" s="2583"/>
      <c r="BP219" s="2583"/>
      <c r="BQ219" s="2583"/>
      <c r="BR219" s="2583"/>
      <c r="BS219" s="2583"/>
      <c r="BT219" s="2583"/>
      <c r="BU219" s="2583"/>
      <c r="BV219" s="2583"/>
      <c r="BW219" s="2583"/>
      <c r="BX219" s="2583"/>
      <c r="BY219" s="2583"/>
      <c r="BZ219" s="2583"/>
      <c r="CA219" s="2583"/>
      <c r="CB219" s="2583"/>
      <c r="CC219" s="2583"/>
      <c r="CD219" s="2583"/>
      <c r="CE219" s="2583"/>
      <c r="CF219" s="2583"/>
      <c r="CG219" s="2583"/>
      <c r="CH219" s="2583"/>
      <c r="CI219" s="2583"/>
      <c r="CJ219" s="2583"/>
      <c r="CK219" s="2583"/>
      <c r="CL219" s="2583"/>
      <c r="CM219" s="2583"/>
      <c r="CN219" s="2583"/>
      <c r="CO219" s="2583"/>
      <c r="CP219" s="2583"/>
      <c r="CQ219" s="2583"/>
      <c r="CR219" s="2583"/>
      <c r="CS219" s="2583"/>
      <c r="CT219" s="2583"/>
      <c r="CU219" s="2583"/>
      <c r="CV219" s="2583"/>
      <c r="CW219" s="2583"/>
      <c r="CX219" s="2583"/>
      <c r="CY219" s="2583"/>
      <c r="CZ219" s="2583"/>
      <c r="DA219" s="2583"/>
      <c r="DB219" s="2583"/>
      <c r="DC219" s="2583"/>
      <c r="DD219" s="2583"/>
      <c r="DE219" s="2583"/>
      <c r="DF219" s="2583"/>
      <c r="DG219" s="2583"/>
      <c r="DH219" s="2583"/>
      <c r="DI219" s="2583"/>
      <c r="DJ219" s="2583"/>
      <c r="DK219" s="2583"/>
      <c r="DL219" s="2583"/>
      <c r="DM219" s="2583"/>
      <c r="DN219" s="2583"/>
      <c r="DO219" s="2583"/>
      <c r="DP219" s="2583"/>
      <c r="DQ219" s="2583"/>
      <c r="DR219" s="2583"/>
      <c r="DS219" s="2583"/>
      <c r="DT219" s="2583"/>
      <c r="DU219" s="2583"/>
      <c r="DV219" s="2583"/>
      <c r="DW219" s="2583"/>
      <c r="DX219" s="2583"/>
      <c r="DY219" s="2583"/>
      <c r="DZ219" s="2583"/>
      <c r="EA219" s="2583"/>
      <c r="EB219" s="2583"/>
      <c r="EC219" s="2583"/>
      <c r="ED219" s="2583"/>
      <c r="EE219" s="2583"/>
      <c r="EF219" s="2583"/>
      <c r="EG219" s="2583"/>
      <c r="EH219" s="2583"/>
      <c r="EI219" s="2583"/>
      <c r="EJ219" s="2583"/>
      <c r="EK219" s="2583"/>
      <c r="EL219" s="2583"/>
      <c r="EM219" s="2583"/>
      <c r="EN219" s="2583"/>
      <c r="EO219" s="2583"/>
      <c r="EP219" s="2583"/>
      <c r="EQ219" s="2583"/>
      <c r="ER219" s="2583"/>
      <c r="ES219" s="2583"/>
      <c r="ET219" s="2583"/>
      <c r="EU219" s="2583"/>
      <c r="EV219" s="2583"/>
      <c r="EW219" s="2583"/>
      <c r="EX219" s="2583"/>
      <c r="EY219" s="2583"/>
      <c r="EZ219" s="2583"/>
      <c r="FA219" s="2583"/>
      <c r="FB219" s="2583"/>
      <c r="FC219" s="2583"/>
      <c r="FD219" s="2583"/>
      <c r="FE219" s="2583"/>
      <c r="FF219" s="2583"/>
      <c r="FG219" s="2583"/>
      <c r="FH219" s="2583"/>
      <c r="FI219" s="2583"/>
      <c r="FJ219" s="2583"/>
      <c r="FK219" s="2583"/>
      <c r="FL219" s="2583"/>
      <c r="FM219" s="2583"/>
      <c r="FN219" s="2583"/>
      <c r="FO219" s="2583"/>
      <c r="FP219" s="2583"/>
      <c r="FQ219" s="2583"/>
      <c r="FR219" s="2583"/>
      <c r="FS219" s="2583"/>
      <c r="FT219" s="2583"/>
      <c r="FU219" s="2583"/>
      <c r="FV219" s="2583"/>
      <c r="FW219" s="2583"/>
      <c r="FX219" s="2583"/>
      <c r="FY219" s="2583"/>
      <c r="FZ219" s="2583"/>
      <c r="GA219" s="2583"/>
      <c r="GB219" s="2583"/>
      <c r="GC219" s="2583"/>
      <c r="GD219" s="2583"/>
      <c r="GE219" s="2583"/>
      <c r="GF219" s="2583"/>
      <c r="GG219" s="2583"/>
      <c r="GH219" s="2583"/>
      <c r="GI219" s="2583"/>
      <c r="GJ219" s="2583"/>
      <c r="GK219" s="2583"/>
      <c r="GL219" s="2583"/>
      <c r="GM219" s="2583"/>
      <c r="GN219" s="2583"/>
      <c r="GO219" s="2583"/>
      <c r="GP219" s="2583"/>
      <c r="GQ219" s="2583"/>
      <c r="GR219" s="2583"/>
      <c r="GS219" s="2583"/>
      <c r="GT219" s="2583"/>
      <c r="GU219" s="2583"/>
      <c r="GV219" s="2583"/>
      <c r="GW219" s="2583"/>
      <c r="GX219" s="2583"/>
      <c r="GY219" s="2583"/>
      <c r="GZ219" s="2583"/>
      <c r="HA219" s="2583"/>
      <c r="HB219" s="2583"/>
      <c r="HC219" s="2583"/>
      <c r="HD219" s="2583"/>
      <c r="HE219" s="2583"/>
      <c r="HF219" s="2583"/>
      <c r="HG219" s="2583"/>
      <c r="HH219" s="2583"/>
      <c r="HI219" s="2583"/>
      <c r="HJ219" s="2583"/>
      <c r="HK219" s="2583"/>
      <c r="HL219" s="2583"/>
      <c r="HM219" s="2583"/>
      <c r="HN219" s="2583"/>
      <c r="HO219" s="2583"/>
      <c r="HP219" s="2583"/>
      <c r="HQ219" s="2583"/>
      <c r="HR219" s="2583"/>
      <c r="HS219" s="2583"/>
      <c r="HT219" s="2583"/>
      <c r="HU219" s="2583"/>
      <c r="HV219" s="2583"/>
      <c r="HW219" s="2583"/>
      <c r="HX219" s="2583"/>
      <c r="HY219" s="2583"/>
      <c r="HZ219" s="2583"/>
      <c r="IA219" s="2583"/>
      <c r="IB219" s="2583"/>
      <c r="IC219" s="2583"/>
      <c r="ID219" s="2583"/>
      <c r="IE219" s="2583"/>
      <c r="IF219" s="2583"/>
      <c r="IG219" s="2583"/>
      <c r="IH219" s="2583"/>
      <c r="II219" s="2583"/>
      <c r="IJ219" s="2583"/>
      <c r="IK219" s="2583"/>
      <c r="IL219" s="2583"/>
      <c r="IM219" s="2583"/>
      <c r="IN219" s="2583"/>
      <c r="IO219" s="2583"/>
      <c r="IP219" s="2583"/>
      <c r="IQ219" s="2583"/>
      <c r="IR219" s="2583"/>
      <c r="IS219" s="2583"/>
      <c r="IT219" s="2583"/>
      <c r="IU219" s="2583"/>
      <c r="IV219" s="2583"/>
    </row>
    <row r="220" spans="3:256">
      <c r="C220" s="2584"/>
      <c r="D220" s="2584"/>
      <c r="E220" s="2584"/>
      <c r="F220" s="2584"/>
      <c r="G220" s="2584"/>
      <c r="H220" s="2584"/>
      <c r="AC220" s="2583"/>
      <c r="AD220" s="2583"/>
      <c r="AE220" s="2583"/>
      <c r="AF220" s="2583"/>
      <c r="AG220" s="2583"/>
      <c r="AH220" s="2583"/>
      <c r="AI220" s="2583"/>
      <c r="AJ220" s="2583"/>
      <c r="AK220" s="2583"/>
      <c r="AL220" s="2583"/>
      <c r="AM220" s="2583"/>
      <c r="AN220" s="2583"/>
      <c r="AO220" s="2583"/>
      <c r="AP220" s="2583"/>
      <c r="AQ220" s="2583"/>
      <c r="AR220" s="2583"/>
      <c r="AS220" s="2583"/>
      <c r="AT220" s="2583"/>
      <c r="AU220" s="2583"/>
      <c r="AV220" s="2583"/>
      <c r="AW220" s="2583"/>
      <c r="AX220" s="2583"/>
      <c r="AY220" s="2583"/>
      <c r="AZ220" s="2583"/>
      <c r="BA220" s="2583"/>
      <c r="BB220" s="2583"/>
      <c r="BC220" s="2583"/>
      <c r="BD220" s="2583"/>
      <c r="BE220" s="2583"/>
      <c r="BF220" s="2583"/>
      <c r="BG220" s="2583"/>
      <c r="BH220" s="2583"/>
      <c r="BI220" s="2583"/>
      <c r="BJ220" s="2583"/>
      <c r="BK220" s="2583"/>
      <c r="BL220" s="2583"/>
      <c r="BM220" s="2583"/>
      <c r="BN220" s="2583"/>
      <c r="BO220" s="2583"/>
      <c r="BP220" s="2583"/>
      <c r="BQ220" s="2583"/>
      <c r="BR220" s="2583"/>
      <c r="BS220" s="2583"/>
      <c r="BT220" s="2583"/>
      <c r="BU220" s="2583"/>
      <c r="BV220" s="2583"/>
      <c r="BW220" s="2583"/>
      <c r="BX220" s="2583"/>
      <c r="BY220" s="2583"/>
      <c r="BZ220" s="2583"/>
      <c r="CA220" s="2583"/>
      <c r="CB220" s="2583"/>
      <c r="CC220" s="2583"/>
      <c r="CD220" s="2583"/>
      <c r="CE220" s="2583"/>
      <c r="CF220" s="2583"/>
      <c r="CG220" s="2583"/>
      <c r="CH220" s="2583"/>
      <c r="CI220" s="2583"/>
      <c r="CJ220" s="2583"/>
      <c r="CK220" s="2583"/>
      <c r="CL220" s="2583"/>
      <c r="CM220" s="2583"/>
      <c r="CN220" s="2583"/>
      <c r="CO220" s="2583"/>
      <c r="CP220" s="2583"/>
      <c r="CQ220" s="2583"/>
      <c r="CR220" s="2583"/>
      <c r="CS220" s="2583"/>
      <c r="CT220" s="2583"/>
      <c r="CU220" s="2583"/>
      <c r="CV220" s="2583"/>
      <c r="CW220" s="2583"/>
      <c r="CX220" s="2583"/>
      <c r="CY220" s="2583"/>
      <c r="CZ220" s="2583"/>
      <c r="DA220" s="2583"/>
      <c r="DB220" s="2583"/>
      <c r="DC220" s="2583"/>
      <c r="DD220" s="2583"/>
      <c r="DE220" s="2583"/>
      <c r="DF220" s="2583"/>
      <c r="DG220" s="2583"/>
      <c r="DH220" s="2583"/>
      <c r="DI220" s="2583"/>
      <c r="DJ220" s="2583"/>
      <c r="DK220" s="2583"/>
      <c r="DL220" s="2583"/>
      <c r="DM220" s="2583"/>
      <c r="DN220" s="2583"/>
      <c r="DO220" s="2583"/>
      <c r="DP220" s="2583"/>
      <c r="DQ220" s="2583"/>
      <c r="DR220" s="2583"/>
      <c r="DS220" s="2583"/>
      <c r="DT220" s="2583"/>
      <c r="DU220" s="2583"/>
      <c r="DV220" s="2583"/>
      <c r="DW220" s="2583"/>
      <c r="DX220" s="2583"/>
      <c r="DY220" s="2583"/>
      <c r="DZ220" s="2583"/>
      <c r="EA220" s="2583"/>
      <c r="EB220" s="2583"/>
      <c r="EC220" s="2583"/>
      <c r="ED220" s="2583"/>
      <c r="EE220" s="2583"/>
      <c r="EF220" s="2583"/>
      <c r="EG220" s="2583"/>
      <c r="EH220" s="2583"/>
      <c r="EI220" s="2583"/>
      <c r="EJ220" s="2583"/>
      <c r="EK220" s="2583"/>
      <c r="EL220" s="2583"/>
      <c r="EM220" s="2583"/>
      <c r="EN220" s="2583"/>
      <c r="EO220" s="2583"/>
      <c r="EP220" s="2583"/>
      <c r="EQ220" s="2583"/>
      <c r="ER220" s="2583"/>
      <c r="ES220" s="2583"/>
      <c r="ET220" s="2583"/>
      <c r="EU220" s="2583"/>
      <c r="EV220" s="2583"/>
      <c r="EW220" s="2583"/>
      <c r="EX220" s="2583"/>
      <c r="EY220" s="2583"/>
      <c r="EZ220" s="2583"/>
      <c r="FA220" s="2583"/>
      <c r="FB220" s="2583"/>
      <c r="FC220" s="2583"/>
      <c r="FD220" s="2583"/>
      <c r="FE220" s="2583"/>
      <c r="FF220" s="2583"/>
      <c r="FG220" s="2583"/>
      <c r="FH220" s="2583"/>
      <c r="FI220" s="2583"/>
      <c r="FJ220" s="2583"/>
      <c r="FK220" s="2583"/>
      <c r="FL220" s="2583"/>
      <c r="FM220" s="2583"/>
      <c r="FN220" s="2583"/>
      <c r="FO220" s="2583"/>
      <c r="FP220" s="2583"/>
      <c r="FQ220" s="2583"/>
      <c r="FR220" s="2583"/>
      <c r="FS220" s="2583"/>
      <c r="FT220" s="2583"/>
      <c r="FU220" s="2583"/>
      <c r="FV220" s="2583"/>
      <c r="FW220" s="2583"/>
      <c r="FX220" s="2583"/>
      <c r="FY220" s="2583"/>
      <c r="FZ220" s="2583"/>
      <c r="GA220" s="2583"/>
      <c r="GB220" s="2583"/>
      <c r="GC220" s="2583"/>
      <c r="GD220" s="2583"/>
      <c r="GE220" s="2583"/>
      <c r="GF220" s="2583"/>
      <c r="GG220" s="2583"/>
      <c r="GH220" s="2583"/>
      <c r="GI220" s="2583"/>
      <c r="GJ220" s="2583"/>
      <c r="GK220" s="2583"/>
      <c r="GL220" s="2583"/>
      <c r="GM220" s="2583"/>
      <c r="GN220" s="2583"/>
      <c r="GO220" s="2583"/>
      <c r="GP220" s="2583"/>
      <c r="GQ220" s="2583"/>
      <c r="GR220" s="2583"/>
      <c r="GS220" s="2583"/>
      <c r="GT220" s="2583"/>
      <c r="GU220" s="2583"/>
      <c r="GV220" s="2583"/>
      <c r="GW220" s="2583"/>
      <c r="GX220" s="2583"/>
      <c r="GY220" s="2583"/>
      <c r="GZ220" s="2583"/>
      <c r="HA220" s="2583"/>
      <c r="HB220" s="2583"/>
      <c r="HC220" s="2583"/>
      <c r="HD220" s="2583"/>
      <c r="HE220" s="2583"/>
      <c r="HF220" s="2583"/>
      <c r="HG220" s="2583"/>
      <c r="HH220" s="2583"/>
      <c r="HI220" s="2583"/>
      <c r="HJ220" s="2583"/>
      <c r="HK220" s="2583"/>
      <c r="HL220" s="2583"/>
      <c r="HM220" s="2583"/>
      <c r="HN220" s="2583"/>
      <c r="HO220" s="2583"/>
      <c r="HP220" s="2583"/>
      <c r="HQ220" s="2583"/>
      <c r="HR220" s="2583"/>
      <c r="HS220" s="2583"/>
      <c r="HT220" s="2583"/>
      <c r="HU220" s="2583"/>
      <c r="HV220" s="2583"/>
      <c r="HW220" s="2583"/>
      <c r="HX220" s="2583"/>
      <c r="HY220" s="2583"/>
      <c r="HZ220" s="2583"/>
      <c r="IA220" s="2583"/>
      <c r="IB220" s="2583"/>
      <c r="IC220" s="2583"/>
      <c r="ID220" s="2583"/>
      <c r="IE220" s="2583"/>
      <c r="IF220" s="2583"/>
      <c r="IG220" s="2583"/>
      <c r="IH220" s="2583"/>
      <c r="II220" s="2583"/>
      <c r="IJ220" s="2583"/>
      <c r="IK220" s="2583"/>
      <c r="IL220" s="2583"/>
      <c r="IM220" s="2583"/>
      <c r="IN220" s="2583"/>
      <c r="IO220" s="2583"/>
      <c r="IP220" s="2583"/>
      <c r="IQ220" s="2583"/>
      <c r="IR220" s="2583"/>
      <c r="IS220" s="2583"/>
      <c r="IT220" s="2583"/>
      <c r="IU220" s="2583"/>
      <c r="IV220" s="2583"/>
    </row>
    <row r="221" spans="3:256">
      <c r="C221" s="2584"/>
      <c r="D221" s="2584"/>
      <c r="E221" s="2584"/>
      <c r="F221" s="2584"/>
      <c r="G221" s="2584"/>
      <c r="H221" s="2584"/>
      <c r="AC221" s="2583"/>
      <c r="AD221" s="2583"/>
      <c r="AE221" s="2583"/>
      <c r="AF221" s="2583"/>
      <c r="AG221" s="2583"/>
      <c r="AH221" s="2583"/>
      <c r="AI221" s="2583"/>
      <c r="AJ221" s="2583"/>
      <c r="AK221" s="2583"/>
      <c r="AL221" s="2583"/>
      <c r="AM221" s="2583"/>
      <c r="AN221" s="2583"/>
      <c r="AO221" s="2583"/>
      <c r="AP221" s="2583"/>
      <c r="AQ221" s="2583"/>
      <c r="AR221" s="2583"/>
      <c r="AS221" s="2583"/>
      <c r="AT221" s="2583"/>
      <c r="AU221" s="2583"/>
      <c r="AV221" s="2583"/>
      <c r="AW221" s="2583"/>
      <c r="AX221" s="2583"/>
      <c r="AY221" s="2583"/>
      <c r="AZ221" s="2583"/>
      <c r="BA221" s="2583"/>
      <c r="BB221" s="2583"/>
      <c r="BC221" s="2583"/>
      <c r="BD221" s="2583"/>
      <c r="BE221" s="2583"/>
      <c r="BF221" s="2583"/>
      <c r="BG221" s="2583"/>
      <c r="BH221" s="2583"/>
      <c r="BI221" s="2583"/>
      <c r="BJ221" s="2583"/>
      <c r="BK221" s="2583"/>
      <c r="BL221" s="2583"/>
      <c r="BM221" s="2583"/>
      <c r="BN221" s="2583"/>
      <c r="BO221" s="2583"/>
      <c r="BP221" s="2583"/>
      <c r="BQ221" s="2583"/>
      <c r="BR221" s="2583"/>
      <c r="BS221" s="2583"/>
      <c r="BT221" s="2583"/>
      <c r="BU221" s="2583"/>
      <c r="BV221" s="2583"/>
      <c r="BW221" s="2583"/>
      <c r="BX221" s="2583"/>
      <c r="BY221" s="2583"/>
      <c r="BZ221" s="2583"/>
      <c r="CA221" s="2583"/>
      <c r="CB221" s="2583"/>
      <c r="CC221" s="2583"/>
      <c r="CD221" s="2583"/>
      <c r="CE221" s="2583"/>
      <c r="CF221" s="2583"/>
      <c r="CG221" s="2583"/>
      <c r="CH221" s="2583"/>
      <c r="CI221" s="2583"/>
      <c r="CJ221" s="2583"/>
      <c r="CK221" s="2583"/>
      <c r="CL221" s="2583"/>
      <c r="CM221" s="2583"/>
      <c r="CN221" s="2583"/>
      <c r="CO221" s="2583"/>
      <c r="CP221" s="2583"/>
      <c r="CQ221" s="2583"/>
      <c r="CR221" s="2583"/>
      <c r="CS221" s="2583"/>
      <c r="CT221" s="2583"/>
      <c r="CU221" s="2583"/>
      <c r="CV221" s="2583"/>
      <c r="CW221" s="2583"/>
      <c r="CX221" s="2583"/>
      <c r="CY221" s="2583"/>
      <c r="CZ221" s="2583"/>
      <c r="DA221" s="2583"/>
      <c r="DB221" s="2583"/>
      <c r="DC221" s="2583"/>
      <c r="DD221" s="2583"/>
      <c r="DE221" s="2583"/>
      <c r="DF221" s="2583"/>
      <c r="DG221" s="2583"/>
      <c r="DH221" s="2583"/>
      <c r="DI221" s="2583"/>
      <c r="DJ221" s="2583"/>
      <c r="DK221" s="2583"/>
      <c r="DL221" s="2583"/>
      <c r="DM221" s="2583"/>
      <c r="DN221" s="2583"/>
      <c r="DO221" s="2583"/>
      <c r="DP221" s="2583"/>
      <c r="DQ221" s="2583"/>
      <c r="DR221" s="2583"/>
      <c r="DS221" s="2583"/>
      <c r="DT221" s="2583"/>
      <c r="DU221" s="2583"/>
      <c r="DV221" s="2583"/>
      <c r="DW221" s="2583"/>
      <c r="DX221" s="2583"/>
      <c r="DY221" s="2583"/>
      <c r="DZ221" s="2583"/>
      <c r="EA221" s="2583"/>
      <c r="EB221" s="2583"/>
      <c r="EC221" s="2583"/>
      <c r="ED221" s="2583"/>
      <c r="EE221" s="2583"/>
      <c r="EF221" s="2583"/>
      <c r="EG221" s="2583"/>
      <c r="EH221" s="2583"/>
      <c r="EI221" s="2583"/>
      <c r="EJ221" s="2583"/>
      <c r="EK221" s="2583"/>
      <c r="EL221" s="2583"/>
      <c r="EM221" s="2583"/>
      <c r="EN221" s="2583"/>
      <c r="EO221" s="2583"/>
      <c r="EP221" s="2583"/>
      <c r="EQ221" s="2583"/>
      <c r="ER221" s="2583"/>
      <c r="ES221" s="2583"/>
      <c r="ET221" s="2583"/>
      <c r="EU221" s="2583"/>
      <c r="EV221" s="2583"/>
      <c r="EW221" s="2583"/>
      <c r="EX221" s="2583"/>
      <c r="EY221" s="2583"/>
      <c r="EZ221" s="2583"/>
      <c r="FA221" s="2583"/>
      <c r="FB221" s="2583"/>
      <c r="FC221" s="2583"/>
      <c r="FD221" s="2583"/>
      <c r="FE221" s="2583"/>
      <c r="FF221" s="2583"/>
      <c r="FG221" s="2583"/>
      <c r="FH221" s="2583"/>
      <c r="FI221" s="2583"/>
      <c r="FJ221" s="2583"/>
      <c r="FK221" s="2583"/>
      <c r="FL221" s="2583"/>
      <c r="FM221" s="2583"/>
      <c r="FN221" s="2583"/>
      <c r="FO221" s="2583"/>
      <c r="FP221" s="2583"/>
      <c r="FQ221" s="2583"/>
      <c r="FR221" s="2583"/>
      <c r="FS221" s="2583"/>
      <c r="FT221" s="2583"/>
      <c r="FU221" s="2583"/>
      <c r="FV221" s="2583"/>
      <c r="FW221" s="2583"/>
      <c r="FX221" s="2583"/>
      <c r="FY221" s="2583"/>
      <c r="FZ221" s="2583"/>
      <c r="GA221" s="2583"/>
      <c r="GB221" s="2583"/>
      <c r="GC221" s="2583"/>
      <c r="GD221" s="2583"/>
      <c r="GE221" s="2583"/>
      <c r="GF221" s="2583"/>
      <c r="GG221" s="2583"/>
      <c r="GH221" s="2583"/>
      <c r="GI221" s="2583"/>
      <c r="GJ221" s="2583"/>
      <c r="GK221" s="2583"/>
      <c r="GL221" s="2583"/>
      <c r="GM221" s="2583"/>
      <c r="GN221" s="2583"/>
      <c r="GO221" s="2583"/>
      <c r="GP221" s="2583"/>
      <c r="GQ221" s="2583"/>
      <c r="GR221" s="2583"/>
      <c r="GS221" s="2583"/>
      <c r="GT221" s="2583"/>
      <c r="GU221" s="2583"/>
      <c r="GV221" s="2583"/>
      <c r="GW221" s="2583"/>
      <c r="GX221" s="2583"/>
      <c r="GY221" s="2583"/>
      <c r="GZ221" s="2583"/>
      <c r="HA221" s="2583"/>
      <c r="HB221" s="2583"/>
      <c r="HC221" s="2583"/>
      <c r="HD221" s="2583"/>
      <c r="HE221" s="2583"/>
      <c r="HF221" s="2583"/>
      <c r="HG221" s="2583"/>
      <c r="HH221" s="2583"/>
      <c r="HI221" s="2583"/>
      <c r="HJ221" s="2583"/>
      <c r="HK221" s="2583"/>
      <c r="HL221" s="2583"/>
      <c r="HM221" s="2583"/>
      <c r="HN221" s="2583"/>
      <c r="HO221" s="2583"/>
      <c r="HP221" s="2583"/>
      <c r="HQ221" s="2583"/>
      <c r="HR221" s="2583"/>
      <c r="HS221" s="2583"/>
      <c r="HT221" s="2583"/>
      <c r="HU221" s="2583"/>
      <c r="HV221" s="2583"/>
      <c r="HW221" s="2583"/>
      <c r="HX221" s="2583"/>
      <c r="HY221" s="2583"/>
      <c r="HZ221" s="2583"/>
      <c r="IA221" s="2583"/>
      <c r="IB221" s="2583"/>
      <c r="IC221" s="2583"/>
      <c r="ID221" s="2583"/>
      <c r="IE221" s="2583"/>
      <c r="IF221" s="2583"/>
      <c r="IG221" s="2583"/>
      <c r="IH221" s="2583"/>
      <c r="II221" s="2583"/>
      <c r="IJ221" s="2583"/>
      <c r="IK221" s="2583"/>
      <c r="IL221" s="2583"/>
      <c r="IM221" s="2583"/>
      <c r="IN221" s="2583"/>
      <c r="IO221" s="2583"/>
      <c r="IP221" s="2583"/>
      <c r="IQ221" s="2583"/>
      <c r="IR221" s="2583"/>
      <c r="IS221" s="2583"/>
      <c r="IT221" s="2583"/>
      <c r="IU221" s="2583"/>
      <c r="IV221" s="2583"/>
    </row>
    <row r="222" spans="3:256">
      <c r="C222" s="2584"/>
      <c r="D222" s="2584"/>
      <c r="E222" s="2584"/>
      <c r="F222" s="2584"/>
      <c r="G222" s="2584"/>
      <c r="H222" s="2584"/>
      <c r="AC222" s="2583"/>
      <c r="AD222" s="2583"/>
      <c r="AE222" s="2583"/>
      <c r="AF222" s="2583"/>
      <c r="AG222" s="2583"/>
      <c r="AH222" s="2583"/>
      <c r="AI222" s="2583"/>
      <c r="AJ222" s="2583"/>
      <c r="AK222" s="2583"/>
      <c r="AL222" s="2583"/>
      <c r="AM222" s="2583"/>
      <c r="AN222" s="2583"/>
      <c r="AO222" s="2583"/>
      <c r="AP222" s="2583"/>
      <c r="AQ222" s="2583"/>
      <c r="AR222" s="2583"/>
      <c r="AS222" s="2583"/>
      <c r="AT222" s="2583"/>
      <c r="AU222" s="2583"/>
      <c r="AV222" s="2583"/>
      <c r="AW222" s="2583"/>
      <c r="AX222" s="2583"/>
      <c r="AY222" s="2583"/>
      <c r="AZ222" s="2583"/>
      <c r="BA222" s="2583"/>
      <c r="BB222" s="2583"/>
      <c r="BC222" s="2583"/>
      <c r="BD222" s="2583"/>
      <c r="BE222" s="2583"/>
      <c r="BF222" s="2583"/>
      <c r="BG222" s="2583"/>
      <c r="BH222" s="2583"/>
      <c r="BI222" s="2583"/>
      <c r="BJ222" s="2583"/>
      <c r="BK222" s="2583"/>
      <c r="BL222" s="2583"/>
      <c r="BM222" s="2583"/>
      <c r="BN222" s="2583"/>
      <c r="BO222" s="2583"/>
      <c r="BP222" s="2583"/>
      <c r="BQ222" s="2583"/>
      <c r="BR222" s="2583"/>
      <c r="BS222" s="2583"/>
      <c r="BT222" s="2583"/>
      <c r="BU222" s="2583"/>
      <c r="BV222" s="2583"/>
      <c r="BW222" s="2583"/>
      <c r="BX222" s="2583"/>
      <c r="BY222" s="2583"/>
      <c r="BZ222" s="2583"/>
      <c r="CA222" s="2583"/>
      <c r="CB222" s="2583"/>
      <c r="CC222" s="2583"/>
      <c r="CD222" s="2583"/>
      <c r="CE222" s="2583"/>
      <c r="CF222" s="2583"/>
      <c r="CG222" s="2583"/>
      <c r="CH222" s="2583"/>
      <c r="CI222" s="2583"/>
      <c r="CJ222" s="2583"/>
      <c r="CK222" s="2583"/>
      <c r="CL222" s="2583"/>
      <c r="CM222" s="2583"/>
      <c r="CN222" s="2583"/>
      <c r="CO222" s="2583"/>
      <c r="CP222" s="2583"/>
      <c r="CQ222" s="2583"/>
      <c r="CR222" s="2583"/>
      <c r="CS222" s="2583"/>
      <c r="CT222" s="2583"/>
      <c r="CU222" s="2583"/>
      <c r="CV222" s="2583"/>
      <c r="CW222" s="2583"/>
      <c r="CX222" s="2583"/>
      <c r="CY222" s="2583"/>
      <c r="CZ222" s="2583"/>
      <c r="DA222" s="2583"/>
      <c r="DB222" s="2583"/>
      <c r="DC222" s="2583"/>
      <c r="DD222" s="2583"/>
      <c r="DE222" s="2583"/>
      <c r="DF222" s="2583"/>
      <c r="DG222" s="2583"/>
      <c r="DH222" s="2583"/>
      <c r="DI222" s="2583"/>
      <c r="DJ222" s="2583"/>
      <c r="DK222" s="2583"/>
      <c r="DL222" s="2583"/>
      <c r="DM222" s="2583"/>
      <c r="DN222" s="2583"/>
      <c r="DO222" s="2583"/>
      <c r="DP222" s="2583"/>
      <c r="DQ222" s="2583"/>
      <c r="DR222" s="2583"/>
      <c r="DS222" s="2583"/>
      <c r="DT222" s="2583"/>
      <c r="DU222" s="2583"/>
      <c r="DV222" s="2583"/>
      <c r="DW222" s="2583"/>
      <c r="DX222" s="2583"/>
      <c r="DY222" s="2583"/>
      <c r="DZ222" s="2583"/>
      <c r="EA222" s="2583"/>
      <c r="EB222" s="2583"/>
      <c r="EC222" s="2583"/>
      <c r="ED222" s="2583"/>
      <c r="EE222" s="2583"/>
      <c r="EF222" s="2583"/>
      <c r="EG222" s="2583"/>
      <c r="EH222" s="2583"/>
      <c r="EI222" s="2583"/>
      <c r="EJ222" s="2583"/>
      <c r="EK222" s="2583"/>
      <c r="EL222" s="2583"/>
      <c r="EM222" s="2583"/>
      <c r="EN222" s="2583"/>
      <c r="EO222" s="2583"/>
      <c r="EP222" s="2583"/>
      <c r="EQ222" s="2583"/>
      <c r="ER222" s="2583"/>
      <c r="ES222" s="2583"/>
      <c r="ET222" s="2583"/>
      <c r="EU222" s="2583"/>
      <c r="EV222" s="2583"/>
      <c r="EW222" s="2583"/>
      <c r="EX222" s="2583"/>
      <c r="EY222" s="2583"/>
      <c r="EZ222" s="2583"/>
      <c r="FA222" s="2583"/>
      <c r="FB222" s="2583"/>
      <c r="FC222" s="2583"/>
      <c r="FD222" s="2583"/>
      <c r="FE222" s="2583"/>
      <c r="FF222" s="2583"/>
      <c r="FG222" s="2583"/>
      <c r="FH222" s="2583"/>
      <c r="FI222" s="2583"/>
      <c r="FJ222" s="2583"/>
      <c r="FK222" s="2583"/>
      <c r="FL222" s="2583"/>
      <c r="FM222" s="2583"/>
      <c r="FN222" s="2583"/>
      <c r="FO222" s="2583"/>
      <c r="FP222" s="2583"/>
      <c r="FQ222" s="2583"/>
      <c r="FR222" s="2583"/>
      <c r="FS222" s="2583"/>
      <c r="FT222" s="2583"/>
      <c r="FU222" s="2583"/>
      <c r="FV222" s="2583"/>
      <c r="FW222" s="2583"/>
      <c r="FX222" s="2583"/>
      <c r="FY222" s="2583"/>
      <c r="FZ222" s="2583"/>
      <c r="GA222" s="2583"/>
      <c r="GB222" s="2583"/>
      <c r="GC222" s="2583"/>
      <c r="GD222" s="2583"/>
      <c r="GE222" s="2583"/>
      <c r="GF222" s="2583"/>
      <c r="GG222" s="2583"/>
      <c r="GH222" s="2583"/>
      <c r="GI222" s="2583"/>
      <c r="GJ222" s="2583"/>
      <c r="GK222" s="2583"/>
      <c r="GL222" s="2583"/>
      <c r="GM222" s="2583"/>
      <c r="GN222" s="2583"/>
      <c r="GO222" s="2583"/>
      <c r="GP222" s="2583"/>
      <c r="GQ222" s="2583"/>
      <c r="GR222" s="2583"/>
      <c r="GS222" s="2583"/>
      <c r="GT222" s="2583"/>
      <c r="GU222" s="2583"/>
      <c r="GV222" s="2583"/>
      <c r="GW222" s="2583"/>
      <c r="GX222" s="2583"/>
      <c r="GY222" s="2583"/>
      <c r="GZ222" s="2583"/>
      <c r="HA222" s="2583"/>
      <c r="HB222" s="2583"/>
      <c r="HC222" s="2583"/>
      <c r="HD222" s="2583"/>
      <c r="HE222" s="2583"/>
      <c r="HF222" s="2583"/>
      <c r="HG222" s="2583"/>
      <c r="HH222" s="2583"/>
      <c r="HI222" s="2583"/>
      <c r="HJ222" s="2583"/>
      <c r="HK222" s="2583"/>
      <c r="HL222" s="2583"/>
      <c r="HM222" s="2583"/>
      <c r="HN222" s="2583"/>
      <c r="HO222" s="2583"/>
      <c r="HP222" s="2583"/>
      <c r="HQ222" s="2583"/>
      <c r="HR222" s="2583"/>
      <c r="HS222" s="2583"/>
      <c r="HT222" s="2583"/>
      <c r="HU222" s="2583"/>
      <c r="HV222" s="2583"/>
      <c r="HW222" s="2583"/>
      <c r="HX222" s="2583"/>
      <c r="HY222" s="2583"/>
      <c r="HZ222" s="2583"/>
      <c r="IA222" s="2583"/>
      <c r="IB222" s="2583"/>
      <c r="IC222" s="2583"/>
      <c r="ID222" s="2583"/>
      <c r="IE222" s="2583"/>
      <c r="IF222" s="2583"/>
      <c r="IG222" s="2583"/>
      <c r="IH222" s="2583"/>
      <c r="II222" s="2583"/>
      <c r="IJ222" s="2583"/>
      <c r="IK222" s="2583"/>
      <c r="IL222" s="2583"/>
      <c r="IM222" s="2583"/>
      <c r="IN222" s="2583"/>
      <c r="IO222" s="2583"/>
      <c r="IP222" s="2583"/>
      <c r="IQ222" s="2583"/>
      <c r="IR222" s="2583"/>
      <c r="IS222" s="2583"/>
      <c r="IT222" s="2583"/>
      <c r="IU222" s="2583"/>
      <c r="IV222" s="2583"/>
    </row>
    <row r="223" spans="3:256">
      <c r="C223" s="2584"/>
      <c r="D223" s="2584"/>
      <c r="E223" s="2584"/>
      <c r="F223" s="2584"/>
      <c r="G223" s="2584"/>
      <c r="H223" s="2584"/>
      <c r="AC223" s="2583"/>
      <c r="AD223" s="2583"/>
      <c r="AE223" s="2583"/>
      <c r="AF223" s="2583"/>
      <c r="AG223" s="2583"/>
      <c r="AH223" s="2583"/>
      <c r="AI223" s="2583"/>
      <c r="AJ223" s="2583"/>
      <c r="AK223" s="2583"/>
      <c r="AL223" s="2583"/>
      <c r="AM223" s="2583"/>
      <c r="AN223" s="2583"/>
      <c r="AO223" s="2583"/>
      <c r="AP223" s="2583"/>
      <c r="AQ223" s="2583"/>
      <c r="AR223" s="2583"/>
      <c r="AS223" s="2583"/>
      <c r="AT223" s="2583"/>
      <c r="AU223" s="2583"/>
      <c r="AV223" s="2583"/>
      <c r="AW223" s="2583"/>
      <c r="AX223" s="2583"/>
      <c r="AY223" s="2583"/>
      <c r="AZ223" s="2583"/>
      <c r="BA223" s="2583"/>
      <c r="BB223" s="2583"/>
      <c r="BC223" s="2583"/>
      <c r="BD223" s="2583"/>
      <c r="BE223" s="2583"/>
      <c r="BF223" s="2583"/>
      <c r="BG223" s="2583"/>
      <c r="BH223" s="2583"/>
      <c r="BI223" s="2583"/>
      <c r="BJ223" s="2583"/>
      <c r="BK223" s="2583"/>
      <c r="BL223" s="2583"/>
      <c r="BM223" s="2583"/>
      <c r="BN223" s="2583"/>
      <c r="BO223" s="2583"/>
      <c r="BP223" s="2583"/>
      <c r="BQ223" s="2583"/>
      <c r="BR223" s="2583"/>
      <c r="BS223" s="2583"/>
      <c r="BT223" s="2583"/>
      <c r="BU223" s="2583"/>
      <c r="BV223" s="2583"/>
      <c r="BW223" s="2583"/>
      <c r="BX223" s="2583"/>
      <c r="BY223" s="2583"/>
      <c r="BZ223" s="2583"/>
      <c r="CA223" s="2583"/>
      <c r="CB223" s="2583"/>
      <c r="CC223" s="2583"/>
      <c r="CD223" s="2583"/>
      <c r="CE223" s="2583"/>
      <c r="CF223" s="2583"/>
      <c r="CG223" s="2583"/>
      <c r="CH223" s="2583"/>
      <c r="CI223" s="2583"/>
      <c r="CJ223" s="2583"/>
      <c r="CK223" s="2583"/>
      <c r="CL223" s="2583"/>
      <c r="CM223" s="2583"/>
      <c r="CN223" s="2583"/>
      <c r="CO223" s="2583"/>
      <c r="CP223" s="2583"/>
      <c r="CQ223" s="2583"/>
      <c r="CR223" s="2583"/>
      <c r="CS223" s="2583"/>
      <c r="CT223" s="2583"/>
      <c r="CU223" s="2583"/>
      <c r="CV223" s="2583"/>
      <c r="CW223" s="2583"/>
      <c r="CX223" s="2583"/>
      <c r="CY223" s="2583"/>
      <c r="CZ223" s="2583"/>
      <c r="DA223" s="2583"/>
      <c r="DB223" s="2583"/>
      <c r="DC223" s="2583"/>
      <c r="DD223" s="2583"/>
      <c r="DE223" s="2583"/>
      <c r="DF223" s="2583"/>
      <c r="DG223" s="2583"/>
      <c r="DH223" s="2583"/>
      <c r="DI223" s="2583"/>
      <c r="DJ223" s="2583"/>
      <c r="DK223" s="2583"/>
      <c r="DL223" s="2583"/>
      <c r="DM223" s="2583"/>
      <c r="DN223" s="2583"/>
      <c r="DO223" s="2583"/>
      <c r="DP223" s="2583"/>
      <c r="DQ223" s="2583"/>
      <c r="DR223" s="2583"/>
      <c r="DS223" s="2583"/>
      <c r="DT223" s="2583"/>
      <c r="DU223" s="2583"/>
      <c r="DV223" s="2583"/>
      <c r="DW223" s="2583"/>
      <c r="DX223" s="2583"/>
      <c r="DY223" s="2583"/>
      <c r="DZ223" s="2583"/>
      <c r="EA223" s="2583"/>
      <c r="EB223" s="2583"/>
      <c r="EC223" s="2583"/>
      <c r="ED223" s="2583"/>
      <c r="EE223" s="2583"/>
      <c r="EF223" s="2583"/>
      <c r="EG223" s="2583"/>
      <c r="EH223" s="2583"/>
      <c r="EI223" s="2583"/>
      <c r="EJ223" s="2583"/>
      <c r="EK223" s="2583"/>
      <c r="EL223" s="2583"/>
      <c r="EM223" s="2583"/>
      <c r="EN223" s="2583"/>
      <c r="EO223" s="2583"/>
      <c r="EP223" s="2583"/>
      <c r="EQ223" s="2583"/>
      <c r="ER223" s="2583"/>
      <c r="ES223" s="2583"/>
      <c r="ET223" s="2583"/>
      <c r="EU223" s="2583"/>
      <c r="EV223" s="2583"/>
      <c r="EW223" s="2583"/>
      <c r="EX223" s="2583"/>
      <c r="EY223" s="2583"/>
      <c r="EZ223" s="2583"/>
      <c r="FA223" s="2583"/>
      <c r="FB223" s="2583"/>
      <c r="FC223" s="2583"/>
      <c r="FD223" s="2583"/>
      <c r="FE223" s="2583"/>
      <c r="FF223" s="2583"/>
      <c r="FG223" s="2583"/>
      <c r="FH223" s="2583"/>
      <c r="FI223" s="2583"/>
      <c r="FJ223" s="2583"/>
      <c r="FK223" s="2583"/>
      <c r="FL223" s="2583"/>
      <c r="FM223" s="2583"/>
      <c r="FN223" s="2583"/>
      <c r="FO223" s="2583"/>
      <c r="FP223" s="2583"/>
      <c r="FQ223" s="2583"/>
      <c r="FR223" s="2583"/>
      <c r="FS223" s="2583"/>
      <c r="FT223" s="2583"/>
      <c r="FU223" s="2583"/>
      <c r="FV223" s="2583"/>
      <c r="FW223" s="2583"/>
      <c r="FX223" s="2583"/>
      <c r="FY223" s="2583"/>
      <c r="FZ223" s="2583"/>
      <c r="GA223" s="2583"/>
      <c r="GB223" s="2583"/>
      <c r="GC223" s="2583"/>
      <c r="GD223" s="2583"/>
      <c r="GE223" s="2583"/>
      <c r="GF223" s="2583"/>
      <c r="GG223" s="2583"/>
      <c r="GH223" s="2583"/>
      <c r="GI223" s="2583"/>
      <c r="GJ223" s="2583"/>
      <c r="GK223" s="2583"/>
      <c r="GL223" s="2583"/>
      <c r="GM223" s="2583"/>
      <c r="GN223" s="2583"/>
      <c r="GO223" s="2583"/>
      <c r="GP223" s="2583"/>
      <c r="GQ223" s="2583"/>
      <c r="GR223" s="2583"/>
      <c r="GS223" s="2583"/>
      <c r="GT223" s="2583"/>
      <c r="GU223" s="2583"/>
      <c r="GV223" s="2583"/>
      <c r="GW223" s="2583"/>
      <c r="GX223" s="2583"/>
      <c r="GY223" s="2583"/>
      <c r="GZ223" s="2583"/>
      <c r="HA223" s="2583"/>
      <c r="HB223" s="2583"/>
      <c r="HC223" s="2583"/>
      <c r="HD223" s="2583"/>
      <c r="HE223" s="2583"/>
      <c r="HF223" s="2583"/>
      <c r="HG223" s="2583"/>
      <c r="HH223" s="2583"/>
      <c r="HI223" s="2583"/>
      <c r="HJ223" s="2583"/>
      <c r="HK223" s="2583"/>
      <c r="HL223" s="2583"/>
      <c r="HM223" s="2583"/>
      <c r="HN223" s="2583"/>
      <c r="HO223" s="2583"/>
      <c r="HP223" s="2583"/>
      <c r="HQ223" s="2583"/>
      <c r="HR223" s="2583"/>
      <c r="HS223" s="2583"/>
      <c r="HT223" s="2583"/>
      <c r="HU223" s="2583"/>
      <c r="HV223" s="2583"/>
      <c r="HW223" s="2583"/>
      <c r="HX223" s="2583"/>
      <c r="HY223" s="2583"/>
      <c r="HZ223" s="2583"/>
      <c r="IA223" s="2583"/>
      <c r="IB223" s="2583"/>
      <c r="IC223" s="2583"/>
      <c r="ID223" s="2583"/>
      <c r="IE223" s="2583"/>
      <c r="IF223" s="2583"/>
      <c r="IG223" s="2583"/>
      <c r="IH223" s="2583"/>
      <c r="II223" s="2583"/>
      <c r="IJ223" s="2583"/>
      <c r="IK223" s="2583"/>
      <c r="IL223" s="2583"/>
      <c r="IM223" s="2583"/>
      <c r="IN223" s="2583"/>
      <c r="IO223" s="2583"/>
      <c r="IP223" s="2583"/>
      <c r="IQ223" s="2583"/>
      <c r="IR223" s="2583"/>
      <c r="IS223" s="2583"/>
      <c r="IT223" s="2583"/>
      <c r="IU223" s="2583"/>
      <c r="IV223" s="2583"/>
    </row>
    <row r="224" spans="3:256">
      <c r="C224" s="2584"/>
      <c r="D224" s="2584"/>
      <c r="E224" s="2584"/>
      <c r="F224" s="2584"/>
      <c r="G224" s="2584"/>
      <c r="H224" s="2584"/>
      <c r="AC224" s="2583"/>
      <c r="AD224" s="2583"/>
      <c r="AE224" s="2583"/>
      <c r="AF224" s="2583"/>
      <c r="AG224" s="2583"/>
      <c r="AH224" s="2583"/>
      <c r="AI224" s="2583"/>
      <c r="AJ224" s="2583"/>
      <c r="AK224" s="2583"/>
      <c r="AL224" s="2583"/>
      <c r="AM224" s="2583"/>
      <c r="AN224" s="2583"/>
      <c r="AO224" s="2583"/>
      <c r="AP224" s="2583"/>
      <c r="AQ224" s="2583"/>
      <c r="AR224" s="2583"/>
      <c r="AS224" s="2583"/>
      <c r="AT224" s="2583"/>
      <c r="AU224" s="2583"/>
      <c r="AV224" s="2583"/>
      <c r="AW224" s="2583"/>
      <c r="AX224" s="2583"/>
      <c r="AY224" s="2583"/>
      <c r="AZ224" s="2583"/>
      <c r="BA224" s="2583"/>
      <c r="BB224" s="2583"/>
      <c r="BC224" s="2583"/>
      <c r="BD224" s="2583"/>
      <c r="BE224" s="2583"/>
      <c r="BF224" s="2583"/>
      <c r="BG224" s="2583"/>
      <c r="BH224" s="2583"/>
      <c r="BI224" s="2583"/>
      <c r="BJ224" s="2583"/>
      <c r="BK224" s="2583"/>
      <c r="BL224" s="2583"/>
      <c r="BM224" s="2583"/>
      <c r="BN224" s="2583"/>
      <c r="BO224" s="2583"/>
      <c r="BP224" s="2583"/>
      <c r="BQ224" s="2583"/>
      <c r="BR224" s="2583"/>
      <c r="BS224" s="2583"/>
      <c r="BT224" s="2583"/>
      <c r="BU224" s="2583"/>
      <c r="BV224" s="2583"/>
      <c r="BW224" s="2583"/>
      <c r="BX224" s="2583"/>
      <c r="BY224" s="2583"/>
      <c r="BZ224" s="2583"/>
      <c r="CA224" s="2583"/>
      <c r="CB224" s="2583"/>
      <c r="CC224" s="2583"/>
      <c r="CD224" s="2583"/>
      <c r="CE224" s="2583"/>
      <c r="CF224" s="2583"/>
      <c r="CG224" s="2583"/>
      <c r="CH224" s="2583"/>
      <c r="CI224" s="2583"/>
      <c r="CJ224" s="2583"/>
      <c r="CK224" s="2583"/>
      <c r="CL224" s="2583"/>
      <c r="CM224" s="2583"/>
      <c r="CN224" s="2583"/>
      <c r="CO224" s="2583"/>
      <c r="CP224" s="2583"/>
      <c r="CQ224" s="2583"/>
      <c r="CR224" s="2583"/>
      <c r="CS224" s="2583"/>
      <c r="CT224" s="2583"/>
      <c r="CU224" s="2583"/>
      <c r="CV224" s="2583"/>
      <c r="CW224" s="2583"/>
      <c r="CX224" s="2583"/>
      <c r="CY224" s="2583"/>
      <c r="CZ224" s="2583"/>
      <c r="DA224" s="2583"/>
      <c r="DB224" s="2583"/>
      <c r="DC224" s="2583"/>
      <c r="DD224" s="2583"/>
      <c r="DE224" s="2583"/>
      <c r="DF224" s="2583"/>
      <c r="DG224" s="2583"/>
      <c r="DH224" s="2583"/>
      <c r="DI224" s="2583"/>
      <c r="DJ224" s="2583"/>
      <c r="DK224" s="2583"/>
      <c r="DL224" s="2583"/>
      <c r="DM224" s="2583"/>
      <c r="DN224" s="2583"/>
      <c r="DO224" s="2583"/>
      <c r="DP224" s="2583"/>
      <c r="DQ224" s="2583"/>
      <c r="DR224" s="2583"/>
      <c r="DS224" s="2583"/>
      <c r="DT224" s="2583"/>
      <c r="DU224" s="2583"/>
      <c r="DV224" s="2583"/>
      <c r="DW224" s="2583"/>
      <c r="DX224" s="2583"/>
      <c r="DY224" s="2583"/>
      <c r="DZ224" s="2583"/>
      <c r="EA224" s="2583"/>
      <c r="EB224" s="2583"/>
      <c r="EC224" s="2583"/>
      <c r="ED224" s="2583"/>
      <c r="EE224" s="2583"/>
      <c r="EF224" s="2583"/>
      <c r="EG224" s="2583"/>
      <c r="EH224" s="2583"/>
      <c r="EI224" s="2583"/>
      <c r="EJ224" s="2583"/>
      <c r="EK224" s="2583"/>
      <c r="EL224" s="2583"/>
      <c r="EM224" s="2583"/>
      <c r="EN224" s="2583"/>
      <c r="EO224" s="2583"/>
      <c r="EP224" s="2583"/>
      <c r="EQ224" s="2583"/>
      <c r="ER224" s="2583"/>
      <c r="ES224" s="2583"/>
      <c r="ET224" s="2583"/>
      <c r="EU224" s="2583"/>
      <c r="EV224" s="2583"/>
      <c r="EW224" s="2583"/>
      <c r="EX224" s="2583"/>
      <c r="EY224" s="2583"/>
      <c r="EZ224" s="2583"/>
      <c r="FA224" s="2583"/>
      <c r="FB224" s="2583"/>
      <c r="FC224" s="2583"/>
      <c r="FD224" s="2583"/>
      <c r="FE224" s="2583"/>
      <c r="FF224" s="2583"/>
      <c r="FG224" s="2583"/>
      <c r="FH224" s="2583"/>
      <c r="FI224" s="2583"/>
      <c r="FJ224" s="2583"/>
      <c r="FK224" s="2583"/>
      <c r="FL224" s="2583"/>
      <c r="FM224" s="2583"/>
      <c r="FN224" s="2583"/>
      <c r="FO224" s="2583"/>
      <c r="FP224" s="2583"/>
      <c r="FQ224" s="2583"/>
      <c r="FR224" s="2583"/>
      <c r="FS224" s="2583"/>
      <c r="FT224" s="2583"/>
      <c r="FU224" s="2583"/>
      <c r="FV224" s="2583"/>
      <c r="FW224" s="2583"/>
      <c r="FX224" s="2583"/>
      <c r="FY224" s="2583"/>
      <c r="FZ224" s="2583"/>
      <c r="GA224" s="2583"/>
      <c r="GB224" s="2583"/>
      <c r="GC224" s="2583"/>
      <c r="GD224" s="2583"/>
      <c r="GE224" s="2583"/>
      <c r="GF224" s="2583"/>
      <c r="GG224" s="2583"/>
      <c r="GH224" s="2583"/>
      <c r="GI224" s="2583"/>
      <c r="GJ224" s="2583"/>
      <c r="GK224" s="2583"/>
      <c r="GL224" s="2583"/>
      <c r="GM224" s="2583"/>
      <c r="GN224" s="2583"/>
      <c r="GO224" s="2583"/>
      <c r="GP224" s="2583"/>
      <c r="GQ224" s="2583"/>
      <c r="GR224" s="2583"/>
      <c r="GS224" s="2583"/>
      <c r="GT224" s="2583"/>
      <c r="GU224" s="2583"/>
      <c r="GV224" s="2583"/>
      <c r="GW224" s="2583"/>
      <c r="GX224" s="2583"/>
      <c r="GY224" s="2583"/>
      <c r="GZ224" s="2583"/>
      <c r="HA224" s="2583"/>
      <c r="HB224" s="2583"/>
      <c r="HC224" s="2583"/>
      <c r="HD224" s="2583"/>
      <c r="HE224" s="2583"/>
      <c r="HF224" s="2583"/>
      <c r="HG224" s="2583"/>
      <c r="HH224" s="2583"/>
      <c r="HI224" s="2583"/>
      <c r="HJ224" s="2583"/>
      <c r="HK224" s="2583"/>
      <c r="HL224" s="2583"/>
      <c r="HM224" s="2583"/>
      <c r="HN224" s="2583"/>
      <c r="HO224" s="2583"/>
      <c r="HP224" s="2583"/>
      <c r="HQ224" s="2583"/>
      <c r="HR224" s="2583"/>
      <c r="HS224" s="2583"/>
      <c r="HT224" s="2583"/>
      <c r="HU224" s="2583"/>
      <c r="HV224" s="2583"/>
      <c r="HW224" s="2583"/>
      <c r="HX224" s="2583"/>
      <c r="HY224" s="2583"/>
      <c r="HZ224" s="2583"/>
      <c r="IA224" s="2583"/>
      <c r="IB224" s="2583"/>
      <c r="IC224" s="2583"/>
      <c r="ID224" s="2583"/>
      <c r="IE224" s="2583"/>
      <c r="IF224" s="2583"/>
      <c r="IG224" s="2583"/>
      <c r="IH224" s="2583"/>
      <c r="II224" s="2583"/>
      <c r="IJ224" s="2583"/>
      <c r="IK224" s="2583"/>
      <c r="IL224" s="2583"/>
      <c r="IM224" s="2583"/>
      <c r="IN224" s="2583"/>
      <c r="IO224" s="2583"/>
      <c r="IP224" s="2583"/>
      <c r="IQ224" s="2583"/>
      <c r="IR224" s="2583"/>
      <c r="IS224" s="2583"/>
      <c r="IT224" s="2583"/>
      <c r="IU224" s="2583"/>
      <c r="IV224" s="2583"/>
    </row>
    <row r="225" spans="3:256">
      <c r="C225" s="2584"/>
      <c r="D225" s="2584"/>
      <c r="E225" s="2584"/>
      <c r="F225" s="2584"/>
      <c r="G225" s="2584"/>
      <c r="H225" s="2584"/>
      <c r="AC225" s="2583"/>
      <c r="AD225" s="2583"/>
      <c r="AE225" s="2583"/>
      <c r="AF225" s="2583"/>
      <c r="AG225" s="2583"/>
      <c r="AH225" s="2583"/>
      <c r="AI225" s="2583"/>
      <c r="AJ225" s="2583"/>
      <c r="AK225" s="2583"/>
      <c r="AL225" s="2583"/>
      <c r="AM225" s="2583"/>
      <c r="AN225" s="2583"/>
      <c r="AO225" s="2583"/>
      <c r="AP225" s="2583"/>
      <c r="AQ225" s="2583"/>
      <c r="AR225" s="2583"/>
      <c r="AS225" s="2583"/>
      <c r="AT225" s="2583"/>
      <c r="AU225" s="2583"/>
      <c r="AV225" s="2583"/>
      <c r="AW225" s="2583"/>
      <c r="AX225" s="2583"/>
      <c r="AY225" s="2583"/>
      <c r="AZ225" s="2583"/>
      <c r="BA225" s="2583"/>
      <c r="BB225" s="2583"/>
      <c r="BC225" s="2583"/>
      <c r="BD225" s="2583"/>
      <c r="BE225" s="2583"/>
      <c r="BF225" s="2583"/>
      <c r="BG225" s="2583"/>
      <c r="BH225" s="2583"/>
      <c r="BI225" s="2583"/>
      <c r="BJ225" s="2583"/>
      <c r="BK225" s="2583"/>
      <c r="BL225" s="2583"/>
      <c r="BM225" s="2583"/>
      <c r="BN225" s="2583"/>
      <c r="BO225" s="2583"/>
      <c r="BP225" s="2583"/>
      <c r="BQ225" s="2583"/>
      <c r="BR225" s="2583"/>
      <c r="BS225" s="2583"/>
      <c r="BT225" s="2583"/>
      <c r="BU225" s="2583"/>
      <c r="BV225" s="2583"/>
      <c r="BW225" s="2583"/>
      <c r="BX225" s="2583"/>
      <c r="BY225" s="2583"/>
      <c r="BZ225" s="2583"/>
      <c r="CA225" s="2583"/>
      <c r="CB225" s="2583"/>
      <c r="CC225" s="2583"/>
      <c r="CD225" s="2583"/>
      <c r="CE225" s="2583"/>
      <c r="CF225" s="2583"/>
      <c r="CG225" s="2583"/>
      <c r="CH225" s="2583"/>
      <c r="CI225" s="2583"/>
      <c r="CJ225" s="2583"/>
      <c r="CK225" s="2583"/>
      <c r="CL225" s="2583"/>
      <c r="CM225" s="2583"/>
      <c r="CN225" s="2583"/>
      <c r="CO225" s="2583"/>
      <c r="CP225" s="2583"/>
      <c r="CQ225" s="2583"/>
      <c r="CR225" s="2583"/>
      <c r="CS225" s="2583"/>
      <c r="CT225" s="2583"/>
      <c r="CU225" s="2583"/>
      <c r="CV225" s="2583"/>
      <c r="CW225" s="2583"/>
      <c r="CX225" s="2583"/>
      <c r="CY225" s="2583"/>
      <c r="CZ225" s="2583"/>
      <c r="DA225" s="2583"/>
      <c r="DB225" s="2583"/>
      <c r="DC225" s="2583"/>
      <c r="DD225" s="2583"/>
      <c r="DE225" s="2583"/>
      <c r="DF225" s="2583"/>
      <c r="DG225" s="2583"/>
      <c r="DH225" s="2583"/>
      <c r="DI225" s="2583"/>
      <c r="DJ225" s="2583"/>
      <c r="DK225" s="2583"/>
      <c r="DL225" s="2583"/>
      <c r="DM225" s="2583"/>
      <c r="DN225" s="2583"/>
      <c r="DO225" s="2583"/>
      <c r="DP225" s="2583"/>
      <c r="DQ225" s="2583"/>
      <c r="DR225" s="2583"/>
      <c r="DS225" s="2583"/>
      <c r="DT225" s="2583"/>
      <c r="DU225" s="2583"/>
      <c r="DV225" s="2583"/>
      <c r="DW225" s="2583"/>
      <c r="DX225" s="2583"/>
      <c r="DY225" s="2583"/>
      <c r="DZ225" s="2583"/>
      <c r="EA225" s="2583"/>
      <c r="EB225" s="2583"/>
      <c r="EC225" s="2583"/>
      <c r="ED225" s="2583"/>
      <c r="EE225" s="2583"/>
      <c r="EF225" s="2583"/>
      <c r="EG225" s="2583"/>
      <c r="EH225" s="2583"/>
      <c r="EI225" s="2583"/>
      <c r="EJ225" s="2583"/>
      <c r="EK225" s="2583"/>
      <c r="EL225" s="2583"/>
      <c r="EM225" s="2583"/>
      <c r="EN225" s="2583"/>
      <c r="EO225" s="2583"/>
      <c r="EP225" s="2583"/>
      <c r="EQ225" s="2583"/>
      <c r="ER225" s="2583"/>
      <c r="ES225" s="2583"/>
      <c r="ET225" s="2583"/>
      <c r="EU225" s="2583"/>
      <c r="EV225" s="2583"/>
      <c r="EW225" s="2583"/>
      <c r="EX225" s="2583"/>
      <c r="EY225" s="2583"/>
      <c r="EZ225" s="2583"/>
      <c r="FA225" s="2583"/>
      <c r="FB225" s="2583"/>
      <c r="FC225" s="2583"/>
      <c r="FD225" s="2583"/>
      <c r="FE225" s="2583"/>
      <c r="FF225" s="2583"/>
      <c r="FG225" s="2583"/>
      <c r="FH225" s="2583"/>
      <c r="FI225" s="2583"/>
      <c r="FJ225" s="2583"/>
      <c r="FK225" s="2583"/>
      <c r="FL225" s="2583"/>
      <c r="FM225" s="2583"/>
      <c r="FN225" s="2583"/>
      <c r="FO225" s="2583"/>
      <c r="FP225" s="2583"/>
      <c r="FQ225" s="2583"/>
      <c r="FR225" s="2583"/>
      <c r="FS225" s="2583"/>
      <c r="FT225" s="2583"/>
      <c r="FU225" s="2583"/>
      <c r="FV225" s="2583"/>
      <c r="FW225" s="2583"/>
      <c r="FX225" s="2583"/>
      <c r="FY225" s="2583"/>
      <c r="FZ225" s="2583"/>
      <c r="GA225" s="2583"/>
      <c r="GB225" s="2583"/>
      <c r="GC225" s="2583"/>
      <c r="GD225" s="2583"/>
      <c r="GE225" s="2583"/>
      <c r="GF225" s="2583"/>
      <c r="GG225" s="2583"/>
      <c r="GH225" s="2583"/>
      <c r="GI225" s="2583"/>
      <c r="GJ225" s="2583"/>
      <c r="GK225" s="2583"/>
      <c r="GL225" s="2583"/>
      <c r="GM225" s="2583"/>
      <c r="GN225" s="2583"/>
      <c r="GO225" s="2583"/>
      <c r="GP225" s="2583"/>
      <c r="GQ225" s="2583"/>
      <c r="GR225" s="2583"/>
      <c r="GS225" s="2583"/>
      <c r="GT225" s="2583"/>
      <c r="GU225" s="2583"/>
      <c r="GV225" s="2583"/>
      <c r="GW225" s="2583"/>
      <c r="GX225" s="2583"/>
      <c r="GY225" s="2583"/>
      <c r="GZ225" s="2583"/>
      <c r="HA225" s="2583"/>
      <c r="HB225" s="2583"/>
      <c r="HC225" s="2583"/>
      <c r="HD225" s="2583"/>
      <c r="HE225" s="2583"/>
      <c r="HF225" s="2583"/>
      <c r="HG225" s="2583"/>
      <c r="HH225" s="2583"/>
      <c r="HI225" s="2583"/>
      <c r="HJ225" s="2583"/>
      <c r="HK225" s="2583"/>
      <c r="HL225" s="2583"/>
      <c r="HM225" s="2583"/>
      <c r="HN225" s="2583"/>
      <c r="HO225" s="2583"/>
      <c r="HP225" s="2583"/>
      <c r="HQ225" s="2583"/>
      <c r="HR225" s="2583"/>
      <c r="HS225" s="2583"/>
      <c r="HT225" s="2583"/>
      <c r="HU225" s="2583"/>
      <c r="HV225" s="2583"/>
      <c r="HW225" s="2583"/>
      <c r="HX225" s="2583"/>
      <c r="HY225" s="2583"/>
      <c r="HZ225" s="2583"/>
      <c r="IA225" s="2583"/>
      <c r="IB225" s="2583"/>
      <c r="IC225" s="2583"/>
      <c r="ID225" s="2583"/>
      <c r="IE225" s="2583"/>
      <c r="IF225" s="2583"/>
      <c r="IG225" s="2583"/>
      <c r="IH225" s="2583"/>
      <c r="II225" s="2583"/>
      <c r="IJ225" s="2583"/>
      <c r="IK225" s="2583"/>
      <c r="IL225" s="2583"/>
      <c r="IM225" s="2583"/>
      <c r="IN225" s="2583"/>
      <c r="IO225" s="2583"/>
      <c r="IP225" s="2583"/>
      <c r="IQ225" s="2583"/>
      <c r="IR225" s="2583"/>
      <c r="IS225" s="2583"/>
      <c r="IT225" s="2583"/>
      <c r="IU225" s="2583"/>
      <c r="IV225" s="2583"/>
    </row>
    <row r="226" spans="3:256">
      <c r="C226" s="2584"/>
      <c r="D226" s="2584"/>
      <c r="E226" s="2584"/>
      <c r="F226" s="2584"/>
      <c r="G226" s="2584"/>
      <c r="H226" s="2584"/>
      <c r="AC226" s="2583"/>
      <c r="AD226" s="2583"/>
      <c r="AE226" s="2583"/>
      <c r="AF226" s="2583"/>
      <c r="AG226" s="2583"/>
      <c r="AH226" s="2583"/>
      <c r="AI226" s="2583"/>
      <c r="AJ226" s="2583"/>
      <c r="AK226" s="2583"/>
      <c r="AL226" s="2583"/>
      <c r="AM226" s="2583"/>
      <c r="AN226" s="2583"/>
      <c r="AO226" s="2583"/>
      <c r="AP226" s="2583"/>
      <c r="AQ226" s="2583"/>
      <c r="AR226" s="2583"/>
      <c r="AS226" s="2583"/>
      <c r="AT226" s="2583"/>
      <c r="AU226" s="2583"/>
      <c r="AV226" s="2583"/>
      <c r="AW226" s="2583"/>
      <c r="AX226" s="2583"/>
      <c r="AY226" s="2583"/>
      <c r="AZ226" s="2583"/>
      <c r="BA226" s="2583"/>
      <c r="BB226" s="2583"/>
      <c r="BC226" s="2583"/>
      <c r="BD226" s="2583"/>
      <c r="BE226" s="2583"/>
      <c r="BF226" s="2583"/>
      <c r="BG226" s="2583"/>
      <c r="BH226" s="2583"/>
      <c r="BI226" s="2583"/>
      <c r="BJ226" s="2583"/>
      <c r="BK226" s="2583"/>
      <c r="BL226" s="2583"/>
      <c r="BM226" s="2583"/>
      <c r="BN226" s="2583"/>
      <c r="BO226" s="2583"/>
      <c r="BP226" s="2583"/>
      <c r="BQ226" s="2583"/>
      <c r="BR226" s="2583"/>
      <c r="BS226" s="2583"/>
      <c r="BT226" s="2583"/>
      <c r="BU226" s="2583"/>
      <c r="BV226" s="2583"/>
      <c r="BW226" s="2583"/>
      <c r="BX226" s="2583"/>
      <c r="BY226" s="2583"/>
      <c r="BZ226" s="2583"/>
      <c r="CA226" s="2583"/>
      <c r="CB226" s="2583"/>
      <c r="CC226" s="2583"/>
      <c r="CD226" s="2583"/>
      <c r="CE226" s="2583"/>
      <c r="CF226" s="2583"/>
      <c r="CG226" s="2583"/>
      <c r="CH226" s="2583"/>
      <c r="CI226" s="2583"/>
      <c r="CJ226" s="2583"/>
      <c r="CK226" s="2583"/>
      <c r="CL226" s="2583"/>
      <c r="CM226" s="2583"/>
      <c r="CN226" s="2583"/>
      <c r="CO226" s="2583"/>
      <c r="CP226" s="2583"/>
      <c r="CQ226" s="2583"/>
      <c r="CR226" s="2583"/>
      <c r="CS226" s="2583"/>
      <c r="CT226" s="2583"/>
      <c r="CU226" s="2583"/>
      <c r="CV226" s="2583"/>
      <c r="CW226" s="2583"/>
      <c r="CX226" s="2583"/>
      <c r="CY226" s="2583"/>
      <c r="CZ226" s="2583"/>
      <c r="DA226" s="2583"/>
      <c r="DB226" s="2583"/>
      <c r="DC226" s="2583"/>
      <c r="DD226" s="2583"/>
      <c r="DE226" s="2583"/>
      <c r="DF226" s="2583"/>
      <c r="DG226" s="2583"/>
      <c r="DH226" s="2583"/>
      <c r="DI226" s="2583"/>
      <c r="DJ226" s="2583"/>
      <c r="DK226" s="2583"/>
      <c r="DL226" s="2583"/>
      <c r="DM226" s="2583"/>
      <c r="DN226" s="2583"/>
      <c r="DO226" s="2583"/>
      <c r="DP226" s="2583"/>
      <c r="DQ226" s="2583"/>
      <c r="DR226" s="2583"/>
      <c r="DS226" s="2583"/>
      <c r="DT226" s="2583"/>
      <c r="DU226" s="2583"/>
      <c r="DV226" s="2583"/>
      <c r="DW226" s="2583"/>
      <c r="DX226" s="2583"/>
      <c r="DY226" s="2583"/>
      <c r="DZ226" s="2583"/>
      <c r="EA226" s="2583"/>
      <c r="EB226" s="2583"/>
      <c r="EC226" s="2583"/>
      <c r="ED226" s="2583"/>
      <c r="EE226" s="2583"/>
      <c r="EF226" s="2583"/>
      <c r="EG226" s="2583"/>
      <c r="EH226" s="2583"/>
      <c r="EI226" s="2583"/>
      <c r="EJ226" s="2583"/>
      <c r="EK226" s="2583"/>
      <c r="EL226" s="2583"/>
      <c r="EM226" s="2583"/>
      <c r="EN226" s="2583"/>
      <c r="EO226" s="2583"/>
      <c r="EP226" s="2583"/>
      <c r="EQ226" s="2583"/>
      <c r="ER226" s="2583"/>
      <c r="ES226" s="2583"/>
      <c r="ET226" s="2583"/>
      <c r="EU226" s="2583"/>
      <c r="EV226" s="2583"/>
      <c r="EW226" s="2583"/>
      <c r="EX226" s="2583"/>
      <c r="EY226" s="2583"/>
      <c r="EZ226" s="2583"/>
      <c r="FA226" s="2583"/>
      <c r="FB226" s="2583"/>
      <c r="FC226" s="2583"/>
      <c r="FD226" s="2583"/>
      <c r="FE226" s="2583"/>
      <c r="FF226" s="2583"/>
      <c r="FG226" s="2583"/>
      <c r="FH226" s="2583"/>
      <c r="FI226" s="2583"/>
      <c r="FJ226" s="2583"/>
      <c r="FK226" s="2583"/>
      <c r="FL226" s="2583"/>
      <c r="FM226" s="2583"/>
      <c r="FN226" s="2583"/>
      <c r="FO226" s="2583"/>
      <c r="FP226" s="2583"/>
      <c r="FQ226" s="2583"/>
      <c r="FR226" s="2583"/>
      <c r="FS226" s="2583"/>
      <c r="FT226" s="2583"/>
      <c r="FU226" s="2583"/>
      <c r="FV226" s="2583"/>
      <c r="FW226" s="2583"/>
      <c r="FX226" s="2583"/>
      <c r="FY226" s="2583"/>
      <c r="FZ226" s="2583"/>
      <c r="GA226" s="2583"/>
      <c r="GB226" s="2583"/>
      <c r="GC226" s="2583"/>
      <c r="GD226" s="2583"/>
      <c r="GE226" s="2583"/>
      <c r="GF226" s="2583"/>
      <c r="GG226" s="2583"/>
      <c r="GH226" s="2583"/>
      <c r="GI226" s="2583"/>
      <c r="GJ226" s="2583"/>
      <c r="GK226" s="2583"/>
      <c r="GL226" s="2583"/>
      <c r="GM226" s="2583"/>
      <c r="GN226" s="2583"/>
      <c r="GO226" s="2583"/>
      <c r="GP226" s="2583"/>
      <c r="GQ226" s="2583"/>
      <c r="GR226" s="2583"/>
      <c r="GS226" s="2583"/>
      <c r="GT226" s="2583"/>
      <c r="GU226" s="2583"/>
      <c r="GV226" s="2583"/>
      <c r="GW226" s="2583"/>
      <c r="GX226" s="2583"/>
      <c r="GY226" s="2583"/>
      <c r="GZ226" s="2583"/>
      <c r="HA226" s="2583"/>
      <c r="HB226" s="2583"/>
      <c r="HC226" s="2583"/>
      <c r="HD226" s="2583"/>
      <c r="HE226" s="2583"/>
      <c r="HF226" s="2583"/>
      <c r="HG226" s="2583"/>
      <c r="HH226" s="2583"/>
      <c r="HI226" s="2583"/>
      <c r="HJ226" s="2583"/>
      <c r="HK226" s="2583"/>
      <c r="HL226" s="2583"/>
      <c r="HM226" s="2583"/>
      <c r="HN226" s="2583"/>
      <c r="HO226" s="2583"/>
      <c r="HP226" s="2583"/>
      <c r="HQ226" s="2583"/>
      <c r="HR226" s="2583"/>
      <c r="HS226" s="2583"/>
      <c r="HT226" s="2583"/>
      <c r="HU226" s="2583"/>
      <c r="HV226" s="2583"/>
      <c r="HW226" s="2583"/>
      <c r="HX226" s="2583"/>
      <c r="HY226" s="2583"/>
      <c r="HZ226" s="2583"/>
      <c r="IA226" s="2583"/>
      <c r="IB226" s="2583"/>
      <c r="IC226" s="2583"/>
      <c r="ID226" s="2583"/>
      <c r="IE226" s="2583"/>
      <c r="IF226" s="2583"/>
      <c r="IG226" s="2583"/>
      <c r="IH226" s="2583"/>
      <c r="II226" s="2583"/>
      <c r="IJ226" s="2583"/>
      <c r="IK226" s="2583"/>
      <c r="IL226" s="2583"/>
      <c r="IM226" s="2583"/>
      <c r="IN226" s="2583"/>
      <c r="IO226" s="2583"/>
      <c r="IP226" s="2583"/>
      <c r="IQ226" s="2583"/>
      <c r="IR226" s="2583"/>
      <c r="IS226" s="2583"/>
      <c r="IT226" s="2583"/>
      <c r="IU226" s="2583"/>
      <c r="IV226" s="2583"/>
    </row>
    <row r="227" spans="3:256">
      <c r="C227" s="2584"/>
      <c r="D227" s="2584"/>
      <c r="E227" s="2584"/>
      <c r="F227" s="2584"/>
      <c r="G227" s="2584"/>
      <c r="H227" s="2584"/>
      <c r="AC227" s="2583"/>
      <c r="AD227" s="2583"/>
      <c r="AE227" s="2583"/>
      <c r="AF227" s="2583"/>
      <c r="AG227" s="2583"/>
      <c r="AH227" s="2583"/>
      <c r="AI227" s="2583"/>
      <c r="AJ227" s="2583"/>
      <c r="AK227" s="2583"/>
      <c r="AL227" s="2583"/>
      <c r="AM227" s="2583"/>
      <c r="AN227" s="2583"/>
      <c r="AO227" s="2583"/>
      <c r="AP227" s="2583"/>
      <c r="AQ227" s="2583"/>
      <c r="AR227" s="2583"/>
      <c r="AS227" s="2583"/>
      <c r="AT227" s="2583"/>
      <c r="AU227" s="2583"/>
      <c r="AV227" s="2583"/>
      <c r="AW227" s="2583"/>
      <c r="AX227" s="2583"/>
      <c r="AY227" s="2583"/>
      <c r="AZ227" s="2583"/>
      <c r="BA227" s="2583"/>
      <c r="BB227" s="2583"/>
      <c r="BC227" s="2583"/>
      <c r="BD227" s="2583"/>
      <c r="BE227" s="2583"/>
      <c r="BF227" s="2583"/>
      <c r="BG227" s="2583"/>
      <c r="BH227" s="2583"/>
      <c r="BI227" s="2583"/>
      <c r="BJ227" s="2583"/>
      <c r="BK227" s="2583"/>
      <c r="BL227" s="2583"/>
      <c r="BM227" s="2583"/>
      <c r="BN227" s="2583"/>
      <c r="BO227" s="2583"/>
      <c r="BP227" s="2583"/>
      <c r="BQ227" s="2583"/>
      <c r="BR227" s="2583"/>
      <c r="BS227" s="2583"/>
      <c r="BT227" s="2583"/>
      <c r="BU227" s="2583"/>
      <c r="BV227" s="2583"/>
      <c r="BW227" s="2583"/>
      <c r="BX227" s="2583"/>
      <c r="BY227" s="2583"/>
      <c r="BZ227" s="2583"/>
      <c r="CA227" s="2583"/>
      <c r="CB227" s="2583"/>
      <c r="CC227" s="2583"/>
      <c r="CD227" s="2583"/>
      <c r="CE227" s="2583"/>
      <c r="CF227" s="2583"/>
      <c r="CG227" s="2583"/>
      <c r="CH227" s="2583"/>
      <c r="CI227" s="2583"/>
      <c r="CJ227" s="2583"/>
      <c r="CK227" s="2583"/>
      <c r="CL227" s="2583"/>
      <c r="CM227" s="2583"/>
      <c r="CN227" s="2583"/>
      <c r="CO227" s="2583"/>
      <c r="CP227" s="2583"/>
      <c r="CQ227" s="2583"/>
      <c r="CR227" s="2583"/>
      <c r="CS227" s="2583"/>
      <c r="CT227" s="2583"/>
      <c r="CU227" s="2583"/>
      <c r="CV227" s="2583"/>
      <c r="CW227" s="2583"/>
      <c r="CX227" s="2583"/>
      <c r="CY227" s="2583"/>
      <c r="CZ227" s="2583"/>
      <c r="DA227" s="2583"/>
      <c r="DB227" s="2583"/>
      <c r="DC227" s="2583"/>
      <c r="DD227" s="2583"/>
      <c r="DE227" s="2583"/>
      <c r="DF227" s="2583"/>
      <c r="DG227" s="2583"/>
      <c r="DH227" s="2583"/>
      <c r="DI227" s="2583"/>
      <c r="DJ227" s="2583"/>
      <c r="DK227" s="2583"/>
      <c r="DL227" s="2583"/>
      <c r="DM227" s="2583"/>
      <c r="DN227" s="2583"/>
      <c r="DO227" s="2583"/>
      <c r="DP227" s="2583"/>
      <c r="DQ227" s="2583"/>
      <c r="DR227" s="2583"/>
      <c r="DS227" s="2583"/>
      <c r="DT227" s="2583"/>
      <c r="DU227" s="2583"/>
      <c r="DV227" s="2583"/>
      <c r="DW227" s="2583"/>
      <c r="DX227" s="2583"/>
      <c r="DY227" s="2583"/>
      <c r="DZ227" s="2583"/>
      <c r="EA227" s="2583"/>
      <c r="EB227" s="2583"/>
      <c r="EC227" s="2583"/>
      <c r="ED227" s="2583"/>
      <c r="EE227" s="2583"/>
      <c r="EF227" s="2583"/>
      <c r="EG227" s="2583"/>
      <c r="EH227" s="2583"/>
      <c r="EI227" s="2583"/>
      <c r="EJ227" s="2583"/>
      <c r="EK227" s="2583"/>
      <c r="EL227" s="2583"/>
      <c r="EM227" s="2583"/>
      <c r="EN227" s="2583"/>
      <c r="EO227" s="2583"/>
      <c r="EP227" s="2583"/>
      <c r="EQ227" s="2583"/>
      <c r="ER227" s="2583"/>
      <c r="ES227" s="2583"/>
      <c r="ET227" s="2583"/>
      <c r="EU227" s="2583"/>
      <c r="EV227" s="2583"/>
      <c r="EW227" s="2583"/>
      <c r="EX227" s="2583"/>
      <c r="EY227" s="2583"/>
      <c r="EZ227" s="2583"/>
      <c r="FA227" s="2583"/>
      <c r="FB227" s="2583"/>
      <c r="FC227" s="2583"/>
      <c r="FD227" s="2583"/>
      <c r="FE227" s="2583"/>
      <c r="FF227" s="2583"/>
      <c r="FG227" s="2583"/>
      <c r="FH227" s="2583"/>
      <c r="FI227" s="2583"/>
      <c r="FJ227" s="2583"/>
      <c r="FK227" s="2583"/>
      <c r="FL227" s="2583"/>
      <c r="FM227" s="2583"/>
      <c r="FN227" s="2583"/>
      <c r="FO227" s="2583"/>
      <c r="FP227" s="2583"/>
      <c r="FQ227" s="2583"/>
      <c r="FR227" s="2583"/>
      <c r="FS227" s="2583"/>
      <c r="FT227" s="2583"/>
      <c r="FU227" s="2583"/>
      <c r="FV227" s="2583"/>
      <c r="FW227" s="2583"/>
      <c r="FX227" s="2583"/>
      <c r="FY227" s="2583"/>
      <c r="FZ227" s="2583"/>
      <c r="GA227" s="2583"/>
      <c r="GB227" s="2583"/>
      <c r="GC227" s="2583"/>
      <c r="GD227" s="2583"/>
      <c r="GE227" s="2583"/>
      <c r="GF227" s="2583"/>
      <c r="GG227" s="2583"/>
      <c r="GH227" s="2583"/>
      <c r="GI227" s="2583"/>
      <c r="GJ227" s="2583"/>
      <c r="GK227" s="2583"/>
      <c r="GL227" s="2583"/>
      <c r="GM227" s="2583"/>
      <c r="GN227" s="2583"/>
      <c r="GO227" s="2583"/>
      <c r="GP227" s="2583"/>
      <c r="GQ227" s="2583"/>
      <c r="GR227" s="2583"/>
      <c r="GS227" s="2583"/>
      <c r="GT227" s="2583"/>
      <c r="GU227" s="2583"/>
      <c r="GV227" s="2583"/>
      <c r="GW227" s="2583"/>
      <c r="GX227" s="2583"/>
      <c r="GY227" s="2583"/>
      <c r="GZ227" s="2583"/>
      <c r="HA227" s="2583"/>
      <c r="HB227" s="2583"/>
      <c r="HC227" s="2583"/>
      <c r="HD227" s="2583"/>
      <c r="HE227" s="2583"/>
      <c r="HF227" s="2583"/>
      <c r="HG227" s="2583"/>
      <c r="HH227" s="2583"/>
      <c r="HI227" s="2583"/>
      <c r="HJ227" s="2583"/>
      <c r="HK227" s="2583"/>
      <c r="HL227" s="2583"/>
      <c r="HM227" s="2583"/>
      <c r="HN227" s="2583"/>
      <c r="HO227" s="2583"/>
      <c r="HP227" s="2583"/>
      <c r="HQ227" s="2583"/>
      <c r="HR227" s="2583"/>
      <c r="HS227" s="2583"/>
      <c r="HT227" s="2583"/>
      <c r="HU227" s="2583"/>
      <c r="HV227" s="2583"/>
      <c r="HW227" s="2583"/>
      <c r="HX227" s="2583"/>
      <c r="HY227" s="2583"/>
      <c r="HZ227" s="2583"/>
      <c r="IA227" s="2583"/>
      <c r="IB227" s="2583"/>
      <c r="IC227" s="2583"/>
      <c r="ID227" s="2583"/>
      <c r="IE227" s="2583"/>
      <c r="IF227" s="2583"/>
      <c r="IG227" s="2583"/>
      <c r="IH227" s="2583"/>
      <c r="II227" s="2583"/>
      <c r="IJ227" s="2583"/>
      <c r="IK227" s="2583"/>
      <c r="IL227" s="2583"/>
      <c r="IM227" s="2583"/>
      <c r="IN227" s="2583"/>
      <c r="IO227" s="2583"/>
      <c r="IP227" s="2583"/>
      <c r="IQ227" s="2583"/>
      <c r="IR227" s="2583"/>
      <c r="IS227" s="2583"/>
      <c r="IT227" s="2583"/>
      <c r="IU227" s="2583"/>
      <c r="IV227" s="2583"/>
    </row>
    <row r="228" spans="3:256">
      <c r="C228" s="2584"/>
      <c r="D228" s="2584"/>
      <c r="E228" s="2584"/>
      <c r="F228" s="2584"/>
      <c r="G228" s="2584"/>
      <c r="H228" s="2584"/>
      <c r="AC228" s="2583"/>
      <c r="AD228" s="2583"/>
      <c r="AE228" s="2583"/>
      <c r="AF228" s="2583"/>
      <c r="AG228" s="2583"/>
      <c r="AH228" s="2583"/>
      <c r="AI228" s="2583"/>
      <c r="AJ228" s="2583"/>
      <c r="AK228" s="2583"/>
      <c r="AL228" s="2583"/>
      <c r="AM228" s="2583"/>
      <c r="AN228" s="2583"/>
      <c r="AO228" s="2583"/>
      <c r="AP228" s="2583"/>
      <c r="AQ228" s="2583"/>
      <c r="AR228" s="2583"/>
      <c r="AS228" s="2583"/>
      <c r="AT228" s="2583"/>
      <c r="AU228" s="2583"/>
      <c r="AV228" s="2583"/>
      <c r="AW228" s="2583"/>
      <c r="AX228" s="2583"/>
      <c r="AY228" s="2583"/>
      <c r="AZ228" s="2583"/>
      <c r="BA228" s="2583"/>
      <c r="BB228" s="2583"/>
      <c r="BC228" s="2583"/>
      <c r="BD228" s="2583"/>
      <c r="BE228" s="2583"/>
      <c r="BF228" s="2583"/>
      <c r="BG228" s="2583"/>
      <c r="BH228" s="2583"/>
      <c r="BI228" s="2583"/>
      <c r="BJ228" s="2583"/>
      <c r="BK228" s="2583"/>
      <c r="BL228" s="2583"/>
      <c r="BM228" s="2583"/>
      <c r="BN228" s="2583"/>
      <c r="BO228" s="2583"/>
      <c r="BP228" s="2583"/>
      <c r="BQ228" s="2583"/>
      <c r="BR228" s="2583"/>
      <c r="BS228" s="2583"/>
      <c r="BT228" s="2583"/>
      <c r="BU228" s="2583"/>
      <c r="BV228" s="2583"/>
      <c r="BW228" s="2583"/>
      <c r="BX228" s="2583"/>
      <c r="BY228" s="2583"/>
      <c r="BZ228" s="2583"/>
      <c r="CA228" s="2583"/>
      <c r="CB228" s="2583"/>
      <c r="CC228" s="2583"/>
      <c r="CD228" s="2583"/>
      <c r="CE228" s="2583"/>
      <c r="CF228" s="2583"/>
      <c r="CG228" s="2583"/>
      <c r="CH228" s="2583"/>
      <c r="CI228" s="2583"/>
      <c r="CJ228" s="2583"/>
      <c r="CK228" s="2583"/>
      <c r="CL228" s="2583"/>
      <c r="CM228" s="2583"/>
      <c r="CN228" s="2583"/>
      <c r="CO228" s="2583"/>
      <c r="CP228" s="2583"/>
      <c r="CQ228" s="2583"/>
      <c r="CR228" s="2583"/>
      <c r="CS228" s="2583"/>
      <c r="CT228" s="2583"/>
      <c r="CU228" s="2583"/>
      <c r="CV228" s="2583"/>
      <c r="CW228" s="2583"/>
      <c r="CX228" s="2583"/>
      <c r="CY228" s="2583"/>
      <c r="CZ228" s="2583"/>
      <c r="DA228" s="2583"/>
      <c r="DB228" s="2583"/>
      <c r="DC228" s="2583"/>
      <c r="DD228" s="2583"/>
      <c r="DE228" s="2583"/>
      <c r="DF228" s="2583"/>
      <c r="DG228" s="2583"/>
      <c r="DH228" s="2583"/>
      <c r="DI228" s="2583"/>
      <c r="DJ228" s="2583"/>
      <c r="DK228" s="2583"/>
      <c r="DL228" s="2583"/>
      <c r="DM228" s="2583"/>
      <c r="DN228" s="2583"/>
      <c r="DO228" s="2583"/>
      <c r="DP228" s="2583"/>
      <c r="DQ228" s="2583"/>
      <c r="DR228" s="2583"/>
      <c r="DS228" s="2583"/>
      <c r="DT228" s="2583"/>
      <c r="DU228" s="2583"/>
      <c r="DV228" s="2583"/>
      <c r="DW228" s="2583"/>
      <c r="DX228" s="2583"/>
      <c r="DY228" s="2583"/>
      <c r="DZ228" s="2583"/>
      <c r="EA228" s="2583"/>
      <c r="EB228" s="2583"/>
      <c r="EC228" s="2583"/>
      <c r="ED228" s="2583"/>
      <c r="EE228" s="2583"/>
      <c r="EF228" s="2583"/>
      <c r="EG228" s="2583"/>
      <c r="EH228" s="2583"/>
      <c r="EI228" s="2583"/>
      <c r="EJ228" s="2583"/>
      <c r="EK228" s="2583"/>
      <c r="EL228" s="2583"/>
      <c r="EM228" s="2583"/>
      <c r="EN228" s="2583"/>
      <c r="EO228" s="2583"/>
      <c r="EP228" s="2583"/>
      <c r="EQ228" s="2583"/>
      <c r="ER228" s="2583"/>
      <c r="ES228" s="2583"/>
      <c r="ET228" s="2583"/>
      <c r="EU228" s="2583"/>
      <c r="EV228" s="2583"/>
      <c r="EW228" s="2583"/>
      <c r="EX228" s="2583"/>
      <c r="EY228" s="2583"/>
      <c r="EZ228" s="2583"/>
      <c r="FA228" s="2583"/>
      <c r="FB228" s="2583"/>
      <c r="FC228" s="2583"/>
      <c r="FD228" s="2583"/>
      <c r="FE228" s="2583"/>
      <c r="FF228" s="2583"/>
      <c r="FG228" s="2583"/>
      <c r="FH228" s="2583"/>
      <c r="FI228" s="2583"/>
      <c r="FJ228" s="2583"/>
      <c r="FK228" s="2583"/>
      <c r="FL228" s="2583"/>
      <c r="FM228" s="2583"/>
      <c r="FN228" s="2583"/>
      <c r="FO228" s="2583"/>
      <c r="FP228" s="2583"/>
      <c r="FQ228" s="2583"/>
      <c r="FR228" s="2583"/>
      <c r="FS228" s="2583"/>
      <c r="FT228" s="2583"/>
      <c r="FU228" s="2583"/>
      <c r="FV228" s="2583"/>
      <c r="FW228" s="2583"/>
      <c r="FX228" s="2583"/>
      <c r="FY228" s="2583"/>
      <c r="FZ228" s="2583"/>
      <c r="GA228" s="2583"/>
      <c r="GB228" s="2583"/>
      <c r="GC228" s="2583"/>
      <c r="GD228" s="2583"/>
      <c r="GE228" s="2583"/>
      <c r="GF228" s="2583"/>
      <c r="GG228" s="2583"/>
      <c r="GH228" s="2583"/>
      <c r="GI228" s="2583"/>
      <c r="GJ228" s="2583"/>
      <c r="GK228" s="2583"/>
      <c r="GL228" s="2583"/>
      <c r="GM228" s="2583"/>
      <c r="GN228" s="2583"/>
      <c r="GO228" s="2583"/>
      <c r="GP228" s="2583"/>
      <c r="GQ228" s="2583"/>
      <c r="GR228" s="2583"/>
      <c r="GS228" s="2583"/>
      <c r="GT228" s="2583"/>
      <c r="GU228" s="2583"/>
      <c r="GV228" s="2583"/>
      <c r="GW228" s="2583"/>
      <c r="GX228" s="2583"/>
      <c r="GY228" s="2583"/>
      <c r="GZ228" s="2583"/>
      <c r="HA228" s="2583"/>
      <c r="HB228" s="2583"/>
      <c r="HC228" s="2583"/>
      <c r="HD228" s="2583"/>
      <c r="HE228" s="2583"/>
      <c r="HF228" s="2583"/>
      <c r="HG228" s="2583"/>
      <c r="HH228" s="2583"/>
      <c r="HI228" s="2583"/>
      <c r="HJ228" s="2583"/>
      <c r="HK228" s="2583"/>
      <c r="HL228" s="2583"/>
      <c r="HM228" s="2583"/>
      <c r="HN228" s="2583"/>
      <c r="HO228" s="2583"/>
      <c r="HP228" s="2583"/>
      <c r="HQ228" s="2583"/>
      <c r="HR228" s="2583"/>
      <c r="HS228" s="2583"/>
      <c r="HT228" s="2583"/>
      <c r="HU228" s="2583"/>
      <c r="HV228" s="2583"/>
      <c r="HW228" s="2583"/>
      <c r="HX228" s="2583"/>
      <c r="HY228" s="2583"/>
      <c r="HZ228" s="2583"/>
      <c r="IA228" s="2583"/>
      <c r="IB228" s="2583"/>
      <c r="IC228" s="2583"/>
      <c r="ID228" s="2583"/>
      <c r="IE228" s="2583"/>
      <c r="IF228" s="2583"/>
      <c r="IG228" s="2583"/>
      <c r="IH228" s="2583"/>
      <c r="II228" s="2583"/>
      <c r="IJ228" s="2583"/>
      <c r="IK228" s="2583"/>
      <c r="IL228" s="2583"/>
      <c r="IM228" s="2583"/>
      <c r="IN228" s="2583"/>
      <c r="IO228" s="2583"/>
      <c r="IP228" s="2583"/>
      <c r="IQ228" s="2583"/>
      <c r="IR228" s="2583"/>
      <c r="IS228" s="2583"/>
      <c r="IT228" s="2583"/>
      <c r="IU228" s="2583"/>
      <c r="IV228" s="2583"/>
    </row>
    <row r="229" spans="3:256">
      <c r="C229" s="2584"/>
      <c r="D229" s="2584"/>
      <c r="E229" s="2584"/>
      <c r="F229" s="2584"/>
      <c r="G229" s="2584"/>
      <c r="H229" s="2584"/>
      <c r="AC229" s="2583"/>
      <c r="AD229" s="2583"/>
      <c r="AE229" s="2583"/>
      <c r="AF229" s="2583"/>
      <c r="AG229" s="2583"/>
      <c r="AH229" s="2583"/>
      <c r="AI229" s="2583"/>
      <c r="AJ229" s="2583"/>
      <c r="AK229" s="2583"/>
      <c r="AL229" s="2583"/>
      <c r="AM229" s="2583"/>
      <c r="AN229" s="2583"/>
      <c r="AO229" s="2583"/>
      <c r="AP229" s="2583"/>
      <c r="AQ229" s="2583"/>
      <c r="AR229" s="2583"/>
      <c r="AS229" s="2583"/>
      <c r="AT229" s="2583"/>
      <c r="AU229" s="2583"/>
      <c r="AV229" s="2583"/>
      <c r="AW229" s="2583"/>
      <c r="AX229" s="2583"/>
      <c r="AY229" s="2583"/>
      <c r="AZ229" s="2583"/>
      <c r="BA229" s="2583"/>
      <c r="BB229" s="2583"/>
      <c r="BC229" s="2583"/>
      <c r="BD229" s="2583"/>
      <c r="BE229" s="2583"/>
      <c r="BF229" s="2583"/>
      <c r="BG229" s="2583"/>
      <c r="BH229" s="2583"/>
      <c r="BI229" s="2583"/>
      <c r="BJ229" s="2583"/>
      <c r="BK229" s="2583"/>
      <c r="BL229" s="2583"/>
      <c r="BM229" s="2583"/>
      <c r="BN229" s="2583"/>
      <c r="BO229" s="2583"/>
      <c r="BP229" s="2583"/>
      <c r="BQ229" s="2583"/>
      <c r="BR229" s="2583"/>
      <c r="BS229" s="2583"/>
      <c r="BT229" s="2583"/>
      <c r="BU229" s="2583"/>
      <c r="BV229" s="2583"/>
      <c r="BW229" s="2583"/>
      <c r="BX229" s="2583"/>
      <c r="BY229" s="2583"/>
      <c r="BZ229" s="2583"/>
      <c r="CA229" s="2583"/>
      <c r="CB229" s="2583"/>
      <c r="CC229" s="2583"/>
      <c r="CD229" s="2583"/>
      <c r="CE229" s="2583"/>
      <c r="CF229" s="2583"/>
      <c r="CG229" s="2583"/>
      <c r="CH229" s="2583"/>
      <c r="CI229" s="2583"/>
      <c r="CJ229" s="2583"/>
      <c r="CK229" s="2583"/>
      <c r="CL229" s="2583"/>
      <c r="CM229" s="2583"/>
      <c r="CN229" s="2583"/>
      <c r="CO229" s="2583"/>
      <c r="CP229" s="2583"/>
      <c r="CQ229" s="2583"/>
      <c r="CR229" s="2583"/>
      <c r="CS229" s="2583"/>
      <c r="CT229" s="2583"/>
      <c r="CU229" s="2583"/>
      <c r="CV229" s="2583"/>
      <c r="CW229" s="2583"/>
      <c r="CX229" s="2583"/>
      <c r="CY229" s="2583"/>
      <c r="CZ229" s="2583"/>
      <c r="DA229" s="2583"/>
      <c r="DB229" s="2583"/>
      <c r="DC229" s="2583"/>
      <c r="DD229" s="2583"/>
      <c r="DE229" s="2583"/>
      <c r="DF229" s="2583"/>
      <c r="DG229" s="2583"/>
      <c r="DH229" s="2583"/>
      <c r="DI229" s="2583"/>
      <c r="DJ229" s="2583"/>
      <c r="DK229" s="2583"/>
      <c r="DL229" s="2583"/>
      <c r="DM229" s="2583"/>
      <c r="DN229" s="2583"/>
      <c r="DO229" s="2583"/>
      <c r="DP229" s="2583"/>
      <c r="DQ229" s="2583"/>
      <c r="DR229" s="2583"/>
      <c r="DS229" s="2583"/>
      <c r="DT229" s="2583"/>
      <c r="DU229" s="2583"/>
      <c r="DV229" s="2583"/>
      <c r="DW229" s="2583"/>
      <c r="DX229" s="2583"/>
      <c r="DY229" s="2583"/>
      <c r="DZ229" s="2583"/>
      <c r="EA229" s="2583"/>
      <c r="EB229" s="2583"/>
      <c r="EC229" s="2583"/>
      <c r="ED229" s="2583"/>
      <c r="EE229" s="2583"/>
      <c r="EF229" s="2583"/>
      <c r="EG229" s="2583"/>
      <c r="EH229" s="2583"/>
      <c r="EI229" s="2583"/>
      <c r="EJ229" s="2583"/>
      <c r="EK229" s="2583"/>
      <c r="EL229" s="2583"/>
      <c r="EM229" s="2583"/>
      <c r="EN229" s="2583"/>
      <c r="EO229" s="2583"/>
      <c r="EP229" s="2583"/>
      <c r="EQ229" s="2583"/>
      <c r="ER229" s="2583"/>
      <c r="ES229" s="2583"/>
      <c r="ET229" s="2583"/>
      <c r="EU229" s="2583"/>
      <c r="EV229" s="2583"/>
      <c r="EW229" s="2583"/>
      <c r="EX229" s="2583"/>
      <c r="EY229" s="2583"/>
      <c r="EZ229" s="2583"/>
      <c r="FA229" s="2583"/>
      <c r="FB229" s="2583"/>
      <c r="FC229" s="2583"/>
      <c r="FD229" s="2583"/>
      <c r="FE229" s="2583"/>
      <c r="FF229" s="2583"/>
      <c r="FG229" s="2583"/>
      <c r="FH229" s="2583"/>
      <c r="FI229" s="2583"/>
      <c r="FJ229" s="2583"/>
      <c r="FK229" s="2583"/>
      <c r="FL229" s="2583"/>
      <c r="FM229" s="2583"/>
      <c r="FN229" s="2583"/>
      <c r="FO229" s="2583"/>
      <c r="FP229" s="2583"/>
      <c r="FQ229" s="2583"/>
      <c r="FR229" s="2583"/>
      <c r="FS229" s="2583"/>
      <c r="FT229" s="2583"/>
      <c r="FU229" s="2583"/>
      <c r="FV229" s="2583"/>
      <c r="FW229" s="2583"/>
      <c r="FX229" s="2583"/>
      <c r="FY229" s="2583"/>
      <c r="FZ229" s="2583"/>
      <c r="GA229" s="2583"/>
      <c r="GB229" s="2583"/>
      <c r="GC229" s="2583"/>
      <c r="GD229" s="2583"/>
      <c r="GE229" s="2583"/>
      <c r="GF229" s="2583"/>
      <c r="GG229" s="2583"/>
      <c r="GH229" s="2583"/>
      <c r="GI229" s="2583"/>
      <c r="GJ229" s="2583"/>
      <c r="GK229" s="2583"/>
      <c r="GL229" s="2583"/>
      <c r="GM229" s="2583"/>
      <c r="GN229" s="2583"/>
      <c r="GO229" s="2583"/>
      <c r="GP229" s="2583"/>
      <c r="GQ229" s="2583"/>
      <c r="GR229" s="2583"/>
      <c r="GS229" s="2583"/>
      <c r="GT229" s="2583"/>
      <c r="GU229" s="2583"/>
      <c r="GV229" s="2583"/>
      <c r="GW229" s="2583"/>
      <c r="GX229" s="2583"/>
      <c r="GY229" s="2583"/>
      <c r="GZ229" s="2583"/>
      <c r="HA229" s="2583"/>
      <c r="HB229" s="2583"/>
      <c r="HC229" s="2583"/>
      <c r="HD229" s="2583"/>
      <c r="HE229" s="2583"/>
      <c r="HF229" s="2583"/>
      <c r="HG229" s="2583"/>
      <c r="HH229" s="2583"/>
      <c r="HI229" s="2583"/>
      <c r="HJ229" s="2583"/>
      <c r="HK229" s="2583"/>
      <c r="HL229" s="2583"/>
      <c r="HM229" s="2583"/>
      <c r="HN229" s="2583"/>
      <c r="HO229" s="2583"/>
      <c r="HP229" s="2583"/>
      <c r="HQ229" s="2583"/>
      <c r="HR229" s="2583"/>
      <c r="HS229" s="2583"/>
      <c r="HT229" s="2583"/>
      <c r="HU229" s="2583"/>
      <c r="HV229" s="2583"/>
      <c r="HW229" s="2583"/>
      <c r="HX229" s="2583"/>
      <c r="HY229" s="2583"/>
      <c r="HZ229" s="2583"/>
      <c r="IA229" s="2583"/>
      <c r="IB229" s="2583"/>
      <c r="IC229" s="2583"/>
      <c r="ID229" s="2583"/>
      <c r="IE229" s="2583"/>
      <c r="IF229" s="2583"/>
      <c r="IG229" s="2583"/>
      <c r="IH229" s="2583"/>
      <c r="II229" s="2583"/>
      <c r="IJ229" s="2583"/>
      <c r="IK229" s="2583"/>
      <c r="IL229" s="2583"/>
      <c r="IM229" s="2583"/>
      <c r="IN229" s="2583"/>
      <c r="IO229" s="2583"/>
      <c r="IP229" s="2583"/>
      <c r="IQ229" s="2583"/>
      <c r="IR229" s="2583"/>
      <c r="IS229" s="2583"/>
      <c r="IT229" s="2583"/>
      <c r="IU229" s="2583"/>
      <c r="IV229" s="2583"/>
    </row>
    <row r="230" spans="3:256">
      <c r="C230" s="2584"/>
      <c r="D230" s="2584"/>
      <c r="E230" s="2584"/>
      <c r="F230" s="2584"/>
      <c r="G230" s="2584"/>
      <c r="H230" s="2584"/>
      <c r="AC230" s="2583"/>
      <c r="AD230" s="2583"/>
      <c r="AE230" s="2583"/>
      <c r="AF230" s="2583"/>
      <c r="AG230" s="2583"/>
      <c r="AH230" s="2583"/>
      <c r="AI230" s="2583"/>
      <c r="AJ230" s="2583"/>
      <c r="AK230" s="2583"/>
      <c r="AL230" s="2583"/>
      <c r="AM230" s="2583"/>
      <c r="AN230" s="2583"/>
      <c r="AO230" s="2583"/>
      <c r="AP230" s="2583"/>
      <c r="AQ230" s="2583"/>
      <c r="AR230" s="2583"/>
      <c r="AS230" s="2583"/>
      <c r="AT230" s="2583"/>
      <c r="AU230" s="2583"/>
      <c r="AV230" s="2583"/>
      <c r="AW230" s="2583"/>
      <c r="AX230" s="2583"/>
      <c r="AY230" s="2583"/>
      <c r="AZ230" s="2583"/>
      <c r="BA230" s="2583"/>
      <c r="BB230" s="2583"/>
      <c r="BC230" s="2583"/>
      <c r="BD230" s="2583"/>
      <c r="BE230" s="2583"/>
      <c r="BF230" s="2583"/>
      <c r="BG230" s="2583"/>
      <c r="BH230" s="2583"/>
      <c r="BI230" s="2583"/>
      <c r="BJ230" s="2583"/>
      <c r="BK230" s="2583"/>
      <c r="BL230" s="2583"/>
      <c r="BM230" s="2583"/>
      <c r="BN230" s="2583"/>
      <c r="BO230" s="2583"/>
      <c r="BP230" s="2583"/>
      <c r="BQ230" s="2583"/>
      <c r="BR230" s="2583"/>
      <c r="BS230" s="2583"/>
      <c r="BT230" s="2583"/>
      <c r="BU230" s="2583"/>
      <c r="BV230" s="2583"/>
      <c r="BW230" s="2583"/>
      <c r="BX230" s="2583"/>
      <c r="BY230" s="2583"/>
      <c r="BZ230" s="2583"/>
      <c r="CA230" s="2583"/>
      <c r="CB230" s="2583"/>
      <c r="CC230" s="2583"/>
      <c r="CD230" s="2583"/>
      <c r="CE230" s="2583"/>
      <c r="CF230" s="2583"/>
      <c r="CG230" s="2583"/>
      <c r="CH230" s="2583"/>
      <c r="CI230" s="2583"/>
      <c r="CJ230" s="2583"/>
      <c r="CK230" s="2583"/>
      <c r="CL230" s="2583"/>
      <c r="CM230" s="2583"/>
      <c r="CN230" s="2583"/>
      <c r="CO230" s="2583"/>
      <c r="CP230" s="2583"/>
      <c r="CQ230" s="2583"/>
      <c r="CR230" s="2583"/>
      <c r="CS230" s="2583"/>
      <c r="CT230" s="2583"/>
      <c r="CU230" s="2583"/>
      <c r="CV230" s="2583"/>
      <c r="CW230" s="2583"/>
      <c r="CX230" s="2583"/>
      <c r="CY230" s="2583"/>
      <c r="CZ230" s="2583"/>
      <c r="DA230" s="2583"/>
      <c r="DB230" s="2583"/>
      <c r="DC230" s="2583"/>
      <c r="DD230" s="2583"/>
      <c r="DE230" s="2583"/>
      <c r="DF230" s="2583"/>
      <c r="DG230" s="2583"/>
      <c r="DH230" s="2583"/>
      <c r="DI230" s="2583"/>
      <c r="DJ230" s="2583"/>
      <c r="DK230" s="2583"/>
      <c r="DL230" s="2583"/>
      <c r="DM230" s="2583"/>
      <c r="DN230" s="2583"/>
      <c r="DO230" s="2583"/>
      <c r="DP230" s="2583"/>
      <c r="DQ230" s="2583"/>
      <c r="DR230" s="2583"/>
      <c r="DS230" s="2583"/>
      <c r="DT230" s="2583"/>
      <c r="DU230" s="2583"/>
      <c r="DV230" s="2583"/>
      <c r="DW230" s="2583"/>
      <c r="DX230" s="2583"/>
      <c r="DY230" s="2583"/>
      <c r="DZ230" s="2583"/>
      <c r="EA230" s="2583"/>
      <c r="EB230" s="2583"/>
      <c r="EC230" s="2583"/>
      <c r="ED230" s="2583"/>
      <c r="EE230" s="2583"/>
      <c r="EF230" s="2583"/>
      <c r="EG230" s="2583"/>
      <c r="EH230" s="2583"/>
      <c r="EI230" s="2583"/>
      <c r="EJ230" s="2583"/>
      <c r="EK230" s="2583"/>
      <c r="EL230" s="2583"/>
      <c r="EM230" s="2583"/>
      <c r="EN230" s="2583"/>
      <c r="EO230" s="2583"/>
      <c r="EP230" s="2583"/>
      <c r="EQ230" s="2583"/>
      <c r="ER230" s="2583"/>
      <c r="ES230" s="2583"/>
      <c r="ET230" s="2583"/>
      <c r="EU230" s="2583"/>
      <c r="EV230" s="2583"/>
      <c r="EW230" s="2583"/>
      <c r="EX230" s="2583"/>
      <c r="EY230" s="2583"/>
      <c r="EZ230" s="2583"/>
      <c r="FA230" s="2583"/>
      <c r="FB230" s="2583"/>
      <c r="FC230" s="2583"/>
      <c r="FD230" s="2583"/>
      <c r="FE230" s="2583"/>
      <c r="FF230" s="2583"/>
      <c r="FG230" s="2583"/>
      <c r="FH230" s="2583"/>
      <c r="FI230" s="2583"/>
      <c r="FJ230" s="2583"/>
      <c r="FK230" s="2583"/>
      <c r="FL230" s="2583"/>
      <c r="FM230" s="2583"/>
      <c r="FN230" s="2583"/>
      <c r="FO230" s="2583"/>
      <c r="FP230" s="2583"/>
      <c r="FQ230" s="2583"/>
      <c r="FR230" s="2583"/>
      <c r="FS230" s="2583"/>
      <c r="FT230" s="2583"/>
      <c r="FU230" s="2583"/>
      <c r="FV230" s="2583"/>
      <c r="FW230" s="2583"/>
      <c r="FX230" s="2583"/>
      <c r="FY230" s="2583"/>
      <c r="FZ230" s="2583"/>
      <c r="GA230" s="2583"/>
      <c r="GB230" s="2583"/>
      <c r="GC230" s="2583"/>
      <c r="GD230" s="2583"/>
      <c r="GE230" s="2583"/>
      <c r="GF230" s="2583"/>
      <c r="GG230" s="2583"/>
      <c r="GH230" s="2583"/>
      <c r="GI230" s="2583"/>
      <c r="GJ230" s="2583"/>
      <c r="GK230" s="2583"/>
      <c r="GL230" s="2583"/>
      <c r="GM230" s="2583"/>
      <c r="GN230" s="2583"/>
      <c r="GO230" s="2583"/>
      <c r="GP230" s="2583"/>
      <c r="GQ230" s="2583"/>
      <c r="GR230" s="2583"/>
      <c r="GS230" s="2583"/>
      <c r="GT230" s="2583"/>
      <c r="GU230" s="2583"/>
      <c r="GV230" s="2583"/>
      <c r="GW230" s="2583"/>
      <c r="GX230" s="2583"/>
      <c r="GY230" s="2583"/>
      <c r="GZ230" s="2583"/>
      <c r="HA230" s="2583"/>
      <c r="HB230" s="2583"/>
      <c r="HC230" s="2583"/>
      <c r="HD230" s="2583"/>
      <c r="HE230" s="2583"/>
      <c r="HF230" s="2583"/>
      <c r="HG230" s="2583"/>
      <c r="HH230" s="2583"/>
      <c r="HI230" s="2583"/>
      <c r="HJ230" s="2583"/>
      <c r="HK230" s="2583"/>
      <c r="HL230" s="2583"/>
      <c r="HM230" s="2583"/>
      <c r="HN230" s="2583"/>
      <c r="HO230" s="2583"/>
      <c r="HP230" s="2583"/>
      <c r="HQ230" s="2583"/>
      <c r="HR230" s="2583"/>
      <c r="HS230" s="2583"/>
      <c r="HT230" s="2583"/>
      <c r="HU230" s="2583"/>
      <c r="HV230" s="2583"/>
      <c r="HW230" s="2583"/>
      <c r="HX230" s="2583"/>
      <c r="HY230" s="2583"/>
      <c r="HZ230" s="2583"/>
      <c r="IA230" s="2583"/>
      <c r="IB230" s="2583"/>
      <c r="IC230" s="2583"/>
      <c r="ID230" s="2583"/>
      <c r="IE230" s="2583"/>
      <c r="IF230" s="2583"/>
      <c r="IG230" s="2583"/>
      <c r="IH230" s="2583"/>
      <c r="II230" s="2583"/>
      <c r="IJ230" s="2583"/>
      <c r="IK230" s="2583"/>
      <c r="IL230" s="2583"/>
      <c r="IM230" s="2583"/>
      <c r="IN230" s="2583"/>
      <c r="IO230" s="2583"/>
      <c r="IP230" s="2583"/>
      <c r="IQ230" s="2583"/>
      <c r="IR230" s="2583"/>
      <c r="IS230" s="2583"/>
      <c r="IT230" s="2583"/>
      <c r="IU230" s="2583"/>
      <c r="IV230" s="2583"/>
    </row>
    <row r="231" spans="3:256">
      <c r="C231" s="2584"/>
      <c r="D231" s="2584"/>
      <c r="E231" s="2584"/>
      <c r="F231" s="2584"/>
      <c r="G231" s="2584"/>
      <c r="H231" s="2584"/>
      <c r="AC231" s="2583"/>
      <c r="AD231" s="2583"/>
      <c r="AE231" s="2583"/>
      <c r="AF231" s="2583"/>
      <c r="AG231" s="2583"/>
      <c r="AH231" s="2583"/>
      <c r="AI231" s="2583"/>
      <c r="AJ231" s="2583"/>
      <c r="AK231" s="2583"/>
      <c r="AL231" s="2583"/>
      <c r="AM231" s="2583"/>
      <c r="AN231" s="2583"/>
      <c r="AO231" s="2583"/>
      <c r="AP231" s="2583"/>
      <c r="AQ231" s="2583"/>
      <c r="AR231" s="2583"/>
      <c r="AS231" s="2583"/>
      <c r="AT231" s="2583"/>
      <c r="AU231" s="2583"/>
      <c r="AV231" s="2583"/>
      <c r="AW231" s="2583"/>
      <c r="AX231" s="2583"/>
      <c r="AY231" s="2583"/>
      <c r="AZ231" s="2583"/>
      <c r="BA231" s="2583"/>
      <c r="BB231" s="2583"/>
      <c r="BC231" s="2583"/>
      <c r="BD231" s="2583"/>
      <c r="BE231" s="2583"/>
      <c r="BF231" s="2583"/>
      <c r="BG231" s="2583"/>
      <c r="BH231" s="2583"/>
      <c r="BI231" s="2583"/>
      <c r="BJ231" s="2583"/>
      <c r="BK231" s="2583"/>
      <c r="BL231" s="2583"/>
      <c r="BM231" s="2583"/>
      <c r="BN231" s="2583"/>
      <c r="BO231" s="2583"/>
      <c r="BP231" s="2583"/>
      <c r="BQ231" s="2583"/>
      <c r="BR231" s="2583"/>
      <c r="BS231" s="2583"/>
      <c r="BT231" s="2583"/>
      <c r="BU231" s="2583"/>
      <c r="BV231" s="2583"/>
      <c r="BW231" s="2583"/>
      <c r="BX231" s="2583"/>
      <c r="BY231" s="2583"/>
      <c r="BZ231" s="2583"/>
      <c r="CA231" s="2583"/>
      <c r="CB231" s="2583"/>
      <c r="CC231" s="2583"/>
      <c r="CD231" s="2583"/>
      <c r="CE231" s="2583"/>
      <c r="CF231" s="2583"/>
      <c r="CG231" s="2583"/>
      <c r="CH231" s="2583"/>
      <c r="CI231" s="2583"/>
      <c r="CJ231" s="2583"/>
      <c r="CK231" s="2583"/>
      <c r="CL231" s="2583"/>
      <c r="CM231" s="2583"/>
      <c r="CN231" s="2583"/>
      <c r="CO231" s="2583"/>
      <c r="CP231" s="2583"/>
      <c r="CQ231" s="2583"/>
      <c r="CR231" s="2583"/>
      <c r="CS231" s="2583"/>
      <c r="CT231" s="2583"/>
      <c r="CU231" s="2583"/>
      <c r="CV231" s="2583"/>
      <c r="CW231" s="2583"/>
      <c r="CX231" s="2583"/>
      <c r="CY231" s="2583"/>
      <c r="CZ231" s="2583"/>
      <c r="DA231" s="2583"/>
      <c r="DB231" s="2583"/>
      <c r="DC231" s="2583"/>
      <c r="DD231" s="2583"/>
      <c r="DE231" s="2583"/>
      <c r="DF231" s="2583"/>
      <c r="DG231" s="2583"/>
      <c r="DH231" s="2583"/>
      <c r="DI231" s="2583"/>
      <c r="DJ231" s="2583"/>
      <c r="DK231" s="2583"/>
      <c r="DL231" s="2583"/>
      <c r="DM231" s="2583"/>
      <c r="DN231" s="2583"/>
      <c r="DO231" s="2583"/>
      <c r="DP231" s="2583"/>
      <c r="DQ231" s="2583"/>
      <c r="DR231" s="2583"/>
      <c r="DS231" s="2583"/>
      <c r="DT231" s="2583"/>
      <c r="DU231" s="2583"/>
      <c r="DV231" s="2583"/>
      <c r="DW231" s="2583"/>
      <c r="DX231" s="2583"/>
      <c r="DY231" s="2583"/>
      <c r="DZ231" s="2583"/>
      <c r="EA231" s="2583"/>
      <c r="EB231" s="2583"/>
      <c r="EC231" s="2583"/>
      <c r="ED231" s="2583"/>
      <c r="EE231" s="2583"/>
      <c r="EF231" s="2583"/>
      <c r="EG231" s="2583"/>
      <c r="EH231" s="2583"/>
      <c r="EI231" s="2583"/>
      <c r="EJ231" s="2583"/>
      <c r="EK231" s="2583"/>
      <c r="EL231" s="2583"/>
      <c r="EM231" s="2583"/>
      <c r="EN231" s="2583"/>
      <c r="EO231" s="2583"/>
      <c r="EP231" s="2583"/>
      <c r="EQ231" s="2583"/>
      <c r="ER231" s="2583"/>
      <c r="ES231" s="2583"/>
      <c r="ET231" s="2583"/>
      <c r="EU231" s="2583"/>
      <c r="EV231" s="2583"/>
      <c r="EW231" s="2583"/>
      <c r="EX231" s="2583"/>
      <c r="EY231" s="2583"/>
      <c r="EZ231" s="2583"/>
      <c r="FA231" s="2583"/>
      <c r="FB231" s="2583"/>
      <c r="FC231" s="2583"/>
      <c r="FD231" s="2583"/>
      <c r="FE231" s="2583"/>
      <c r="FF231" s="2583"/>
      <c r="FG231" s="2583"/>
      <c r="FH231" s="2583"/>
      <c r="FI231" s="2583"/>
      <c r="FJ231" s="2583"/>
      <c r="FK231" s="2583"/>
      <c r="FL231" s="2583"/>
      <c r="FM231" s="2583"/>
      <c r="FN231" s="2583"/>
      <c r="FO231" s="2583"/>
      <c r="FP231" s="2583"/>
      <c r="FQ231" s="2583"/>
      <c r="FR231" s="2583"/>
      <c r="FS231" s="2583"/>
      <c r="FT231" s="2583"/>
      <c r="FU231" s="2583"/>
      <c r="FV231" s="2583"/>
      <c r="FW231" s="2583"/>
      <c r="FX231" s="2583"/>
      <c r="FY231" s="2583"/>
      <c r="FZ231" s="2583"/>
      <c r="GA231" s="2583"/>
      <c r="GB231" s="2583"/>
      <c r="GC231" s="2583"/>
      <c r="GD231" s="2583"/>
      <c r="GE231" s="2583"/>
      <c r="GF231" s="2583"/>
      <c r="GG231" s="2583"/>
      <c r="GH231" s="2583"/>
      <c r="GI231" s="2583"/>
      <c r="GJ231" s="2583"/>
      <c r="GK231" s="2583"/>
      <c r="GL231" s="2583"/>
      <c r="GM231" s="2583"/>
      <c r="GN231" s="2583"/>
      <c r="GO231" s="2583"/>
      <c r="GP231" s="2583"/>
      <c r="GQ231" s="2583"/>
      <c r="GR231" s="2583"/>
      <c r="GS231" s="2583"/>
      <c r="GT231" s="2583"/>
      <c r="GU231" s="2583"/>
      <c r="GV231" s="2583"/>
      <c r="GW231" s="2583"/>
      <c r="GX231" s="2583"/>
      <c r="GY231" s="2583"/>
      <c r="GZ231" s="2583"/>
      <c r="HA231" s="2583"/>
      <c r="HB231" s="2583"/>
      <c r="HC231" s="2583"/>
      <c r="HD231" s="2583"/>
      <c r="HE231" s="2583"/>
      <c r="HF231" s="2583"/>
      <c r="HG231" s="2583"/>
      <c r="HH231" s="2583"/>
      <c r="HI231" s="2583"/>
      <c r="HJ231" s="2583"/>
      <c r="HK231" s="2583"/>
      <c r="HL231" s="2583"/>
      <c r="HM231" s="2583"/>
      <c r="HN231" s="2583"/>
      <c r="HO231" s="2583"/>
      <c r="HP231" s="2583"/>
      <c r="HQ231" s="2583"/>
      <c r="HR231" s="2583"/>
      <c r="HS231" s="2583"/>
      <c r="HT231" s="2583"/>
      <c r="HU231" s="2583"/>
      <c r="HV231" s="2583"/>
      <c r="HW231" s="2583"/>
      <c r="HX231" s="2583"/>
      <c r="HY231" s="2583"/>
      <c r="HZ231" s="2583"/>
      <c r="IA231" s="2583"/>
      <c r="IB231" s="2583"/>
      <c r="IC231" s="2583"/>
      <c r="ID231" s="2583"/>
      <c r="IE231" s="2583"/>
      <c r="IF231" s="2583"/>
      <c r="IG231" s="2583"/>
      <c r="IH231" s="2583"/>
      <c r="II231" s="2583"/>
      <c r="IJ231" s="2583"/>
      <c r="IK231" s="2583"/>
      <c r="IL231" s="2583"/>
      <c r="IM231" s="2583"/>
      <c r="IN231" s="2583"/>
      <c r="IO231" s="2583"/>
      <c r="IP231" s="2583"/>
      <c r="IQ231" s="2583"/>
      <c r="IR231" s="2583"/>
      <c r="IS231" s="2583"/>
      <c r="IT231" s="2583"/>
      <c r="IU231" s="2583"/>
      <c r="IV231" s="2583"/>
    </row>
    <row r="232" spans="3:256">
      <c r="C232" s="2584"/>
      <c r="D232" s="2584"/>
      <c r="E232" s="2584"/>
      <c r="F232" s="2584"/>
      <c r="G232" s="2584"/>
      <c r="H232" s="2584"/>
      <c r="AC232" s="2583"/>
      <c r="AD232" s="2583"/>
      <c r="AE232" s="2583"/>
      <c r="AF232" s="2583"/>
      <c r="AG232" s="2583"/>
      <c r="AH232" s="2583"/>
      <c r="AI232" s="2583"/>
      <c r="AJ232" s="2583"/>
      <c r="AK232" s="2583"/>
      <c r="AL232" s="2583"/>
      <c r="AM232" s="2583"/>
      <c r="AN232" s="2583"/>
      <c r="AO232" s="2583"/>
      <c r="AP232" s="2583"/>
      <c r="AQ232" s="2583"/>
      <c r="AR232" s="2583"/>
      <c r="AS232" s="2583"/>
      <c r="AT232" s="2583"/>
      <c r="AU232" s="2583"/>
      <c r="AV232" s="2583"/>
      <c r="AW232" s="2583"/>
      <c r="AX232" s="2583"/>
      <c r="AY232" s="2583"/>
      <c r="AZ232" s="2583"/>
      <c r="BA232" s="2583"/>
      <c r="BB232" s="2583"/>
      <c r="BC232" s="2583"/>
      <c r="BD232" s="2583"/>
      <c r="BE232" s="2583"/>
      <c r="BF232" s="2583"/>
      <c r="BG232" s="2583"/>
      <c r="BH232" s="2583"/>
      <c r="BI232" s="2583"/>
      <c r="BJ232" s="2583"/>
      <c r="BK232" s="2583"/>
      <c r="BL232" s="2583"/>
      <c r="BM232" s="2583"/>
      <c r="BN232" s="2583"/>
      <c r="BO232" s="2583"/>
      <c r="BP232" s="2583"/>
      <c r="BQ232" s="2583"/>
      <c r="BR232" s="2583"/>
      <c r="BS232" s="2583"/>
      <c r="BT232" s="2583"/>
      <c r="BU232" s="2583"/>
      <c r="BV232" s="2583"/>
      <c r="BW232" s="2583"/>
      <c r="BX232" s="2583"/>
      <c r="BY232" s="2583"/>
      <c r="BZ232" s="2583"/>
      <c r="CA232" s="2583"/>
      <c r="CB232" s="2583"/>
      <c r="CC232" s="2583"/>
      <c r="CD232" s="2583"/>
      <c r="CE232" s="2583"/>
      <c r="CF232" s="2583"/>
      <c r="CG232" s="2583"/>
      <c r="CH232" s="2583"/>
      <c r="CI232" s="2583"/>
      <c r="CJ232" s="2583"/>
      <c r="CK232" s="2583"/>
      <c r="CL232" s="2583"/>
      <c r="CM232" s="2583"/>
      <c r="CN232" s="2583"/>
      <c r="CO232" s="2583"/>
      <c r="CP232" s="2583"/>
      <c r="CQ232" s="2583"/>
      <c r="CR232" s="2583"/>
      <c r="CS232" s="2583"/>
      <c r="CT232" s="2583"/>
      <c r="CU232" s="2583"/>
      <c r="CV232" s="2583"/>
      <c r="CW232" s="2583"/>
      <c r="CX232" s="2583"/>
      <c r="CY232" s="2583"/>
      <c r="CZ232" s="2583"/>
      <c r="DA232" s="2583"/>
      <c r="DB232" s="2583"/>
      <c r="DC232" s="2583"/>
      <c r="DD232" s="2583"/>
      <c r="DE232" s="2583"/>
      <c r="DF232" s="2583"/>
      <c r="DG232" s="2583"/>
      <c r="DH232" s="2583"/>
      <c r="DI232" s="2583"/>
      <c r="DJ232" s="2583"/>
      <c r="DK232" s="2583"/>
      <c r="DL232" s="2583"/>
      <c r="DM232" s="2583"/>
      <c r="DN232" s="2583"/>
      <c r="DO232" s="2583"/>
      <c r="DP232" s="2583"/>
      <c r="DQ232" s="2583"/>
      <c r="DR232" s="2583"/>
      <c r="DS232" s="2583"/>
      <c r="DT232" s="2583"/>
      <c r="DU232" s="2583"/>
      <c r="DV232" s="2583"/>
      <c r="DW232" s="2583"/>
      <c r="DX232" s="2583"/>
      <c r="DY232" s="2583"/>
      <c r="DZ232" s="2583"/>
      <c r="EA232" s="2583"/>
      <c r="EB232" s="2583"/>
      <c r="EC232" s="2583"/>
      <c r="ED232" s="2583"/>
      <c r="EE232" s="2583"/>
      <c r="EF232" s="2583"/>
      <c r="EG232" s="2583"/>
      <c r="EH232" s="2583"/>
      <c r="EI232" s="2583"/>
      <c r="EJ232" s="2583"/>
      <c r="EK232" s="2583"/>
      <c r="EL232" s="2583"/>
      <c r="EM232" s="2583"/>
      <c r="EN232" s="2583"/>
      <c r="EO232" s="2583"/>
      <c r="EP232" s="2583"/>
      <c r="EQ232" s="2583"/>
      <c r="ER232" s="2583"/>
      <c r="ES232" s="2583"/>
      <c r="ET232" s="2583"/>
      <c r="EU232" s="2583"/>
      <c r="EV232" s="2583"/>
      <c r="EW232" s="2583"/>
      <c r="EX232" s="2583"/>
      <c r="EY232" s="2583"/>
      <c r="EZ232" s="2583"/>
      <c r="FA232" s="2583"/>
      <c r="FB232" s="2583"/>
      <c r="FC232" s="2583"/>
      <c r="FD232" s="2583"/>
      <c r="FE232" s="2583"/>
      <c r="FF232" s="2583"/>
      <c r="FG232" s="2583"/>
      <c r="FH232" s="2583"/>
      <c r="FI232" s="2583"/>
      <c r="FJ232" s="2583"/>
      <c r="FK232" s="2583"/>
      <c r="FL232" s="2583"/>
      <c r="FM232" s="2583"/>
      <c r="FN232" s="2583"/>
      <c r="FO232" s="2583"/>
      <c r="FP232" s="2583"/>
      <c r="FQ232" s="2583"/>
      <c r="FR232" s="2583"/>
      <c r="FS232" s="2583"/>
      <c r="FT232" s="2583"/>
      <c r="FU232" s="2583"/>
      <c r="FV232" s="2583"/>
      <c r="FW232" s="2583"/>
      <c r="FX232" s="2583"/>
      <c r="FY232" s="2583"/>
      <c r="FZ232" s="2583"/>
      <c r="GA232" s="2583"/>
      <c r="GB232" s="2583"/>
      <c r="GC232" s="2583"/>
      <c r="GD232" s="2583"/>
      <c r="GE232" s="2583"/>
      <c r="GF232" s="2583"/>
      <c r="GG232" s="2583"/>
      <c r="GH232" s="2583"/>
      <c r="GI232" s="2583"/>
      <c r="GJ232" s="2583"/>
      <c r="GK232" s="2583"/>
      <c r="GL232" s="2583"/>
      <c r="GM232" s="2583"/>
      <c r="GN232" s="2583"/>
      <c r="GO232" s="2583"/>
      <c r="GP232" s="2583"/>
      <c r="GQ232" s="2583"/>
      <c r="GR232" s="2583"/>
      <c r="GS232" s="2583"/>
      <c r="GT232" s="2583"/>
      <c r="GU232" s="2583"/>
      <c r="GV232" s="2583"/>
      <c r="GW232" s="2583"/>
      <c r="GX232" s="2583"/>
      <c r="GY232" s="2583"/>
      <c r="GZ232" s="2583"/>
      <c r="HA232" s="2583"/>
      <c r="HB232" s="2583"/>
      <c r="HC232" s="2583"/>
      <c r="HD232" s="2583"/>
      <c r="HE232" s="2583"/>
      <c r="HF232" s="2583"/>
      <c r="HG232" s="2583"/>
      <c r="HH232" s="2583"/>
      <c r="HI232" s="2583"/>
      <c r="HJ232" s="2583"/>
      <c r="HK232" s="2583"/>
      <c r="HL232" s="2583"/>
      <c r="HM232" s="2583"/>
      <c r="HN232" s="2583"/>
      <c r="HO232" s="2583"/>
      <c r="HP232" s="2583"/>
      <c r="HQ232" s="2583"/>
      <c r="HR232" s="2583"/>
      <c r="HS232" s="2583"/>
      <c r="HT232" s="2583"/>
      <c r="HU232" s="2583"/>
      <c r="HV232" s="2583"/>
      <c r="HW232" s="2583"/>
      <c r="HX232" s="2583"/>
      <c r="HY232" s="2583"/>
      <c r="HZ232" s="2583"/>
      <c r="IA232" s="2583"/>
      <c r="IB232" s="2583"/>
      <c r="IC232" s="2583"/>
      <c r="ID232" s="2583"/>
      <c r="IE232" s="2583"/>
      <c r="IF232" s="2583"/>
      <c r="IG232" s="2583"/>
      <c r="IH232" s="2583"/>
      <c r="II232" s="2583"/>
      <c r="IJ232" s="2583"/>
      <c r="IK232" s="2583"/>
      <c r="IL232" s="2583"/>
      <c r="IM232" s="2583"/>
      <c r="IN232" s="2583"/>
      <c r="IO232" s="2583"/>
      <c r="IP232" s="2583"/>
      <c r="IQ232" s="2583"/>
      <c r="IR232" s="2583"/>
      <c r="IS232" s="2583"/>
      <c r="IT232" s="2583"/>
      <c r="IU232" s="2583"/>
      <c r="IV232" s="2583"/>
    </row>
    <row r="233" spans="3:256">
      <c r="C233" s="2584"/>
      <c r="D233" s="2584"/>
      <c r="E233" s="2584"/>
      <c r="F233" s="2584"/>
      <c r="G233" s="2584"/>
      <c r="H233" s="2584"/>
      <c r="AC233" s="2583"/>
      <c r="AD233" s="2583"/>
      <c r="AE233" s="2583"/>
      <c r="AF233" s="2583"/>
      <c r="AG233" s="2583"/>
      <c r="AH233" s="2583"/>
      <c r="AI233" s="2583"/>
      <c r="AJ233" s="2583"/>
      <c r="AK233" s="2583"/>
      <c r="AL233" s="2583"/>
      <c r="AM233" s="2583"/>
      <c r="AN233" s="2583"/>
      <c r="AO233" s="2583"/>
      <c r="AP233" s="2583"/>
      <c r="AQ233" s="2583"/>
      <c r="AR233" s="2583"/>
      <c r="AS233" s="2583"/>
      <c r="AT233" s="2583"/>
      <c r="AU233" s="2583"/>
      <c r="AV233" s="2583"/>
      <c r="AW233" s="2583"/>
      <c r="AX233" s="2583"/>
      <c r="AY233" s="2583"/>
      <c r="AZ233" s="2583"/>
      <c r="BA233" s="2583"/>
      <c r="BB233" s="2583"/>
      <c r="BC233" s="2583"/>
      <c r="BD233" s="2583"/>
      <c r="BE233" s="2583"/>
      <c r="BF233" s="2583"/>
      <c r="BG233" s="2583"/>
      <c r="BH233" s="2583"/>
      <c r="BI233" s="2583"/>
      <c r="BJ233" s="2583"/>
      <c r="BK233" s="2583"/>
      <c r="BL233" s="2583"/>
      <c r="BM233" s="2583"/>
      <c r="BN233" s="2583"/>
      <c r="BO233" s="2583"/>
      <c r="BP233" s="2583"/>
      <c r="BQ233" s="2583"/>
      <c r="BR233" s="2583"/>
      <c r="BS233" s="2583"/>
      <c r="BT233" s="2583"/>
      <c r="BU233" s="2583"/>
      <c r="BV233" s="2583"/>
      <c r="BW233" s="2583"/>
      <c r="BX233" s="2583"/>
      <c r="BY233" s="2583"/>
      <c r="BZ233" s="2583"/>
      <c r="CA233" s="2583"/>
      <c r="CB233" s="2583"/>
      <c r="CC233" s="2583"/>
      <c r="CD233" s="2583"/>
      <c r="CE233" s="2583"/>
      <c r="CF233" s="2583"/>
      <c r="CG233" s="2583"/>
      <c r="CH233" s="2583"/>
      <c r="CI233" s="2583"/>
      <c r="CJ233" s="2583"/>
      <c r="CK233" s="2583"/>
      <c r="CL233" s="2583"/>
      <c r="CM233" s="2583"/>
      <c r="CN233" s="2583"/>
      <c r="CO233" s="2583"/>
      <c r="CP233" s="2583"/>
      <c r="CQ233" s="2583"/>
      <c r="CR233" s="2583"/>
      <c r="CS233" s="2583"/>
      <c r="CT233" s="2583"/>
      <c r="CU233" s="2583"/>
      <c r="CV233" s="2583"/>
      <c r="CW233" s="2583"/>
      <c r="CX233" s="2583"/>
      <c r="CY233" s="2583"/>
      <c r="CZ233" s="2583"/>
      <c r="DA233" s="2583"/>
      <c r="DB233" s="2583"/>
      <c r="DC233" s="2583"/>
      <c r="DD233" s="2583"/>
      <c r="DE233" s="2583"/>
      <c r="DF233" s="2583"/>
      <c r="DG233" s="2583"/>
      <c r="DH233" s="2583"/>
      <c r="DI233" s="2583"/>
      <c r="DJ233" s="2583"/>
      <c r="DK233" s="2583"/>
      <c r="DL233" s="2583"/>
      <c r="DM233" s="2583"/>
      <c r="DN233" s="2583"/>
      <c r="DO233" s="2583"/>
      <c r="DP233" s="2583"/>
      <c r="DQ233" s="2583"/>
      <c r="DR233" s="2583"/>
      <c r="DS233" s="2583"/>
      <c r="DT233" s="2583"/>
      <c r="DU233" s="2583"/>
      <c r="DV233" s="2583"/>
      <c r="DW233" s="2583"/>
      <c r="DX233" s="2583"/>
      <c r="DY233" s="2583"/>
      <c r="DZ233" s="2583"/>
      <c r="EA233" s="2583"/>
      <c r="EB233" s="2583"/>
      <c r="EC233" s="2583"/>
      <c r="ED233" s="2583"/>
      <c r="EE233" s="2583"/>
      <c r="EF233" s="2583"/>
      <c r="EG233" s="2583"/>
      <c r="EH233" s="2583"/>
      <c r="EI233" s="2583"/>
      <c r="EJ233" s="2583"/>
      <c r="EK233" s="2583"/>
      <c r="EL233" s="2583"/>
      <c r="EM233" s="2583"/>
      <c r="EN233" s="2583"/>
      <c r="EO233" s="2583"/>
      <c r="EP233" s="2583"/>
      <c r="EQ233" s="2583"/>
      <c r="ER233" s="2583"/>
      <c r="ES233" s="2583"/>
      <c r="ET233" s="2583"/>
      <c r="EU233" s="2583"/>
      <c r="EV233" s="2583"/>
      <c r="EW233" s="2583"/>
      <c r="EX233" s="2583"/>
      <c r="EY233" s="2583"/>
      <c r="EZ233" s="2583"/>
      <c r="FA233" s="2583"/>
      <c r="FB233" s="2583"/>
      <c r="FC233" s="2583"/>
      <c r="FD233" s="2583"/>
      <c r="FE233" s="2583"/>
      <c r="FF233" s="2583"/>
      <c r="FG233" s="2583"/>
      <c r="FH233" s="2583"/>
      <c r="FI233" s="2583"/>
      <c r="FJ233" s="2583"/>
      <c r="FK233" s="2583"/>
      <c r="FL233" s="2583"/>
      <c r="FM233" s="2583"/>
      <c r="FN233" s="2583"/>
      <c r="FO233" s="2583"/>
      <c r="FP233" s="2583"/>
      <c r="FQ233" s="2583"/>
      <c r="FR233" s="2583"/>
      <c r="FS233" s="2583"/>
      <c r="FT233" s="2583"/>
      <c r="FU233" s="2583"/>
      <c r="FV233" s="2583"/>
      <c r="FW233" s="2583"/>
      <c r="FX233" s="2583"/>
      <c r="FY233" s="2583"/>
      <c r="FZ233" s="2583"/>
      <c r="GA233" s="2583"/>
      <c r="GB233" s="2583"/>
      <c r="GC233" s="2583"/>
      <c r="GD233" s="2583"/>
      <c r="GE233" s="2583"/>
      <c r="GF233" s="2583"/>
      <c r="GG233" s="2583"/>
      <c r="GH233" s="2583"/>
      <c r="GI233" s="2583"/>
      <c r="GJ233" s="2583"/>
      <c r="GK233" s="2583"/>
      <c r="GL233" s="2583"/>
      <c r="GM233" s="2583"/>
      <c r="GN233" s="2583"/>
      <c r="GO233" s="2583"/>
      <c r="GP233" s="2583"/>
      <c r="GQ233" s="2583"/>
      <c r="GR233" s="2583"/>
      <c r="GS233" s="2583"/>
      <c r="GT233" s="2583"/>
      <c r="GU233" s="2583"/>
      <c r="GV233" s="2583"/>
      <c r="GW233" s="2583"/>
      <c r="GX233" s="2583"/>
      <c r="GY233" s="2583"/>
      <c r="GZ233" s="2583"/>
      <c r="HA233" s="2583"/>
      <c r="HB233" s="2583"/>
      <c r="HC233" s="2583"/>
      <c r="HD233" s="2583"/>
      <c r="HE233" s="2583"/>
      <c r="HF233" s="2583"/>
      <c r="HG233" s="2583"/>
      <c r="HH233" s="2583"/>
      <c r="HI233" s="2583"/>
      <c r="HJ233" s="2583"/>
      <c r="HK233" s="2583"/>
      <c r="HL233" s="2583"/>
      <c r="HM233" s="2583"/>
      <c r="HN233" s="2583"/>
      <c r="HO233" s="2583"/>
      <c r="HP233" s="2583"/>
      <c r="HQ233" s="2583"/>
      <c r="HR233" s="2583"/>
      <c r="HS233" s="2583"/>
      <c r="HT233" s="2583"/>
      <c r="HU233" s="2583"/>
      <c r="HV233" s="2583"/>
      <c r="HW233" s="2583"/>
      <c r="HX233" s="2583"/>
      <c r="HY233" s="2583"/>
      <c r="HZ233" s="2583"/>
      <c r="IA233" s="2583"/>
      <c r="IB233" s="2583"/>
      <c r="IC233" s="2583"/>
      <c r="ID233" s="2583"/>
      <c r="IE233" s="2583"/>
      <c r="IF233" s="2583"/>
      <c r="IG233" s="2583"/>
      <c r="IH233" s="2583"/>
      <c r="II233" s="2583"/>
      <c r="IJ233" s="2583"/>
      <c r="IK233" s="2583"/>
      <c r="IL233" s="2583"/>
      <c r="IM233" s="2583"/>
      <c r="IN233" s="2583"/>
      <c r="IO233" s="2583"/>
      <c r="IP233" s="2583"/>
      <c r="IQ233" s="2583"/>
      <c r="IR233" s="2583"/>
      <c r="IS233" s="2583"/>
      <c r="IT233" s="2583"/>
      <c r="IU233" s="2583"/>
      <c r="IV233" s="2583"/>
    </row>
    <row r="234" spans="3:256">
      <c r="C234" s="2584"/>
      <c r="D234" s="2584"/>
      <c r="E234" s="2584"/>
      <c r="F234" s="2584"/>
      <c r="G234" s="2584"/>
      <c r="H234" s="2584"/>
      <c r="AC234" s="2583"/>
      <c r="AD234" s="2583"/>
      <c r="AE234" s="2583"/>
      <c r="AF234" s="2583"/>
      <c r="AG234" s="2583"/>
      <c r="AH234" s="2583"/>
      <c r="AI234" s="2583"/>
      <c r="AJ234" s="2583"/>
      <c r="AK234" s="2583"/>
      <c r="AL234" s="2583"/>
      <c r="AM234" s="2583"/>
      <c r="AN234" s="2583"/>
      <c r="AO234" s="2583"/>
      <c r="AP234" s="2583"/>
      <c r="AQ234" s="2583"/>
      <c r="AR234" s="2583"/>
      <c r="AS234" s="2583"/>
      <c r="AT234" s="2583"/>
      <c r="AU234" s="2583"/>
      <c r="AV234" s="2583"/>
      <c r="AW234" s="2583"/>
      <c r="AX234" s="2583"/>
      <c r="AY234" s="2583"/>
      <c r="AZ234" s="2583"/>
      <c r="BA234" s="2583"/>
      <c r="BB234" s="2583"/>
      <c r="BC234" s="2583"/>
      <c r="BD234" s="2583"/>
      <c r="BE234" s="2583"/>
      <c r="BF234" s="2583"/>
      <c r="BG234" s="2583"/>
      <c r="BH234" s="2583"/>
      <c r="BI234" s="2583"/>
      <c r="BJ234" s="2583"/>
      <c r="BK234" s="2583"/>
      <c r="BL234" s="2583"/>
      <c r="BM234" s="2583"/>
      <c r="BN234" s="2583"/>
      <c r="BO234" s="2583"/>
      <c r="BP234" s="2583"/>
      <c r="BQ234" s="2583"/>
      <c r="BR234" s="2583"/>
      <c r="BS234" s="2583"/>
      <c r="BT234" s="2583"/>
      <c r="BU234" s="2583"/>
      <c r="BV234" s="2583"/>
      <c r="BW234" s="2583"/>
      <c r="BX234" s="2583"/>
      <c r="BY234" s="2583"/>
      <c r="BZ234" s="2583"/>
      <c r="CA234" s="2583"/>
      <c r="CB234" s="2583"/>
      <c r="CC234" s="2583"/>
      <c r="CD234" s="2583"/>
      <c r="CE234" s="2583"/>
      <c r="CF234" s="2583"/>
      <c r="CG234" s="2583"/>
      <c r="CH234" s="2583"/>
      <c r="CI234" s="2583"/>
      <c r="CJ234" s="2583"/>
      <c r="CK234" s="2583"/>
      <c r="CL234" s="2583"/>
      <c r="CM234" s="2583"/>
      <c r="CN234" s="2583"/>
      <c r="CO234" s="2583"/>
      <c r="CP234" s="2583"/>
      <c r="CQ234" s="2583"/>
      <c r="CR234" s="2583"/>
      <c r="CS234" s="2583"/>
      <c r="CT234" s="2583"/>
      <c r="CU234" s="2583"/>
      <c r="CV234" s="2583"/>
      <c r="CW234" s="2583"/>
      <c r="CX234" s="2583"/>
      <c r="CY234" s="2583"/>
      <c r="CZ234" s="2583"/>
      <c r="DA234" s="2583"/>
      <c r="DB234" s="2583"/>
      <c r="DC234" s="2583"/>
      <c r="DD234" s="2583"/>
      <c r="DE234" s="2583"/>
      <c r="DF234" s="2583"/>
      <c r="DG234" s="2583"/>
      <c r="DH234" s="2583"/>
      <c r="DI234" s="2583"/>
      <c r="DJ234" s="2583"/>
      <c r="DK234" s="2583"/>
      <c r="DL234" s="2583"/>
      <c r="DM234" s="2583"/>
      <c r="DN234" s="2583"/>
      <c r="DO234" s="2583"/>
      <c r="DP234" s="2583"/>
      <c r="DQ234" s="2583"/>
      <c r="DR234" s="2583"/>
      <c r="DS234" s="2583"/>
      <c r="DT234" s="2583"/>
      <c r="DU234" s="2583"/>
      <c r="DV234" s="2583"/>
      <c r="DW234" s="2583"/>
      <c r="DX234" s="2583"/>
      <c r="DY234" s="2583"/>
      <c r="DZ234" s="2583"/>
      <c r="EA234" s="2583"/>
      <c r="EB234" s="2583"/>
      <c r="EC234" s="2583"/>
      <c r="ED234" s="2583"/>
      <c r="EE234" s="2583"/>
      <c r="EF234" s="2583"/>
      <c r="EG234" s="2583"/>
      <c r="EH234" s="2583"/>
      <c r="EI234" s="2583"/>
      <c r="EJ234" s="2583"/>
      <c r="EK234" s="2583"/>
      <c r="EL234" s="2583"/>
      <c r="EM234" s="2583"/>
      <c r="EN234" s="2583"/>
      <c r="EO234" s="2583"/>
      <c r="EP234" s="2583"/>
      <c r="EQ234" s="2583"/>
      <c r="ER234" s="2583"/>
      <c r="ES234" s="2583"/>
      <c r="ET234" s="2583"/>
      <c r="EU234" s="2583"/>
      <c r="EV234" s="2583"/>
      <c r="EW234" s="2583"/>
      <c r="EX234" s="2583"/>
      <c r="EY234" s="2583"/>
      <c r="EZ234" s="2583"/>
      <c r="FA234" s="2583"/>
      <c r="FB234" s="2583"/>
      <c r="FC234" s="2583"/>
      <c r="FD234" s="2583"/>
      <c r="FE234" s="2583"/>
      <c r="FF234" s="2583"/>
      <c r="FG234" s="2583"/>
      <c r="FH234" s="2583"/>
      <c r="FI234" s="2583"/>
      <c r="FJ234" s="2583"/>
      <c r="FK234" s="2583"/>
      <c r="FL234" s="2583"/>
      <c r="FM234" s="2583"/>
      <c r="FN234" s="2583"/>
      <c r="FO234" s="2583"/>
      <c r="FP234" s="2583"/>
      <c r="FQ234" s="2583"/>
      <c r="FR234" s="2583"/>
      <c r="FS234" s="2583"/>
      <c r="FT234" s="2583"/>
      <c r="FU234" s="2583"/>
      <c r="FV234" s="2583"/>
      <c r="FW234" s="2583"/>
      <c r="FX234" s="2583"/>
      <c r="FY234" s="2583"/>
      <c r="FZ234" s="2583"/>
      <c r="GA234" s="2583"/>
      <c r="GB234" s="2583"/>
      <c r="GC234" s="2583"/>
      <c r="GD234" s="2583"/>
      <c r="GE234" s="2583"/>
      <c r="GF234" s="2583"/>
      <c r="GG234" s="2583"/>
      <c r="GH234" s="2583"/>
      <c r="GI234" s="2583"/>
      <c r="GJ234" s="2583"/>
      <c r="GK234" s="2583"/>
      <c r="GL234" s="2583"/>
      <c r="GM234" s="2583"/>
      <c r="GN234" s="2583"/>
      <c r="GO234" s="2583"/>
      <c r="GP234" s="2583"/>
      <c r="GQ234" s="2583"/>
      <c r="GR234" s="2583"/>
      <c r="GS234" s="2583"/>
      <c r="GT234" s="2583"/>
      <c r="GU234" s="2583"/>
      <c r="GV234" s="2583"/>
      <c r="GW234" s="2583"/>
      <c r="GX234" s="2583"/>
      <c r="GY234" s="2583"/>
      <c r="GZ234" s="2583"/>
      <c r="HA234" s="2583"/>
      <c r="HB234" s="2583"/>
      <c r="HC234" s="2583"/>
      <c r="HD234" s="2583"/>
      <c r="HE234" s="2583"/>
      <c r="HF234" s="2583"/>
      <c r="HG234" s="2583"/>
      <c r="HH234" s="2583"/>
      <c r="HI234" s="2583"/>
      <c r="HJ234" s="2583"/>
      <c r="HK234" s="2583"/>
      <c r="HL234" s="2583"/>
      <c r="HM234" s="2583"/>
      <c r="HN234" s="2583"/>
      <c r="HO234" s="2583"/>
      <c r="HP234" s="2583"/>
      <c r="HQ234" s="2583"/>
      <c r="HR234" s="2583"/>
      <c r="HS234" s="2583"/>
      <c r="HT234" s="2583"/>
      <c r="HU234" s="2583"/>
      <c r="HV234" s="2583"/>
      <c r="HW234" s="2583"/>
      <c r="HX234" s="2583"/>
      <c r="HY234" s="2583"/>
      <c r="HZ234" s="2583"/>
      <c r="IA234" s="2583"/>
      <c r="IB234" s="2583"/>
      <c r="IC234" s="2583"/>
      <c r="ID234" s="2583"/>
      <c r="IE234" s="2583"/>
      <c r="IF234" s="2583"/>
      <c r="IG234" s="2583"/>
      <c r="IH234" s="2583"/>
      <c r="II234" s="2583"/>
      <c r="IJ234" s="2583"/>
      <c r="IK234" s="2583"/>
      <c r="IL234" s="2583"/>
      <c r="IM234" s="2583"/>
      <c r="IN234" s="2583"/>
      <c r="IO234" s="2583"/>
      <c r="IP234" s="2583"/>
      <c r="IQ234" s="2583"/>
      <c r="IR234" s="2583"/>
      <c r="IS234" s="2583"/>
      <c r="IT234" s="2583"/>
      <c r="IU234" s="2583"/>
      <c r="IV234" s="2583"/>
    </row>
    <row r="235" spans="3:256">
      <c r="C235" s="2584"/>
      <c r="D235" s="2584"/>
      <c r="E235" s="2584"/>
      <c r="F235" s="2584"/>
      <c r="G235" s="2584"/>
      <c r="H235" s="2584"/>
      <c r="AC235" s="2583"/>
      <c r="AD235" s="2583"/>
      <c r="AE235" s="2583"/>
      <c r="AF235" s="2583"/>
      <c r="AG235" s="2583"/>
      <c r="AH235" s="2583"/>
      <c r="AI235" s="2583"/>
      <c r="AJ235" s="2583"/>
      <c r="AK235" s="2583"/>
      <c r="AL235" s="2583"/>
      <c r="AM235" s="2583"/>
      <c r="AN235" s="2583"/>
      <c r="AO235" s="2583"/>
      <c r="AP235" s="2583"/>
      <c r="AQ235" s="2583"/>
      <c r="AR235" s="2583"/>
      <c r="AS235" s="2583"/>
      <c r="AT235" s="2583"/>
      <c r="AU235" s="2583"/>
      <c r="AV235" s="2583"/>
      <c r="AW235" s="2583"/>
      <c r="AX235" s="2583"/>
      <c r="AY235" s="2583"/>
      <c r="AZ235" s="2583"/>
      <c r="BA235" s="2583"/>
      <c r="BB235" s="2583"/>
      <c r="BC235" s="2583"/>
      <c r="BD235" s="2583"/>
      <c r="BE235" s="2583"/>
      <c r="BF235" s="2583"/>
      <c r="BG235" s="2583"/>
      <c r="BH235" s="2583"/>
      <c r="BI235" s="2583"/>
      <c r="BJ235" s="2583"/>
      <c r="BK235" s="2583"/>
      <c r="BL235" s="2583"/>
      <c r="BM235" s="2583"/>
      <c r="BN235" s="2583"/>
      <c r="BO235" s="2583"/>
      <c r="BP235" s="2583"/>
      <c r="BQ235" s="2583"/>
      <c r="BR235" s="2583"/>
      <c r="BS235" s="2583"/>
      <c r="BT235" s="2583"/>
      <c r="BU235" s="2583"/>
      <c r="BV235" s="2583"/>
      <c r="BW235" s="2583"/>
      <c r="BX235" s="2583"/>
      <c r="BY235" s="2583"/>
      <c r="BZ235" s="2583"/>
      <c r="CA235" s="2583"/>
      <c r="CB235" s="2583"/>
      <c r="CC235" s="2583"/>
      <c r="CD235" s="2583"/>
      <c r="CE235" s="2583"/>
      <c r="CF235" s="2583"/>
      <c r="CG235" s="2583"/>
      <c r="CH235" s="2583"/>
      <c r="CI235" s="2583"/>
      <c r="CJ235" s="2583"/>
      <c r="CK235" s="2583"/>
      <c r="CL235" s="2583"/>
      <c r="CM235" s="2583"/>
      <c r="CN235" s="2583"/>
      <c r="CO235" s="2583"/>
      <c r="CP235" s="2583"/>
      <c r="CQ235" s="2583"/>
      <c r="CR235" s="2583"/>
      <c r="CS235" s="2583"/>
      <c r="CT235" s="2583"/>
      <c r="CU235" s="2583"/>
      <c r="CV235" s="2583"/>
      <c r="CW235" s="2583"/>
      <c r="CX235" s="2583"/>
      <c r="CY235" s="2583"/>
      <c r="CZ235" s="2583"/>
      <c r="DA235" s="2583"/>
      <c r="DB235" s="2583"/>
      <c r="DC235" s="2583"/>
      <c r="DD235" s="2583"/>
      <c r="DE235" s="2583"/>
      <c r="DF235" s="2583"/>
      <c r="DG235" s="2583"/>
      <c r="DH235" s="2583"/>
      <c r="DI235" s="2583"/>
      <c r="DJ235" s="2583"/>
      <c r="DK235" s="2583"/>
      <c r="DL235" s="2583"/>
      <c r="DM235" s="2583"/>
      <c r="DN235" s="2583"/>
      <c r="DO235" s="2583"/>
      <c r="DP235" s="2583"/>
      <c r="DQ235" s="2583"/>
      <c r="DR235" s="2583"/>
      <c r="DS235" s="2583"/>
      <c r="DT235" s="2583"/>
      <c r="DU235" s="2583"/>
      <c r="DV235" s="2583"/>
      <c r="DW235" s="2583"/>
      <c r="DX235" s="2583"/>
      <c r="DY235" s="2583"/>
      <c r="DZ235" s="2583"/>
      <c r="EA235" s="2583"/>
      <c r="EB235" s="2583"/>
      <c r="EC235" s="2583"/>
      <c r="ED235" s="2583"/>
      <c r="EE235" s="2583"/>
      <c r="EF235" s="2583"/>
      <c r="EG235" s="2583"/>
      <c r="EH235" s="2583"/>
      <c r="EI235" s="2583"/>
      <c r="EJ235" s="2583"/>
      <c r="EK235" s="2583"/>
      <c r="EL235" s="2583"/>
      <c r="EM235" s="2583"/>
      <c r="EN235" s="2583"/>
      <c r="EO235" s="2583"/>
      <c r="EP235" s="2583"/>
      <c r="EQ235" s="2583"/>
      <c r="ER235" s="2583"/>
      <c r="ES235" s="2583"/>
      <c r="ET235" s="2583"/>
      <c r="EU235" s="2583"/>
      <c r="EV235" s="2583"/>
      <c r="EW235" s="2583"/>
      <c r="EX235" s="2583"/>
      <c r="EY235" s="2583"/>
      <c r="EZ235" s="2583"/>
      <c r="FA235" s="2583"/>
      <c r="FB235" s="2583"/>
      <c r="FC235" s="2583"/>
      <c r="FD235" s="2583"/>
      <c r="FE235" s="2583"/>
      <c r="FF235" s="2583"/>
      <c r="FG235" s="2583"/>
      <c r="FH235" s="2583"/>
      <c r="FI235" s="2583"/>
      <c r="FJ235" s="2583"/>
      <c r="FK235" s="2583"/>
      <c r="FL235" s="2583"/>
      <c r="FM235" s="2583"/>
      <c r="FN235" s="2583"/>
      <c r="FO235" s="2583"/>
      <c r="FP235" s="2583"/>
      <c r="FQ235" s="2583"/>
      <c r="FR235" s="2583"/>
      <c r="FS235" s="2583"/>
      <c r="FT235" s="2583"/>
      <c r="FU235" s="2583"/>
      <c r="FV235" s="2583"/>
      <c r="FW235" s="2583"/>
      <c r="FX235" s="2583"/>
      <c r="FY235" s="2583"/>
      <c r="FZ235" s="2583"/>
      <c r="GA235" s="2583"/>
      <c r="GB235" s="2583"/>
      <c r="GC235" s="2583"/>
      <c r="GD235" s="2583"/>
      <c r="GE235" s="2583"/>
      <c r="GF235" s="2583"/>
      <c r="GG235" s="2583"/>
      <c r="GH235" s="2583"/>
      <c r="GI235" s="2583"/>
      <c r="GJ235" s="2583"/>
      <c r="GK235" s="2583"/>
      <c r="GL235" s="2583"/>
      <c r="GM235" s="2583"/>
      <c r="GN235" s="2583"/>
      <c r="GO235" s="2583"/>
      <c r="GP235" s="2583"/>
      <c r="GQ235" s="2583"/>
      <c r="GR235" s="2583"/>
      <c r="GS235" s="2583"/>
      <c r="GT235" s="2583"/>
      <c r="GU235" s="2583"/>
      <c r="GV235" s="2583"/>
      <c r="GW235" s="2583"/>
      <c r="GX235" s="2583"/>
      <c r="GY235" s="2583"/>
      <c r="GZ235" s="2583"/>
      <c r="HA235" s="2583"/>
      <c r="HB235" s="2583"/>
      <c r="HC235" s="2583"/>
      <c r="HD235" s="2583"/>
      <c r="HE235" s="2583"/>
      <c r="HF235" s="2583"/>
      <c r="HG235" s="2583"/>
      <c r="HH235" s="2583"/>
      <c r="HI235" s="2583"/>
      <c r="HJ235" s="2583"/>
      <c r="HK235" s="2583"/>
      <c r="HL235" s="2583"/>
      <c r="HM235" s="2583"/>
      <c r="HN235" s="2583"/>
      <c r="HO235" s="2583"/>
      <c r="HP235" s="2583"/>
      <c r="HQ235" s="2583"/>
      <c r="HR235" s="2583"/>
      <c r="HS235" s="2583"/>
      <c r="HT235" s="2583"/>
      <c r="HU235" s="2583"/>
      <c r="HV235" s="2583"/>
      <c r="HW235" s="2583"/>
      <c r="HX235" s="2583"/>
      <c r="HY235" s="2583"/>
      <c r="HZ235" s="2583"/>
      <c r="IA235" s="2583"/>
      <c r="IB235" s="2583"/>
      <c r="IC235" s="2583"/>
      <c r="ID235" s="2583"/>
      <c r="IE235" s="2583"/>
      <c r="IF235" s="2583"/>
      <c r="IG235" s="2583"/>
      <c r="IH235" s="2583"/>
      <c r="II235" s="2583"/>
      <c r="IJ235" s="2583"/>
      <c r="IK235" s="2583"/>
      <c r="IL235" s="2583"/>
      <c r="IM235" s="2583"/>
      <c r="IN235" s="2583"/>
      <c r="IO235" s="2583"/>
      <c r="IP235" s="2583"/>
      <c r="IQ235" s="2583"/>
      <c r="IR235" s="2583"/>
      <c r="IS235" s="2583"/>
      <c r="IT235" s="2583"/>
      <c r="IU235" s="2583"/>
      <c r="IV235" s="2583"/>
    </row>
    <row r="236" spans="3:256">
      <c r="C236" s="2584"/>
      <c r="D236" s="2584"/>
      <c r="E236" s="2584"/>
      <c r="F236" s="2584"/>
      <c r="G236" s="2584"/>
      <c r="H236" s="2584"/>
      <c r="AC236" s="2583"/>
      <c r="AD236" s="2583"/>
      <c r="AE236" s="2583"/>
      <c r="AF236" s="2583"/>
      <c r="AG236" s="2583"/>
      <c r="AH236" s="2583"/>
      <c r="AI236" s="2583"/>
      <c r="AJ236" s="2583"/>
      <c r="AK236" s="2583"/>
      <c r="AL236" s="2583"/>
      <c r="AM236" s="2583"/>
      <c r="AN236" s="2583"/>
      <c r="AO236" s="2583"/>
      <c r="AP236" s="2583"/>
      <c r="AQ236" s="2583"/>
      <c r="AR236" s="2583"/>
      <c r="AS236" s="2583"/>
      <c r="AT236" s="2583"/>
      <c r="AU236" s="2583"/>
      <c r="AV236" s="2583"/>
      <c r="AW236" s="2583"/>
      <c r="AX236" s="2583"/>
      <c r="AY236" s="2583"/>
      <c r="AZ236" s="2583"/>
      <c r="BA236" s="2583"/>
      <c r="BB236" s="2583"/>
      <c r="BC236" s="2583"/>
      <c r="BD236" s="2583"/>
      <c r="BE236" s="2583"/>
      <c r="BF236" s="2583"/>
      <c r="BG236" s="2583"/>
      <c r="BH236" s="2583"/>
      <c r="BI236" s="2583"/>
      <c r="BJ236" s="2583"/>
      <c r="BK236" s="2583"/>
      <c r="BL236" s="2583"/>
      <c r="BM236" s="2583"/>
      <c r="BN236" s="2583"/>
      <c r="BO236" s="2583"/>
      <c r="BP236" s="2583"/>
      <c r="BQ236" s="2583"/>
      <c r="BR236" s="2583"/>
      <c r="BS236" s="2583"/>
      <c r="BT236" s="2583"/>
      <c r="BU236" s="2583"/>
      <c r="BV236" s="2583"/>
      <c r="BW236" s="2583"/>
      <c r="BX236" s="2583"/>
      <c r="BY236" s="2583"/>
      <c r="BZ236" s="2583"/>
      <c r="CA236" s="2583"/>
      <c r="CB236" s="2583"/>
      <c r="CC236" s="2583"/>
      <c r="CD236" s="2583"/>
      <c r="CE236" s="2583"/>
      <c r="CF236" s="2583"/>
      <c r="CG236" s="2583"/>
      <c r="CH236" s="2583"/>
      <c r="CI236" s="2583"/>
      <c r="CJ236" s="2583"/>
      <c r="CK236" s="2583"/>
      <c r="CL236" s="2583"/>
      <c r="CM236" s="2583"/>
      <c r="CN236" s="2583"/>
      <c r="CO236" s="2583"/>
      <c r="CP236" s="2583"/>
      <c r="CQ236" s="2583"/>
      <c r="CR236" s="2583"/>
      <c r="CS236" s="2583"/>
      <c r="CT236" s="2583"/>
      <c r="CU236" s="2583"/>
      <c r="CV236" s="2583"/>
      <c r="CW236" s="2583"/>
      <c r="CX236" s="2583"/>
      <c r="CY236" s="2583"/>
      <c r="CZ236" s="2583"/>
      <c r="DA236" s="2583"/>
      <c r="DB236" s="2583"/>
      <c r="DC236" s="2583"/>
      <c r="DD236" s="2583"/>
      <c r="DE236" s="2583"/>
      <c r="DF236" s="2583"/>
      <c r="DG236" s="2583"/>
      <c r="DH236" s="2583"/>
      <c r="DI236" s="2583"/>
      <c r="DJ236" s="2583"/>
      <c r="DK236" s="2583"/>
      <c r="DL236" s="2583"/>
      <c r="DM236" s="2583"/>
      <c r="DN236" s="2583"/>
      <c r="DO236" s="2583"/>
      <c r="DP236" s="2583"/>
      <c r="DQ236" s="2583"/>
      <c r="DR236" s="2583"/>
      <c r="DS236" s="2583"/>
      <c r="DT236" s="2583"/>
      <c r="DU236" s="2583"/>
      <c r="DV236" s="2583"/>
      <c r="DW236" s="2583"/>
      <c r="DX236" s="2583"/>
      <c r="DY236" s="2583"/>
      <c r="DZ236" s="2583"/>
      <c r="EA236" s="2583"/>
      <c r="EB236" s="2583"/>
      <c r="EC236" s="2583"/>
      <c r="ED236" s="2583"/>
      <c r="EE236" s="2583"/>
      <c r="EF236" s="2583"/>
      <c r="EG236" s="2583"/>
      <c r="EH236" s="2583"/>
      <c r="EI236" s="2583"/>
      <c r="EJ236" s="2583"/>
      <c r="EK236" s="2583"/>
      <c r="EL236" s="2583"/>
      <c r="EM236" s="2583"/>
      <c r="EN236" s="2583"/>
      <c r="EO236" s="2583"/>
      <c r="EP236" s="2583"/>
      <c r="EQ236" s="2583"/>
      <c r="ER236" s="2583"/>
      <c r="ES236" s="2583"/>
      <c r="ET236" s="2583"/>
      <c r="EU236" s="2583"/>
      <c r="EV236" s="2583"/>
      <c r="EW236" s="2583"/>
      <c r="EX236" s="2583"/>
      <c r="EY236" s="2583"/>
      <c r="EZ236" s="2583"/>
      <c r="FA236" s="2583"/>
      <c r="FB236" s="2583"/>
      <c r="FC236" s="2583"/>
      <c r="FD236" s="2583"/>
      <c r="FE236" s="2583"/>
      <c r="FF236" s="2583"/>
      <c r="FG236" s="2583"/>
      <c r="FH236" s="2583"/>
      <c r="FI236" s="2583"/>
      <c r="FJ236" s="2583"/>
      <c r="FK236" s="2583"/>
      <c r="FL236" s="2583"/>
      <c r="FM236" s="2583"/>
      <c r="FN236" s="2583"/>
      <c r="FO236" s="2583"/>
      <c r="FP236" s="2583"/>
      <c r="FQ236" s="2583"/>
      <c r="FR236" s="2583"/>
      <c r="FS236" s="2583"/>
      <c r="FT236" s="2583"/>
      <c r="FU236" s="2583"/>
      <c r="FV236" s="2583"/>
      <c r="FW236" s="2583"/>
      <c r="FX236" s="2583"/>
      <c r="FY236" s="2583"/>
      <c r="FZ236" s="2583"/>
      <c r="GA236" s="2583"/>
      <c r="GB236" s="2583"/>
      <c r="GC236" s="2583"/>
      <c r="GD236" s="2583"/>
      <c r="GE236" s="2583"/>
      <c r="GF236" s="2583"/>
      <c r="GG236" s="2583"/>
      <c r="GH236" s="2583"/>
      <c r="GI236" s="2583"/>
      <c r="GJ236" s="2583"/>
      <c r="GK236" s="2583"/>
      <c r="GL236" s="2583"/>
      <c r="GM236" s="2583"/>
      <c r="GN236" s="2583"/>
      <c r="GO236" s="2583"/>
      <c r="GP236" s="2583"/>
      <c r="GQ236" s="2583"/>
      <c r="GR236" s="2583"/>
      <c r="GS236" s="2583"/>
      <c r="GT236" s="2583"/>
      <c r="GU236" s="2583"/>
      <c r="GV236" s="2583"/>
      <c r="GW236" s="2583"/>
      <c r="GX236" s="2583"/>
      <c r="GY236" s="2583"/>
      <c r="GZ236" s="2583"/>
      <c r="HA236" s="2583"/>
      <c r="HB236" s="2583"/>
      <c r="HC236" s="2583"/>
      <c r="HD236" s="2583"/>
      <c r="HE236" s="2583"/>
      <c r="HF236" s="2583"/>
      <c r="HG236" s="2583"/>
      <c r="HH236" s="2583"/>
      <c r="HI236" s="2583"/>
      <c r="HJ236" s="2583"/>
      <c r="HK236" s="2583"/>
      <c r="HL236" s="2583"/>
      <c r="HM236" s="2583"/>
      <c r="HN236" s="2583"/>
      <c r="HO236" s="2583"/>
      <c r="HP236" s="2583"/>
      <c r="HQ236" s="2583"/>
      <c r="HR236" s="2583"/>
      <c r="HS236" s="2583"/>
      <c r="HT236" s="2583"/>
      <c r="HU236" s="2583"/>
      <c r="HV236" s="2583"/>
      <c r="HW236" s="2583"/>
      <c r="HX236" s="2583"/>
      <c r="HY236" s="2583"/>
      <c r="HZ236" s="2583"/>
      <c r="IA236" s="2583"/>
      <c r="IB236" s="2583"/>
      <c r="IC236" s="2583"/>
      <c r="ID236" s="2583"/>
      <c r="IE236" s="2583"/>
      <c r="IF236" s="2583"/>
      <c r="IG236" s="2583"/>
      <c r="IH236" s="2583"/>
      <c r="II236" s="2583"/>
      <c r="IJ236" s="2583"/>
      <c r="IK236" s="2583"/>
      <c r="IL236" s="2583"/>
      <c r="IM236" s="2583"/>
      <c r="IN236" s="2583"/>
      <c r="IO236" s="2583"/>
      <c r="IP236" s="2583"/>
      <c r="IQ236" s="2583"/>
      <c r="IR236" s="2583"/>
      <c r="IS236" s="2583"/>
      <c r="IT236" s="2583"/>
      <c r="IU236" s="2583"/>
      <c r="IV236" s="2583"/>
    </row>
    <row r="237" spans="3:256">
      <c r="C237" s="2584"/>
      <c r="D237" s="2584"/>
      <c r="E237" s="2584"/>
      <c r="F237" s="2584"/>
      <c r="G237" s="2584"/>
      <c r="H237" s="2584"/>
      <c r="AC237" s="2583"/>
      <c r="AD237" s="2583"/>
      <c r="AE237" s="2583"/>
      <c r="AF237" s="2583"/>
      <c r="AG237" s="2583"/>
      <c r="AH237" s="2583"/>
      <c r="AI237" s="2583"/>
      <c r="AJ237" s="2583"/>
      <c r="AK237" s="2583"/>
      <c r="AL237" s="2583"/>
      <c r="AM237" s="2583"/>
      <c r="AN237" s="2583"/>
      <c r="AO237" s="2583"/>
      <c r="AP237" s="2583"/>
      <c r="AQ237" s="2583"/>
      <c r="AR237" s="2583"/>
      <c r="AS237" s="2583"/>
      <c r="AT237" s="2583"/>
      <c r="AU237" s="2583"/>
      <c r="AV237" s="2583"/>
      <c r="AW237" s="2583"/>
      <c r="AX237" s="2583"/>
      <c r="AY237" s="2583"/>
      <c r="AZ237" s="2583"/>
      <c r="BA237" s="2583"/>
      <c r="BB237" s="2583"/>
      <c r="BC237" s="2583"/>
      <c r="BD237" s="2583"/>
      <c r="BE237" s="2583"/>
      <c r="BF237" s="2583"/>
      <c r="BG237" s="2583"/>
      <c r="BH237" s="2583"/>
      <c r="BI237" s="2583"/>
      <c r="BJ237" s="2583"/>
      <c r="BK237" s="2583"/>
      <c r="BL237" s="2583"/>
      <c r="BM237" s="2583"/>
      <c r="BN237" s="2583"/>
      <c r="BO237" s="2583"/>
      <c r="BP237" s="2583"/>
      <c r="BQ237" s="2583"/>
      <c r="BR237" s="2583"/>
      <c r="BS237" s="2583"/>
      <c r="BT237" s="2583"/>
      <c r="BU237" s="2583"/>
      <c r="BV237" s="2583"/>
      <c r="BW237" s="2583"/>
      <c r="BX237" s="2583"/>
      <c r="BY237" s="2583"/>
      <c r="BZ237" s="2583"/>
      <c r="CA237" s="2583"/>
      <c r="CB237" s="2583"/>
      <c r="CC237" s="2583"/>
      <c r="CD237" s="2583"/>
      <c r="CE237" s="2583"/>
      <c r="CF237" s="2583"/>
      <c r="CG237" s="2583"/>
      <c r="CH237" s="2583"/>
      <c r="CI237" s="2583"/>
      <c r="CJ237" s="2583"/>
      <c r="CK237" s="2583"/>
      <c r="CL237" s="2583"/>
      <c r="CM237" s="2583"/>
      <c r="CN237" s="2583"/>
      <c r="CO237" s="2583"/>
      <c r="CP237" s="2583"/>
      <c r="CQ237" s="2583"/>
      <c r="CR237" s="2583"/>
      <c r="CS237" s="2583"/>
      <c r="CT237" s="2583"/>
      <c r="CU237" s="2583"/>
      <c r="CV237" s="2583"/>
      <c r="CW237" s="2583"/>
      <c r="CX237" s="2583"/>
      <c r="CY237" s="2583"/>
      <c r="CZ237" s="2583"/>
      <c r="DA237" s="2583"/>
      <c r="DB237" s="2583"/>
      <c r="DC237" s="2583"/>
      <c r="DD237" s="2583"/>
      <c r="DE237" s="2583"/>
      <c r="DF237" s="2583"/>
      <c r="DG237" s="2583"/>
      <c r="DH237" s="2583"/>
      <c r="DI237" s="2583"/>
      <c r="DJ237" s="2583"/>
      <c r="DK237" s="2583"/>
      <c r="DL237" s="2583"/>
      <c r="DM237" s="2583"/>
      <c r="DN237" s="2583"/>
      <c r="DO237" s="2583"/>
      <c r="DP237" s="2583"/>
      <c r="DQ237" s="2583"/>
      <c r="DR237" s="2583"/>
      <c r="DS237" s="2583"/>
      <c r="DT237" s="2583"/>
      <c r="DU237" s="2583"/>
      <c r="DV237" s="2583"/>
      <c r="DW237" s="2583"/>
      <c r="DX237" s="2583"/>
      <c r="DY237" s="2583"/>
      <c r="DZ237" s="2583"/>
      <c r="EA237" s="2583"/>
      <c r="EB237" s="2583"/>
      <c r="EC237" s="2583"/>
      <c r="ED237" s="2583"/>
      <c r="EE237" s="2583"/>
      <c r="EF237" s="2583"/>
      <c r="EG237" s="2583"/>
      <c r="EH237" s="2583"/>
      <c r="EI237" s="2583"/>
      <c r="EJ237" s="2583"/>
      <c r="EK237" s="2583"/>
      <c r="EL237" s="2583"/>
      <c r="EM237" s="2583"/>
      <c r="EN237" s="2583"/>
      <c r="EO237" s="2583"/>
      <c r="EP237" s="2583"/>
      <c r="EQ237" s="2583"/>
      <c r="ER237" s="2583"/>
      <c r="ES237" s="2583"/>
      <c r="ET237" s="2583"/>
      <c r="EU237" s="2583"/>
      <c r="EV237" s="2583"/>
      <c r="EW237" s="2583"/>
      <c r="EX237" s="2583"/>
      <c r="EY237" s="2583"/>
      <c r="EZ237" s="2583"/>
      <c r="FA237" s="2583"/>
      <c r="FB237" s="2583"/>
      <c r="FC237" s="2583"/>
      <c r="FD237" s="2583"/>
      <c r="FE237" s="2583"/>
      <c r="FF237" s="2583"/>
      <c r="FG237" s="2583"/>
      <c r="FH237" s="2583"/>
      <c r="FI237" s="2583"/>
      <c r="FJ237" s="2583"/>
      <c r="FK237" s="2583"/>
      <c r="FL237" s="2583"/>
      <c r="FM237" s="2583"/>
      <c r="FN237" s="2583"/>
      <c r="FO237" s="2583"/>
      <c r="FP237" s="2583"/>
      <c r="FQ237" s="2583"/>
      <c r="FR237" s="2583"/>
      <c r="FS237" s="2583"/>
      <c r="FT237" s="2583"/>
      <c r="FU237" s="2583"/>
      <c r="FV237" s="2583"/>
      <c r="FW237" s="2583"/>
      <c r="FX237" s="2583"/>
      <c r="FY237" s="2583"/>
      <c r="FZ237" s="2583"/>
      <c r="GA237" s="2583"/>
      <c r="GB237" s="2583"/>
      <c r="GC237" s="2583"/>
      <c r="GD237" s="2583"/>
      <c r="GE237" s="2583"/>
      <c r="GF237" s="2583"/>
      <c r="GG237" s="2583"/>
      <c r="GH237" s="2583"/>
      <c r="GI237" s="2583"/>
      <c r="GJ237" s="2583"/>
      <c r="GK237" s="2583"/>
      <c r="GL237" s="2583"/>
      <c r="GM237" s="2583"/>
      <c r="GN237" s="2583"/>
      <c r="GO237" s="2583"/>
      <c r="GP237" s="2583"/>
      <c r="GQ237" s="2583"/>
      <c r="GR237" s="2583"/>
      <c r="GS237" s="2583"/>
      <c r="GT237" s="2583"/>
      <c r="GU237" s="2583"/>
      <c r="GV237" s="2583"/>
      <c r="GW237" s="2583"/>
      <c r="GX237" s="2583"/>
      <c r="GY237" s="2583"/>
      <c r="GZ237" s="2583"/>
      <c r="HA237" s="2583"/>
      <c r="HB237" s="2583"/>
      <c r="HC237" s="2583"/>
      <c r="HD237" s="2583"/>
      <c r="HE237" s="2583"/>
      <c r="HF237" s="2583"/>
      <c r="HG237" s="2583"/>
      <c r="HH237" s="2583"/>
      <c r="HI237" s="2583"/>
      <c r="HJ237" s="2583"/>
      <c r="HK237" s="2583"/>
      <c r="HL237" s="2583"/>
      <c r="HM237" s="2583"/>
      <c r="HN237" s="2583"/>
      <c r="HO237" s="2583"/>
      <c r="HP237" s="2583"/>
      <c r="HQ237" s="2583"/>
      <c r="HR237" s="2583"/>
      <c r="HS237" s="2583"/>
      <c r="HT237" s="2583"/>
      <c r="HU237" s="2583"/>
      <c r="HV237" s="2583"/>
      <c r="HW237" s="2583"/>
      <c r="HX237" s="2583"/>
      <c r="HY237" s="2583"/>
      <c r="HZ237" s="2583"/>
      <c r="IA237" s="2583"/>
      <c r="IB237" s="2583"/>
      <c r="IC237" s="2583"/>
      <c r="ID237" s="2583"/>
      <c r="IE237" s="2583"/>
      <c r="IF237" s="2583"/>
      <c r="IG237" s="2583"/>
      <c r="IH237" s="2583"/>
      <c r="II237" s="2583"/>
      <c r="IJ237" s="2583"/>
      <c r="IK237" s="2583"/>
      <c r="IL237" s="2583"/>
      <c r="IM237" s="2583"/>
      <c r="IN237" s="2583"/>
      <c r="IO237" s="2583"/>
      <c r="IP237" s="2583"/>
      <c r="IQ237" s="2583"/>
      <c r="IR237" s="2583"/>
      <c r="IS237" s="2583"/>
      <c r="IT237" s="2583"/>
      <c r="IU237" s="2583"/>
      <c r="IV237" s="2583"/>
    </row>
    <row r="238" spans="3:256">
      <c r="C238" s="2584"/>
      <c r="D238" s="2584"/>
      <c r="E238" s="2584"/>
      <c r="F238" s="2584"/>
      <c r="G238" s="2584"/>
      <c r="H238" s="2584"/>
      <c r="AC238" s="2583"/>
      <c r="AD238" s="2583"/>
      <c r="AE238" s="2583"/>
      <c r="AF238" s="2583"/>
      <c r="AG238" s="2583"/>
      <c r="AH238" s="2583"/>
      <c r="AI238" s="2583"/>
      <c r="AJ238" s="2583"/>
      <c r="AK238" s="2583"/>
      <c r="AL238" s="2583"/>
      <c r="AM238" s="2583"/>
      <c r="AN238" s="2583"/>
      <c r="AO238" s="2583"/>
      <c r="AP238" s="2583"/>
      <c r="AQ238" s="2583"/>
      <c r="AR238" s="2583"/>
      <c r="AS238" s="2583"/>
      <c r="AT238" s="2583"/>
      <c r="AU238" s="2583"/>
      <c r="AV238" s="2583"/>
      <c r="AW238" s="2583"/>
      <c r="AX238" s="2583"/>
      <c r="AY238" s="2583"/>
      <c r="AZ238" s="2583"/>
      <c r="BA238" s="2583"/>
      <c r="BB238" s="2583"/>
      <c r="BC238" s="2583"/>
      <c r="BD238" s="2583"/>
      <c r="BE238" s="2583"/>
      <c r="BF238" s="2583"/>
      <c r="BG238" s="2583"/>
      <c r="BH238" s="2583"/>
      <c r="BI238" s="2583"/>
      <c r="BJ238" s="2583"/>
      <c r="BK238" s="2583"/>
      <c r="BL238" s="2583"/>
      <c r="BM238" s="2583"/>
      <c r="BN238" s="2583"/>
      <c r="BO238" s="2583"/>
      <c r="BP238" s="2583"/>
      <c r="BQ238" s="2583"/>
      <c r="BR238" s="2583"/>
      <c r="BS238" s="2583"/>
      <c r="BT238" s="2583"/>
      <c r="BU238" s="2583"/>
      <c r="BV238" s="2583"/>
      <c r="BW238" s="2583"/>
      <c r="BX238" s="2583"/>
      <c r="BY238" s="2583"/>
      <c r="BZ238" s="2583"/>
      <c r="CA238" s="2583"/>
      <c r="CB238" s="2583"/>
      <c r="CC238" s="2583"/>
      <c r="CD238" s="2583"/>
      <c r="CE238" s="2583"/>
      <c r="CF238" s="2583"/>
      <c r="CG238" s="2583"/>
      <c r="CH238" s="2583"/>
      <c r="CI238" s="2583"/>
      <c r="CJ238" s="2583"/>
      <c r="CK238" s="2583"/>
      <c r="CL238" s="2583"/>
      <c r="CM238" s="2583"/>
      <c r="CN238" s="2583"/>
      <c r="CO238" s="2583"/>
      <c r="CP238" s="2583"/>
      <c r="CQ238" s="2583"/>
      <c r="CR238" s="2583"/>
      <c r="CS238" s="2583"/>
      <c r="CT238" s="2583"/>
      <c r="CU238" s="2583"/>
      <c r="CV238" s="2583"/>
      <c r="CW238" s="2583"/>
      <c r="CX238" s="2583"/>
      <c r="CY238" s="2583"/>
      <c r="CZ238" s="2583"/>
      <c r="DA238" s="2583"/>
      <c r="DB238" s="2583"/>
      <c r="DC238" s="2583"/>
      <c r="DD238" s="2583"/>
      <c r="DE238" s="2583"/>
      <c r="DF238" s="2583"/>
      <c r="DG238" s="2583"/>
      <c r="DH238" s="2583"/>
      <c r="DI238" s="2583"/>
      <c r="DJ238" s="2583"/>
      <c r="DK238" s="2583"/>
      <c r="DL238" s="2583"/>
      <c r="DM238" s="2583"/>
      <c r="DN238" s="2583"/>
      <c r="DO238" s="2583"/>
      <c r="DP238" s="2583"/>
      <c r="DQ238" s="2583"/>
      <c r="DR238" s="2583"/>
      <c r="DS238" s="2583"/>
      <c r="DT238" s="2583"/>
      <c r="DU238" s="2583"/>
      <c r="DV238" s="2583"/>
      <c r="DW238" s="2583"/>
      <c r="DX238" s="2583"/>
      <c r="DY238" s="2583"/>
      <c r="DZ238" s="2583"/>
      <c r="EA238" s="2583"/>
      <c r="EB238" s="2583"/>
      <c r="EC238" s="2583"/>
      <c r="ED238" s="2583"/>
      <c r="EE238" s="2583"/>
      <c r="EF238" s="2583"/>
      <c r="EG238" s="2583"/>
      <c r="EH238" s="2583"/>
      <c r="EI238" s="2583"/>
      <c r="EJ238" s="2583"/>
      <c r="EK238" s="2583"/>
      <c r="EL238" s="2583"/>
      <c r="EM238" s="2583"/>
      <c r="EN238" s="2583"/>
      <c r="EO238" s="2583"/>
      <c r="EP238" s="2583"/>
      <c r="EQ238" s="2583"/>
      <c r="ER238" s="2583"/>
      <c r="ES238" s="2583"/>
      <c r="ET238" s="2583"/>
      <c r="EU238" s="2583"/>
      <c r="EV238" s="2583"/>
      <c r="EW238" s="2583"/>
      <c r="EX238" s="2583"/>
      <c r="EY238" s="2583"/>
      <c r="EZ238" s="2583"/>
      <c r="FA238" s="2583"/>
      <c r="FB238" s="2583"/>
      <c r="FC238" s="2583"/>
      <c r="FD238" s="2583"/>
      <c r="FE238" s="2583"/>
      <c r="FF238" s="2583"/>
      <c r="FG238" s="2583"/>
      <c r="FH238" s="2583"/>
      <c r="FI238" s="2583"/>
      <c r="FJ238" s="2583"/>
      <c r="FK238" s="2583"/>
      <c r="FL238" s="2583"/>
      <c r="FM238" s="2583"/>
      <c r="FN238" s="2583"/>
      <c r="FO238" s="2583"/>
      <c r="FP238" s="2583"/>
      <c r="FQ238" s="2583"/>
      <c r="FR238" s="2583"/>
      <c r="FS238" s="2583"/>
      <c r="FT238" s="2583"/>
      <c r="FU238" s="2583"/>
      <c r="FV238" s="2583"/>
      <c r="FW238" s="2583"/>
      <c r="FX238" s="2583"/>
      <c r="FY238" s="2583"/>
      <c r="FZ238" s="2583"/>
      <c r="GA238" s="2583"/>
      <c r="GB238" s="2583"/>
      <c r="GC238" s="2583"/>
      <c r="GD238" s="2583"/>
      <c r="GE238" s="2583"/>
      <c r="GF238" s="2583"/>
      <c r="GG238" s="2583"/>
      <c r="GH238" s="2583"/>
      <c r="GI238" s="2583"/>
      <c r="GJ238" s="2583"/>
      <c r="GK238" s="2583"/>
      <c r="GL238" s="2583"/>
      <c r="GM238" s="2583"/>
      <c r="GN238" s="2583"/>
      <c r="GO238" s="2583"/>
      <c r="GP238" s="2583"/>
      <c r="GQ238" s="2583"/>
      <c r="GR238" s="2583"/>
      <c r="GS238" s="2583"/>
      <c r="GT238" s="2583"/>
      <c r="GU238" s="2583"/>
      <c r="GV238" s="2583"/>
      <c r="GW238" s="2583"/>
      <c r="GX238" s="2583"/>
      <c r="GY238" s="2583"/>
      <c r="GZ238" s="2583"/>
      <c r="HA238" s="2583"/>
      <c r="HB238" s="2583"/>
      <c r="HC238" s="2583"/>
      <c r="HD238" s="2583"/>
      <c r="HE238" s="2583"/>
      <c r="HF238" s="2583"/>
      <c r="HG238" s="2583"/>
      <c r="HH238" s="2583"/>
      <c r="HI238" s="2583"/>
      <c r="HJ238" s="2583"/>
      <c r="HK238" s="2583"/>
      <c r="HL238" s="2583"/>
      <c r="HM238" s="2583"/>
      <c r="HN238" s="2583"/>
      <c r="HO238" s="2583"/>
      <c r="HP238" s="2583"/>
      <c r="HQ238" s="2583"/>
      <c r="HR238" s="2583"/>
      <c r="HS238" s="2583"/>
      <c r="HT238" s="2583"/>
      <c r="HU238" s="2583"/>
      <c r="HV238" s="2583"/>
      <c r="HW238" s="2583"/>
      <c r="HX238" s="2583"/>
      <c r="HY238" s="2583"/>
      <c r="HZ238" s="2583"/>
      <c r="IA238" s="2583"/>
      <c r="IB238" s="2583"/>
      <c r="IC238" s="2583"/>
      <c r="ID238" s="2583"/>
      <c r="IE238" s="2583"/>
      <c r="IF238" s="2583"/>
      <c r="IG238" s="2583"/>
      <c r="IH238" s="2583"/>
      <c r="II238" s="2583"/>
      <c r="IJ238" s="2583"/>
      <c r="IK238" s="2583"/>
      <c r="IL238" s="2583"/>
      <c r="IM238" s="2583"/>
      <c r="IN238" s="2583"/>
      <c r="IO238" s="2583"/>
      <c r="IP238" s="2583"/>
      <c r="IQ238" s="2583"/>
      <c r="IR238" s="2583"/>
      <c r="IS238" s="2583"/>
      <c r="IT238" s="2583"/>
      <c r="IU238" s="2583"/>
      <c r="IV238" s="2583"/>
    </row>
    <row r="239" spans="3:256">
      <c r="C239" s="2584"/>
      <c r="D239" s="2584"/>
      <c r="E239" s="2584"/>
      <c r="F239" s="2584"/>
      <c r="G239" s="2584"/>
      <c r="H239" s="2584"/>
      <c r="AC239" s="2583"/>
      <c r="AD239" s="2583"/>
      <c r="AE239" s="2583"/>
      <c r="AF239" s="2583"/>
      <c r="AG239" s="2583"/>
      <c r="AH239" s="2583"/>
      <c r="AI239" s="2583"/>
      <c r="AJ239" s="2583"/>
      <c r="AK239" s="2583"/>
      <c r="AL239" s="2583"/>
      <c r="AM239" s="2583"/>
      <c r="AN239" s="2583"/>
      <c r="AO239" s="2583"/>
      <c r="AP239" s="2583"/>
      <c r="AQ239" s="2583"/>
      <c r="AR239" s="2583"/>
      <c r="AS239" s="2583"/>
      <c r="AT239" s="2583"/>
      <c r="AU239" s="2583"/>
      <c r="AV239" s="2583"/>
      <c r="AW239" s="2583"/>
      <c r="AX239" s="2583"/>
      <c r="AY239" s="2583"/>
      <c r="AZ239" s="2583"/>
      <c r="BA239" s="2583"/>
      <c r="BB239" s="2583"/>
      <c r="BC239" s="2583"/>
      <c r="BD239" s="2583"/>
      <c r="BE239" s="2583"/>
      <c r="BF239" s="2583"/>
      <c r="BG239" s="2583"/>
      <c r="BH239" s="2583"/>
      <c r="BI239" s="2583"/>
      <c r="BJ239" s="2583"/>
      <c r="BK239" s="2583"/>
      <c r="BL239" s="2583"/>
      <c r="BM239" s="2583"/>
      <c r="BN239" s="2583"/>
      <c r="BO239" s="2583"/>
      <c r="BP239" s="2583"/>
      <c r="BQ239" s="2583"/>
      <c r="BR239" s="2583"/>
      <c r="BS239" s="2583"/>
      <c r="BT239" s="2583"/>
      <c r="BU239" s="2583"/>
      <c r="BV239" s="2583"/>
      <c r="BW239" s="2583"/>
      <c r="BX239" s="2583"/>
      <c r="BY239" s="2583"/>
      <c r="BZ239" s="2583"/>
      <c r="CA239" s="2583"/>
      <c r="CB239" s="2583"/>
      <c r="CC239" s="2583"/>
      <c r="CD239" s="2583"/>
      <c r="CE239" s="2583"/>
      <c r="CF239" s="2583"/>
      <c r="CG239" s="2583"/>
      <c r="CH239" s="2583"/>
      <c r="CI239" s="2583"/>
      <c r="CJ239" s="2583"/>
      <c r="CK239" s="2583"/>
      <c r="CL239" s="2583"/>
      <c r="CM239" s="2583"/>
      <c r="CN239" s="2583"/>
      <c r="CO239" s="2583"/>
      <c r="CP239" s="2583"/>
      <c r="CQ239" s="2583"/>
      <c r="CR239" s="2583"/>
      <c r="CS239" s="2583"/>
      <c r="CT239" s="2583"/>
      <c r="CU239" s="2583"/>
      <c r="CV239" s="2583"/>
      <c r="CW239" s="2583"/>
      <c r="CX239" s="2583"/>
      <c r="CY239" s="2583"/>
      <c r="CZ239" s="2583"/>
      <c r="DA239" s="2583"/>
      <c r="DB239" s="2583"/>
      <c r="DC239" s="2583"/>
      <c r="DD239" s="2583"/>
      <c r="DE239" s="2583"/>
      <c r="DF239" s="2583"/>
      <c r="DG239" s="2583"/>
      <c r="DH239" s="2583"/>
      <c r="DI239" s="2583"/>
      <c r="DJ239" s="2583"/>
      <c r="DK239" s="2583"/>
      <c r="DL239" s="2583"/>
      <c r="DM239" s="2583"/>
      <c r="DN239" s="2583"/>
      <c r="DO239" s="2583"/>
      <c r="DP239" s="2583"/>
      <c r="DQ239" s="2583"/>
      <c r="DR239" s="2583"/>
      <c r="DS239" s="2583"/>
      <c r="DT239" s="2583"/>
      <c r="DU239" s="2583"/>
      <c r="DV239" s="2583"/>
      <c r="DW239" s="2583"/>
      <c r="DX239" s="2583"/>
      <c r="DY239" s="2583"/>
      <c r="DZ239" s="2583"/>
      <c r="EA239" s="2583"/>
      <c r="EB239" s="2583"/>
      <c r="EC239" s="2583"/>
      <c r="ED239" s="2583"/>
      <c r="EE239" s="2583"/>
      <c r="EF239" s="2583"/>
      <c r="EG239" s="2583"/>
      <c r="EH239" s="2583"/>
      <c r="EI239" s="2583"/>
      <c r="EJ239" s="2583"/>
      <c r="EK239" s="2583"/>
      <c r="EL239" s="2583"/>
      <c r="EM239" s="2583"/>
      <c r="EN239" s="2583"/>
      <c r="EO239" s="2583"/>
      <c r="EP239" s="2583"/>
      <c r="EQ239" s="2583"/>
      <c r="ER239" s="2583"/>
      <c r="ES239" s="2583"/>
      <c r="ET239" s="2583"/>
      <c r="EU239" s="2583"/>
      <c r="EV239" s="2583"/>
      <c r="EW239" s="2583"/>
      <c r="EX239" s="2583"/>
      <c r="EY239" s="2583"/>
      <c r="EZ239" s="2583"/>
      <c r="FA239" s="2583"/>
      <c r="FB239" s="2583"/>
      <c r="FC239" s="2583"/>
      <c r="FD239" s="2583"/>
      <c r="FE239" s="2583"/>
      <c r="FF239" s="2583"/>
      <c r="FG239" s="2583"/>
      <c r="FH239" s="2583"/>
      <c r="FI239" s="2583"/>
      <c r="FJ239" s="2583"/>
      <c r="FK239" s="2583"/>
      <c r="FL239" s="2583"/>
      <c r="FM239" s="2583"/>
      <c r="FN239" s="2583"/>
      <c r="FO239" s="2583"/>
      <c r="FP239" s="2583"/>
      <c r="FQ239" s="2583"/>
      <c r="FR239" s="2583"/>
      <c r="FS239" s="2583"/>
      <c r="FT239" s="2583"/>
      <c r="FU239" s="2583"/>
      <c r="FV239" s="2583"/>
      <c r="FW239" s="2583"/>
      <c r="FX239" s="2583"/>
      <c r="FY239" s="2583"/>
      <c r="FZ239" s="2583"/>
      <c r="GA239" s="2583"/>
      <c r="GB239" s="2583"/>
      <c r="GC239" s="2583"/>
      <c r="GD239" s="2583"/>
      <c r="GE239" s="2583"/>
      <c r="GF239" s="2583"/>
      <c r="GG239" s="2583"/>
      <c r="GH239" s="2583"/>
      <c r="GI239" s="2583"/>
      <c r="GJ239" s="2583"/>
      <c r="GK239" s="2583"/>
      <c r="GL239" s="2583"/>
      <c r="GM239" s="2583"/>
      <c r="GN239" s="2583"/>
      <c r="GO239" s="2583"/>
      <c r="GP239" s="2583"/>
      <c r="GQ239" s="2583"/>
      <c r="GR239" s="2583"/>
      <c r="GS239" s="2583"/>
      <c r="GT239" s="2583"/>
      <c r="GU239" s="2583"/>
      <c r="GV239" s="2583"/>
      <c r="GW239" s="2583"/>
      <c r="GX239" s="2583"/>
      <c r="GY239" s="2583"/>
      <c r="GZ239" s="2583"/>
      <c r="HA239" s="2583"/>
      <c r="HB239" s="2583"/>
      <c r="HC239" s="2583"/>
      <c r="HD239" s="2583"/>
      <c r="HE239" s="2583"/>
      <c r="HF239" s="2583"/>
      <c r="HG239" s="2583"/>
      <c r="HH239" s="2583"/>
      <c r="HI239" s="2583"/>
      <c r="HJ239" s="2583"/>
      <c r="HK239" s="2583"/>
      <c r="HL239" s="2583"/>
      <c r="HM239" s="2583"/>
      <c r="HN239" s="2583"/>
      <c r="HO239" s="2583"/>
      <c r="HP239" s="2583"/>
      <c r="HQ239" s="2583"/>
      <c r="HR239" s="2583"/>
      <c r="HS239" s="2583"/>
      <c r="HT239" s="2583"/>
      <c r="HU239" s="2583"/>
      <c r="HV239" s="2583"/>
      <c r="HW239" s="2583"/>
      <c r="HX239" s="2583"/>
      <c r="HY239" s="2583"/>
      <c r="HZ239" s="2583"/>
      <c r="IA239" s="2583"/>
      <c r="IB239" s="2583"/>
      <c r="IC239" s="2583"/>
      <c r="ID239" s="2583"/>
      <c r="IE239" s="2583"/>
      <c r="IF239" s="2583"/>
      <c r="IG239" s="2583"/>
      <c r="IH239" s="2583"/>
      <c r="II239" s="2583"/>
      <c r="IJ239" s="2583"/>
      <c r="IK239" s="2583"/>
      <c r="IL239" s="2583"/>
      <c r="IM239" s="2583"/>
      <c r="IN239" s="2583"/>
      <c r="IO239" s="2583"/>
      <c r="IP239" s="2583"/>
      <c r="IQ239" s="2583"/>
      <c r="IR239" s="2583"/>
      <c r="IS239" s="2583"/>
      <c r="IT239" s="2583"/>
      <c r="IU239" s="2583"/>
      <c r="IV239" s="2583"/>
    </row>
    <row r="240" spans="3:256">
      <c r="C240" s="2584"/>
      <c r="D240" s="2584"/>
      <c r="E240" s="2584"/>
      <c r="F240" s="2584"/>
      <c r="G240" s="2584"/>
      <c r="H240" s="2584"/>
      <c r="AC240" s="2583"/>
      <c r="AD240" s="2583"/>
      <c r="AE240" s="2583"/>
      <c r="AF240" s="2583"/>
      <c r="AG240" s="2583"/>
      <c r="AH240" s="2583"/>
      <c r="AI240" s="2583"/>
      <c r="AJ240" s="2583"/>
      <c r="AK240" s="2583"/>
      <c r="AL240" s="2583"/>
      <c r="AM240" s="2583"/>
      <c r="AN240" s="2583"/>
      <c r="AO240" s="2583"/>
      <c r="AP240" s="2583"/>
      <c r="AQ240" s="2583"/>
      <c r="AR240" s="2583"/>
      <c r="AS240" s="2583"/>
      <c r="AT240" s="2583"/>
      <c r="AU240" s="2583"/>
      <c r="AV240" s="2583"/>
      <c r="AW240" s="2583"/>
      <c r="AX240" s="2583"/>
      <c r="AY240" s="2583"/>
      <c r="AZ240" s="2583"/>
      <c r="BA240" s="2583"/>
      <c r="BB240" s="2583"/>
      <c r="BC240" s="2583"/>
      <c r="BD240" s="2583"/>
      <c r="BE240" s="2583"/>
      <c r="BF240" s="2583"/>
      <c r="BG240" s="2583"/>
      <c r="BH240" s="2583"/>
      <c r="BI240" s="2583"/>
      <c r="BJ240" s="2583"/>
      <c r="BK240" s="2583"/>
      <c r="BL240" s="2583"/>
      <c r="BM240" s="2583"/>
      <c r="BN240" s="2583"/>
      <c r="BO240" s="2583"/>
      <c r="BP240" s="2583"/>
      <c r="BQ240" s="2583"/>
      <c r="BR240" s="2583"/>
      <c r="BS240" s="2583"/>
      <c r="BT240" s="2583"/>
      <c r="BU240" s="2583"/>
      <c r="BV240" s="2583"/>
      <c r="BW240" s="2583"/>
      <c r="BX240" s="2583"/>
      <c r="BY240" s="2583"/>
      <c r="BZ240" s="2583"/>
      <c r="CA240" s="2583"/>
      <c r="CB240" s="2583"/>
      <c r="CC240" s="2583"/>
      <c r="CD240" s="2583"/>
      <c r="CE240" s="2583"/>
      <c r="CF240" s="2583"/>
      <c r="CG240" s="2583"/>
      <c r="CH240" s="2583"/>
      <c r="CI240" s="2583"/>
      <c r="CJ240" s="2583"/>
      <c r="CK240" s="2583"/>
      <c r="CL240" s="2583"/>
      <c r="CM240" s="2583"/>
      <c r="CN240" s="2583"/>
      <c r="CO240" s="2583"/>
      <c r="CP240" s="2583"/>
      <c r="CQ240" s="2583"/>
      <c r="CR240" s="2583"/>
      <c r="CS240" s="2583"/>
      <c r="CT240" s="2583"/>
      <c r="CU240" s="2583"/>
      <c r="CV240" s="2583"/>
      <c r="CW240" s="2583"/>
      <c r="CX240" s="2583"/>
      <c r="CY240" s="2583"/>
      <c r="CZ240" s="2583"/>
      <c r="DA240" s="2583"/>
      <c r="DB240" s="2583"/>
      <c r="DC240" s="2583"/>
      <c r="DD240" s="2583"/>
      <c r="DE240" s="2583"/>
      <c r="DF240" s="2583"/>
      <c r="DG240" s="2583"/>
      <c r="DH240" s="2583"/>
      <c r="DI240" s="2583"/>
      <c r="DJ240" s="2583"/>
      <c r="DK240" s="2583"/>
      <c r="DL240" s="2583"/>
      <c r="DM240" s="2583"/>
      <c r="DN240" s="2583"/>
      <c r="DO240" s="2583"/>
      <c r="DP240" s="2583"/>
      <c r="DQ240" s="2583"/>
      <c r="DR240" s="2583"/>
      <c r="DS240" s="2583"/>
      <c r="DT240" s="2583"/>
      <c r="DU240" s="2583"/>
      <c r="DV240" s="2583"/>
      <c r="DW240" s="2583"/>
      <c r="DX240" s="2583"/>
      <c r="DY240" s="2583"/>
      <c r="DZ240" s="2583"/>
      <c r="EA240" s="2583"/>
      <c r="EB240" s="2583"/>
      <c r="EC240" s="2583"/>
      <c r="ED240" s="2583"/>
      <c r="EE240" s="2583"/>
      <c r="EF240" s="2583"/>
      <c r="EG240" s="2583"/>
      <c r="EH240" s="2583"/>
      <c r="EI240" s="2583"/>
      <c r="EJ240" s="2583"/>
      <c r="EK240" s="2583"/>
      <c r="EL240" s="2583"/>
      <c r="EM240" s="2583"/>
      <c r="EN240" s="2583"/>
      <c r="EO240" s="2583"/>
      <c r="EP240" s="2583"/>
      <c r="EQ240" s="2583"/>
      <c r="ER240" s="2583"/>
      <c r="ES240" s="2583"/>
      <c r="ET240" s="2583"/>
      <c r="EU240" s="2583"/>
      <c r="EV240" s="2583"/>
      <c r="EW240" s="2583"/>
      <c r="EX240" s="2583"/>
      <c r="EY240" s="2583"/>
      <c r="EZ240" s="2583"/>
      <c r="FA240" s="2583"/>
      <c r="FB240" s="2583"/>
      <c r="FC240" s="2583"/>
      <c r="FD240" s="2583"/>
      <c r="FE240" s="2583"/>
      <c r="FF240" s="2583"/>
      <c r="FG240" s="2583"/>
      <c r="FH240" s="2583"/>
      <c r="FI240" s="2583"/>
      <c r="FJ240" s="2583"/>
      <c r="FK240" s="2583"/>
      <c r="FL240" s="2583"/>
      <c r="FM240" s="2583"/>
      <c r="FN240" s="2583"/>
      <c r="FO240" s="2583"/>
      <c r="FP240" s="2583"/>
      <c r="FQ240" s="2583"/>
      <c r="FR240" s="2583"/>
      <c r="FS240" s="2583"/>
      <c r="FT240" s="2583"/>
      <c r="FU240" s="2583"/>
      <c r="FV240" s="2583"/>
      <c r="FW240" s="2583"/>
      <c r="FX240" s="2583"/>
      <c r="FY240" s="2583"/>
      <c r="FZ240" s="2583"/>
      <c r="GA240" s="2583"/>
      <c r="GB240" s="2583"/>
      <c r="GC240" s="2583"/>
      <c r="GD240" s="2583"/>
      <c r="GE240" s="2583"/>
      <c r="GF240" s="2583"/>
      <c r="GG240" s="2583"/>
      <c r="GH240" s="2583"/>
      <c r="GI240" s="2583"/>
      <c r="GJ240" s="2583"/>
      <c r="GK240" s="2583"/>
      <c r="GL240" s="2583"/>
      <c r="GM240" s="2583"/>
      <c r="GN240" s="2583"/>
      <c r="GO240" s="2583"/>
      <c r="GP240" s="2583"/>
      <c r="GQ240" s="2583"/>
      <c r="GR240" s="2583"/>
      <c r="GS240" s="2583"/>
      <c r="GT240" s="2583"/>
      <c r="GU240" s="2583"/>
      <c r="GV240" s="2583"/>
      <c r="GW240" s="2583"/>
      <c r="GX240" s="2583"/>
      <c r="GY240" s="2583"/>
      <c r="GZ240" s="2583"/>
      <c r="HA240" s="2583"/>
      <c r="HB240" s="2583"/>
      <c r="HC240" s="2583"/>
      <c r="HD240" s="2583"/>
      <c r="HE240" s="2583"/>
      <c r="HF240" s="2583"/>
      <c r="HG240" s="2583"/>
      <c r="HH240" s="2583"/>
      <c r="HI240" s="2583"/>
      <c r="HJ240" s="2583"/>
      <c r="HK240" s="2583"/>
      <c r="HL240" s="2583"/>
      <c r="HM240" s="2583"/>
      <c r="HN240" s="2583"/>
      <c r="HO240" s="2583"/>
      <c r="HP240" s="2583"/>
      <c r="HQ240" s="2583"/>
      <c r="HR240" s="2583"/>
      <c r="HS240" s="2583"/>
      <c r="HT240" s="2583"/>
      <c r="HU240" s="2583"/>
      <c r="HV240" s="2583"/>
      <c r="HW240" s="2583"/>
      <c r="HX240" s="2583"/>
      <c r="HY240" s="2583"/>
      <c r="HZ240" s="2583"/>
      <c r="IA240" s="2583"/>
      <c r="IB240" s="2583"/>
      <c r="IC240" s="2583"/>
      <c r="ID240" s="2583"/>
      <c r="IE240" s="2583"/>
      <c r="IF240" s="2583"/>
      <c r="IG240" s="2583"/>
      <c r="IH240" s="2583"/>
      <c r="II240" s="2583"/>
      <c r="IJ240" s="2583"/>
      <c r="IK240" s="2583"/>
      <c r="IL240" s="2583"/>
      <c r="IM240" s="2583"/>
      <c r="IN240" s="2583"/>
      <c r="IO240" s="2583"/>
      <c r="IP240" s="2583"/>
      <c r="IQ240" s="2583"/>
      <c r="IR240" s="2583"/>
      <c r="IS240" s="2583"/>
      <c r="IT240" s="2583"/>
      <c r="IU240" s="2583"/>
      <c r="IV240" s="2583"/>
    </row>
    <row r="241" spans="3:256">
      <c r="C241" s="2584"/>
      <c r="D241" s="2584"/>
      <c r="E241" s="2584"/>
      <c r="F241" s="2584"/>
      <c r="G241" s="2584"/>
      <c r="H241" s="2584"/>
      <c r="AC241" s="2583"/>
      <c r="AD241" s="2583"/>
      <c r="AE241" s="2583"/>
      <c r="AF241" s="2583"/>
      <c r="AG241" s="2583"/>
      <c r="AH241" s="2583"/>
      <c r="AI241" s="2583"/>
      <c r="AJ241" s="2583"/>
      <c r="AK241" s="2583"/>
      <c r="AL241" s="2583"/>
      <c r="AM241" s="2583"/>
      <c r="AN241" s="2583"/>
      <c r="AO241" s="2583"/>
      <c r="AP241" s="2583"/>
      <c r="AQ241" s="2583"/>
      <c r="AR241" s="2583"/>
      <c r="AS241" s="2583"/>
      <c r="AT241" s="2583"/>
      <c r="AU241" s="2583"/>
      <c r="AV241" s="2583"/>
      <c r="AW241" s="2583"/>
      <c r="AX241" s="2583"/>
      <c r="AY241" s="2583"/>
      <c r="AZ241" s="2583"/>
      <c r="BA241" s="2583"/>
      <c r="BB241" s="2583"/>
      <c r="BC241" s="2583"/>
      <c r="BD241" s="2583"/>
      <c r="BE241" s="2583"/>
      <c r="BF241" s="2583"/>
      <c r="BG241" s="2583"/>
      <c r="BH241" s="2583"/>
      <c r="BI241" s="2583"/>
      <c r="BJ241" s="2583"/>
      <c r="BK241" s="2583"/>
      <c r="BL241" s="2583"/>
      <c r="BM241" s="2583"/>
      <c r="BN241" s="2583"/>
      <c r="BO241" s="2583"/>
      <c r="BP241" s="2583"/>
      <c r="BQ241" s="2583"/>
      <c r="BR241" s="2583"/>
      <c r="BS241" s="2583"/>
      <c r="BT241" s="2583"/>
      <c r="BU241" s="2583"/>
      <c r="BV241" s="2583"/>
      <c r="BW241" s="2583"/>
      <c r="BX241" s="2583"/>
      <c r="BY241" s="2583"/>
      <c r="BZ241" s="2583"/>
      <c r="CA241" s="2583"/>
      <c r="CB241" s="2583"/>
      <c r="CC241" s="2583"/>
      <c r="CD241" s="2583"/>
      <c r="CE241" s="2583"/>
      <c r="CF241" s="2583"/>
      <c r="CG241" s="2583"/>
      <c r="CH241" s="2583"/>
      <c r="CI241" s="2583"/>
      <c r="CJ241" s="2583"/>
      <c r="CK241" s="2583"/>
      <c r="CL241" s="2583"/>
      <c r="CM241" s="2583"/>
      <c r="CN241" s="2583"/>
      <c r="CO241" s="2583"/>
      <c r="CP241" s="2583"/>
      <c r="CQ241" s="2583"/>
      <c r="CR241" s="2583"/>
      <c r="CS241" s="2583"/>
      <c r="CT241" s="2583"/>
      <c r="CU241" s="2583"/>
      <c r="CV241" s="2583"/>
      <c r="CW241" s="2583"/>
      <c r="CX241" s="2583"/>
      <c r="CY241" s="2583"/>
      <c r="CZ241" s="2583"/>
      <c r="DA241" s="2583"/>
      <c r="DB241" s="2583"/>
      <c r="DC241" s="2583"/>
      <c r="DD241" s="2583"/>
      <c r="DE241" s="2583"/>
      <c r="DF241" s="2583"/>
      <c r="DG241" s="2583"/>
      <c r="DH241" s="2583"/>
      <c r="DI241" s="2583"/>
      <c r="DJ241" s="2583"/>
      <c r="DK241" s="2583"/>
      <c r="DL241" s="2583"/>
      <c r="DM241" s="2583"/>
      <c r="DN241" s="2583"/>
      <c r="DO241" s="2583"/>
      <c r="DP241" s="2583"/>
      <c r="DQ241" s="2583"/>
      <c r="DR241" s="2583"/>
      <c r="DS241" s="2583"/>
      <c r="DT241" s="2583"/>
      <c r="DU241" s="2583"/>
      <c r="DV241" s="2583"/>
      <c r="DW241" s="2583"/>
      <c r="DX241" s="2583"/>
      <c r="DY241" s="2583"/>
      <c r="DZ241" s="2583"/>
      <c r="EA241" s="2583"/>
      <c r="EB241" s="2583"/>
      <c r="EC241" s="2583"/>
      <c r="ED241" s="2583"/>
      <c r="EE241" s="2583"/>
      <c r="EF241" s="2583"/>
      <c r="EG241" s="2583"/>
      <c r="EH241" s="2583"/>
      <c r="EI241" s="2583"/>
      <c r="EJ241" s="2583"/>
      <c r="EK241" s="2583"/>
      <c r="EL241" s="2583"/>
      <c r="EM241" s="2583"/>
      <c r="EN241" s="2583"/>
      <c r="EO241" s="2583"/>
      <c r="EP241" s="2583"/>
      <c r="EQ241" s="2583"/>
      <c r="ER241" s="2583"/>
      <c r="ES241" s="2583"/>
      <c r="ET241" s="2583"/>
      <c r="EU241" s="2583"/>
      <c r="EV241" s="2583"/>
      <c r="EW241" s="2583"/>
      <c r="EX241" s="2583"/>
      <c r="EY241" s="2583"/>
      <c r="EZ241" s="2583"/>
      <c r="FA241" s="2583"/>
      <c r="FB241" s="2583"/>
      <c r="FC241" s="2583"/>
      <c r="FD241" s="2583"/>
      <c r="FE241" s="2583"/>
      <c r="FF241" s="2583"/>
      <c r="FG241" s="2583"/>
      <c r="FH241" s="2583"/>
      <c r="FI241" s="2583"/>
      <c r="FJ241" s="2583"/>
      <c r="FK241" s="2583"/>
      <c r="FL241" s="2583"/>
      <c r="FM241" s="2583"/>
      <c r="FN241" s="2583"/>
      <c r="FO241" s="2583"/>
      <c r="FP241" s="2583"/>
      <c r="FQ241" s="2583"/>
      <c r="FR241" s="2583"/>
      <c r="FS241" s="2583"/>
      <c r="FT241" s="2583"/>
      <c r="FU241" s="2583"/>
      <c r="FV241" s="2583"/>
      <c r="FW241" s="2583"/>
      <c r="FX241" s="2583"/>
      <c r="FY241" s="2583"/>
      <c r="FZ241" s="2583"/>
      <c r="GA241" s="2583"/>
      <c r="GB241" s="2583"/>
      <c r="GC241" s="2583"/>
      <c r="GD241" s="2583"/>
      <c r="GE241" s="2583"/>
      <c r="GF241" s="2583"/>
      <c r="GG241" s="2583"/>
      <c r="GH241" s="2583"/>
      <c r="GI241" s="2583"/>
      <c r="GJ241" s="2583"/>
      <c r="GK241" s="2583"/>
      <c r="GL241" s="2583"/>
      <c r="GM241" s="2583"/>
      <c r="GN241" s="2583"/>
      <c r="GO241" s="2583"/>
      <c r="GP241" s="2583"/>
      <c r="GQ241" s="2583"/>
      <c r="GR241" s="2583"/>
      <c r="GS241" s="2583"/>
      <c r="GT241" s="2583"/>
      <c r="GU241" s="2583"/>
      <c r="GV241" s="2583"/>
      <c r="GW241" s="2583"/>
      <c r="GX241" s="2583"/>
      <c r="GY241" s="2583"/>
      <c r="GZ241" s="2583"/>
      <c r="HA241" s="2583"/>
      <c r="HB241" s="2583"/>
      <c r="HC241" s="2583"/>
      <c r="HD241" s="2583"/>
      <c r="HE241" s="2583"/>
      <c r="HF241" s="2583"/>
      <c r="HG241" s="2583"/>
      <c r="HH241" s="2583"/>
      <c r="HI241" s="2583"/>
      <c r="HJ241" s="2583"/>
      <c r="HK241" s="2583"/>
      <c r="HL241" s="2583"/>
      <c r="HM241" s="2583"/>
      <c r="HN241" s="2583"/>
      <c r="HO241" s="2583"/>
      <c r="HP241" s="2583"/>
      <c r="HQ241" s="2583"/>
      <c r="HR241" s="2583"/>
      <c r="HS241" s="2583"/>
      <c r="HT241" s="2583"/>
      <c r="HU241" s="2583"/>
      <c r="HV241" s="2583"/>
      <c r="HW241" s="2583"/>
      <c r="HX241" s="2583"/>
      <c r="HY241" s="2583"/>
      <c r="HZ241" s="2583"/>
      <c r="IA241" s="2583"/>
      <c r="IB241" s="2583"/>
      <c r="IC241" s="2583"/>
      <c r="ID241" s="2583"/>
      <c r="IE241" s="2583"/>
      <c r="IF241" s="2583"/>
      <c r="IG241" s="2583"/>
      <c r="IH241" s="2583"/>
      <c r="II241" s="2583"/>
      <c r="IJ241" s="2583"/>
      <c r="IK241" s="2583"/>
      <c r="IL241" s="2583"/>
      <c r="IM241" s="2583"/>
      <c r="IN241" s="2583"/>
      <c r="IO241" s="2583"/>
      <c r="IP241" s="2583"/>
      <c r="IQ241" s="2583"/>
      <c r="IR241" s="2583"/>
      <c r="IS241" s="2583"/>
      <c r="IT241" s="2583"/>
      <c r="IU241" s="2583"/>
      <c r="IV241" s="2583"/>
    </row>
    <row r="242" spans="3:256">
      <c r="C242" s="2584"/>
      <c r="D242" s="2584"/>
      <c r="E242" s="2584"/>
      <c r="F242" s="2584"/>
      <c r="G242" s="2584"/>
      <c r="H242" s="2584"/>
      <c r="AC242" s="2583"/>
      <c r="AD242" s="2583"/>
      <c r="AE242" s="2583"/>
      <c r="AF242" s="2583"/>
      <c r="AG242" s="2583"/>
      <c r="AH242" s="2583"/>
      <c r="AI242" s="2583"/>
      <c r="AJ242" s="2583"/>
      <c r="AK242" s="2583"/>
      <c r="AL242" s="2583"/>
      <c r="AM242" s="2583"/>
      <c r="AN242" s="2583"/>
      <c r="AO242" s="2583"/>
      <c r="AP242" s="2583"/>
      <c r="AQ242" s="2583"/>
      <c r="AR242" s="2583"/>
      <c r="AS242" s="2583"/>
      <c r="AT242" s="2583"/>
      <c r="AU242" s="2583"/>
      <c r="AV242" s="2583"/>
      <c r="AW242" s="2583"/>
      <c r="AX242" s="2583"/>
      <c r="AY242" s="2583"/>
      <c r="AZ242" s="2583"/>
      <c r="BA242" s="2583"/>
      <c r="BB242" s="2583"/>
      <c r="BC242" s="2583"/>
      <c r="BD242" s="2583"/>
      <c r="BE242" s="2583"/>
      <c r="BF242" s="2583"/>
      <c r="BG242" s="2583"/>
      <c r="BH242" s="2583"/>
      <c r="BI242" s="2583"/>
      <c r="BJ242" s="2583"/>
      <c r="BK242" s="2583"/>
      <c r="BL242" s="2583"/>
      <c r="BM242" s="2583"/>
      <c r="BN242" s="2583"/>
      <c r="BO242" s="2583"/>
      <c r="BP242" s="2583"/>
      <c r="BQ242" s="2583"/>
      <c r="BR242" s="2583"/>
      <c r="BS242" s="2583"/>
      <c r="BT242" s="2583"/>
      <c r="BU242" s="2583"/>
      <c r="BV242" s="2583"/>
      <c r="BW242" s="2583"/>
      <c r="BX242" s="2583"/>
      <c r="BY242" s="2583"/>
      <c r="BZ242" s="2583"/>
      <c r="CA242" s="2583"/>
      <c r="CB242" s="2583"/>
      <c r="CC242" s="2583"/>
      <c r="CD242" s="2583"/>
      <c r="CE242" s="2583"/>
      <c r="CF242" s="2583"/>
      <c r="CG242" s="2583"/>
      <c r="CH242" s="2583"/>
      <c r="CI242" s="2583"/>
      <c r="CJ242" s="2583"/>
      <c r="CK242" s="2583"/>
      <c r="CL242" s="2583"/>
      <c r="CM242" s="2583"/>
      <c r="CN242" s="2583"/>
      <c r="CO242" s="2583"/>
      <c r="CP242" s="2583"/>
      <c r="CQ242" s="2583"/>
      <c r="CR242" s="2583"/>
      <c r="CS242" s="2583"/>
      <c r="CT242" s="2583"/>
      <c r="CU242" s="2583"/>
      <c r="CV242" s="2583"/>
      <c r="CW242" s="2583"/>
      <c r="CX242" s="2583"/>
      <c r="CY242" s="2583"/>
      <c r="CZ242" s="2583"/>
      <c r="DA242" s="2583"/>
      <c r="DB242" s="2583"/>
      <c r="DC242" s="2583"/>
      <c r="DD242" s="2583"/>
      <c r="DE242" s="2583"/>
      <c r="DF242" s="2583"/>
      <c r="DG242" s="2583"/>
      <c r="DH242" s="2583"/>
      <c r="DI242" s="2583"/>
      <c r="DJ242" s="2583"/>
      <c r="DK242" s="2583"/>
      <c r="DL242" s="2583"/>
      <c r="DM242" s="2583"/>
      <c r="DN242" s="2583"/>
      <c r="DO242" s="2583"/>
      <c r="DP242" s="2583"/>
      <c r="DQ242" s="2583"/>
      <c r="DR242" s="2583"/>
      <c r="DS242" s="2583"/>
      <c r="DT242" s="2583"/>
      <c r="DU242" s="2583"/>
      <c r="DV242" s="2583"/>
      <c r="DW242" s="2583"/>
      <c r="DX242" s="2583"/>
      <c r="DY242" s="2583"/>
      <c r="DZ242" s="2583"/>
      <c r="EA242" s="2583"/>
      <c r="EB242" s="2583"/>
      <c r="EC242" s="2583"/>
      <c r="ED242" s="2583"/>
      <c r="EE242" s="2583"/>
      <c r="EF242" s="2583"/>
      <c r="EG242" s="2583"/>
      <c r="EH242" s="2583"/>
      <c r="EI242" s="2583"/>
      <c r="EJ242" s="2583"/>
      <c r="EK242" s="2583"/>
      <c r="EL242" s="2583"/>
      <c r="EM242" s="2583"/>
      <c r="EN242" s="2583"/>
      <c r="EO242" s="2583"/>
      <c r="EP242" s="2583"/>
      <c r="EQ242" s="2583"/>
      <c r="ER242" s="2583"/>
      <c r="ES242" s="2583"/>
      <c r="ET242" s="2583"/>
      <c r="EU242" s="2583"/>
      <c r="EV242" s="2583"/>
      <c r="EW242" s="2583"/>
      <c r="EX242" s="2583"/>
      <c r="EY242" s="2583"/>
      <c r="EZ242" s="2583"/>
      <c r="FA242" s="2583"/>
      <c r="FB242" s="2583"/>
      <c r="FC242" s="2583"/>
      <c r="FD242" s="2583"/>
      <c r="FE242" s="2583"/>
      <c r="FF242" s="2583"/>
      <c r="FG242" s="2583"/>
      <c r="FH242" s="2583"/>
      <c r="FI242" s="2583"/>
      <c r="FJ242" s="2583"/>
      <c r="FK242" s="2583"/>
      <c r="FL242" s="2583"/>
      <c r="FM242" s="2583"/>
      <c r="FN242" s="2583"/>
      <c r="FO242" s="2583"/>
      <c r="FP242" s="2583"/>
      <c r="FQ242" s="2583"/>
      <c r="FR242" s="2583"/>
      <c r="FS242" s="2583"/>
      <c r="FT242" s="2583"/>
      <c r="FU242" s="2583"/>
      <c r="FV242" s="2583"/>
      <c r="FW242" s="2583"/>
      <c r="FX242" s="2583"/>
      <c r="FY242" s="2583"/>
      <c r="FZ242" s="2583"/>
      <c r="GA242" s="2583"/>
      <c r="GB242" s="2583"/>
      <c r="GC242" s="2583"/>
      <c r="GD242" s="2583"/>
      <c r="GE242" s="2583"/>
      <c r="GF242" s="2583"/>
      <c r="GG242" s="2583"/>
      <c r="GH242" s="2583"/>
      <c r="GI242" s="2583"/>
      <c r="GJ242" s="2583"/>
      <c r="GK242" s="2583"/>
      <c r="GL242" s="2583"/>
      <c r="GM242" s="2583"/>
      <c r="GN242" s="2583"/>
      <c r="GO242" s="2583"/>
      <c r="GP242" s="2583"/>
      <c r="GQ242" s="2583"/>
      <c r="GR242" s="2583"/>
      <c r="GS242" s="2583"/>
      <c r="GT242" s="2583"/>
      <c r="GU242" s="2583"/>
      <c r="GV242" s="2583"/>
      <c r="GW242" s="2583"/>
      <c r="GX242" s="2583"/>
      <c r="GY242" s="2583"/>
      <c r="GZ242" s="2583"/>
      <c r="HA242" s="2583"/>
      <c r="HB242" s="2583"/>
      <c r="HC242" s="2583"/>
      <c r="HD242" s="2583"/>
      <c r="HE242" s="2583"/>
      <c r="HF242" s="2583"/>
      <c r="HG242" s="2583"/>
      <c r="HH242" s="2583"/>
      <c r="HI242" s="2583"/>
      <c r="HJ242" s="2583"/>
      <c r="HK242" s="2583"/>
      <c r="HL242" s="2583"/>
      <c r="HM242" s="2583"/>
      <c r="HN242" s="2583"/>
      <c r="HO242" s="2583"/>
      <c r="HP242" s="2583"/>
      <c r="HQ242" s="2583"/>
      <c r="HR242" s="2583"/>
      <c r="HS242" s="2583"/>
      <c r="HT242" s="2583"/>
      <c r="HU242" s="2583"/>
      <c r="HV242" s="2583"/>
      <c r="HW242" s="2583"/>
      <c r="HX242" s="2583"/>
      <c r="HY242" s="2583"/>
      <c r="HZ242" s="2583"/>
      <c r="IA242" s="2583"/>
      <c r="IB242" s="2583"/>
      <c r="IC242" s="2583"/>
      <c r="ID242" s="2583"/>
      <c r="IE242" s="2583"/>
      <c r="IF242" s="2583"/>
      <c r="IG242" s="2583"/>
      <c r="IH242" s="2583"/>
      <c r="II242" s="2583"/>
      <c r="IJ242" s="2583"/>
      <c r="IK242" s="2583"/>
      <c r="IL242" s="2583"/>
      <c r="IM242" s="2583"/>
      <c r="IN242" s="2583"/>
      <c r="IO242" s="2583"/>
      <c r="IP242" s="2583"/>
      <c r="IQ242" s="2583"/>
      <c r="IR242" s="2583"/>
      <c r="IS242" s="2583"/>
      <c r="IT242" s="2583"/>
      <c r="IU242" s="2583"/>
      <c r="IV242" s="2583"/>
    </row>
    <row r="243" spans="3:256">
      <c r="C243" s="2584"/>
      <c r="D243" s="2584"/>
      <c r="E243" s="2584"/>
      <c r="F243" s="2584"/>
      <c r="G243" s="2584"/>
      <c r="H243" s="2584"/>
      <c r="AC243" s="2583"/>
      <c r="AD243" s="2583"/>
      <c r="AE243" s="2583"/>
      <c r="AF243" s="2583"/>
      <c r="AG243" s="2583"/>
      <c r="AH243" s="2583"/>
      <c r="AI243" s="2583"/>
      <c r="AJ243" s="2583"/>
      <c r="AK243" s="2583"/>
      <c r="AL243" s="2583"/>
      <c r="AM243" s="2583"/>
      <c r="AN243" s="2583"/>
      <c r="AO243" s="2583"/>
      <c r="AP243" s="2583"/>
      <c r="AQ243" s="2583"/>
      <c r="AR243" s="2583"/>
      <c r="AS243" s="2583"/>
      <c r="AT243" s="2583"/>
      <c r="AU243" s="2583"/>
      <c r="AV243" s="2583"/>
      <c r="AW243" s="2583"/>
      <c r="AX243" s="2583"/>
      <c r="AY243" s="2583"/>
      <c r="AZ243" s="2583"/>
      <c r="BA243" s="2583"/>
      <c r="BB243" s="2583"/>
      <c r="BC243" s="2583"/>
      <c r="BD243" s="2583"/>
      <c r="BE243" s="2583"/>
      <c r="BF243" s="2583"/>
      <c r="BG243" s="2583"/>
      <c r="BH243" s="2583"/>
      <c r="BI243" s="2583"/>
      <c r="BJ243" s="2583"/>
      <c r="BK243" s="2583"/>
      <c r="BL243" s="2583"/>
      <c r="BM243" s="2583"/>
      <c r="BN243" s="2583"/>
      <c r="BO243" s="2583"/>
      <c r="BP243" s="2583"/>
      <c r="BQ243" s="2583"/>
      <c r="BR243" s="2583"/>
      <c r="BS243" s="2583"/>
      <c r="BT243" s="2583"/>
      <c r="BU243" s="2583"/>
      <c r="BV243" s="2583"/>
      <c r="BW243" s="2583"/>
      <c r="BX243" s="2583"/>
      <c r="BY243" s="2583"/>
      <c r="BZ243" s="2583"/>
      <c r="CA243" s="2583"/>
      <c r="CB243" s="2583"/>
      <c r="CC243" s="2583"/>
      <c r="CD243" s="2583"/>
      <c r="CE243" s="2583"/>
      <c r="CF243" s="2583"/>
      <c r="CG243" s="2583"/>
      <c r="CH243" s="2583"/>
      <c r="CI243" s="2583"/>
      <c r="CJ243" s="2583"/>
      <c r="CK243" s="2583"/>
      <c r="CL243" s="2583"/>
      <c r="CM243" s="2583"/>
      <c r="CN243" s="2583"/>
      <c r="CO243" s="2583"/>
      <c r="CP243" s="2583"/>
      <c r="CQ243" s="2583"/>
      <c r="CR243" s="2583"/>
      <c r="CS243" s="2583"/>
      <c r="CT243" s="2583"/>
      <c r="CU243" s="2583"/>
      <c r="CV243" s="2583"/>
      <c r="CW243" s="2583"/>
      <c r="CX243" s="2583"/>
      <c r="CY243" s="2583"/>
      <c r="CZ243" s="2583"/>
      <c r="DA243" s="2583"/>
      <c r="DB243" s="2583"/>
      <c r="DC243" s="2583"/>
      <c r="DD243" s="2583"/>
      <c r="DE243" s="2583"/>
      <c r="DF243" s="2583"/>
      <c r="DG243" s="2583"/>
      <c r="DH243" s="2583"/>
      <c r="DI243" s="2583"/>
      <c r="DJ243" s="2583"/>
      <c r="DK243" s="2583"/>
      <c r="DL243" s="2583"/>
      <c r="DM243" s="2583"/>
      <c r="DN243" s="2583"/>
      <c r="DO243" s="2583"/>
      <c r="DP243" s="2583"/>
      <c r="DQ243" s="2583"/>
      <c r="DR243" s="2583"/>
      <c r="DS243" s="2583"/>
      <c r="DT243" s="2583"/>
      <c r="DU243" s="2583"/>
      <c r="DV243" s="2583"/>
      <c r="DW243" s="2583"/>
      <c r="DX243" s="2583"/>
      <c r="DY243" s="2583"/>
      <c r="DZ243" s="2583"/>
      <c r="EA243" s="2583"/>
      <c r="EB243" s="2583"/>
      <c r="EC243" s="2583"/>
      <c r="ED243" s="2583"/>
      <c r="EE243" s="2583"/>
      <c r="EF243" s="2583"/>
      <c r="EG243" s="2583"/>
      <c r="EH243" s="2583"/>
      <c r="EI243" s="2583"/>
      <c r="EJ243" s="2583"/>
      <c r="EK243" s="2583"/>
      <c r="EL243" s="2583"/>
      <c r="EM243" s="2583"/>
      <c r="EN243" s="2583"/>
      <c r="EO243" s="2583"/>
      <c r="EP243" s="2583"/>
      <c r="EQ243" s="2583"/>
      <c r="ER243" s="2583"/>
      <c r="ES243" s="2583"/>
      <c r="ET243" s="2583"/>
      <c r="EU243" s="2583"/>
      <c r="EV243" s="2583"/>
      <c r="EW243" s="2583"/>
      <c r="EX243" s="2583"/>
      <c r="EY243" s="2583"/>
      <c r="EZ243" s="2583"/>
      <c r="FA243" s="2583"/>
      <c r="FB243" s="2583"/>
      <c r="FC243" s="2583"/>
      <c r="FD243" s="2583"/>
      <c r="FE243" s="2583"/>
      <c r="FF243" s="2583"/>
      <c r="FG243" s="2583"/>
      <c r="FH243" s="2583"/>
      <c r="FI243" s="2583"/>
      <c r="FJ243" s="2583"/>
      <c r="FK243" s="2583"/>
      <c r="FL243" s="2583"/>
      <c r="FM243" s="2583"/>
      <c r="FN243" s="2583"/>
      <c r="FO243" s="2583"/>
      <c r="FP243" s="2583"/>
      <c r="FQ243" s="2583"/>
      <c r="FR243" s="2583"/>
      <c r="FS243" s="2583"/>
      <c r="FT243" s="2583"/>
      <c r="FU243" s="2583"/>
      <c r="FV243" s="2583"/>
      <c r="FW243" s="2583"/>
      <c r="FX243" s="2583"/>
      <c r="FY243" s="2583"/>
      <c r="FZ243" s="2583"/>
      <c r="GA243" s="2583"/>
      <c r="GB243" s="2583"/>
      <c r="GC243" s="2583"/>
      <c r="GD243" s="2583"/>
      <c r="GE243" s="2583"/>
      <c r="GF243" s="2583"/>
      <c r="GG243" s="2583"/>
      <c r="GH243" s="2583"/>
      <c r="GI243" s="2583"/>
      <c r="GJ243" s="2583"/>
      <c r="GK243" s="2583"/>
      <c r="GL243" s="2583"/>
      <c r="GM243" s="2583"/>
      <c r="GN243" s="2583"/>
      <c r="GO243" s="2583"/>
      <c r="GP243" s="2583"/>
      <c r="GQ243" s="2583"/>
      <c r="GR243" s="2583"/>
      <c r="GS243" s="2583"/>
      <c r="GT243" s="2583"/>
      <c r="GU243" s="2583"/>
      <c r="GV243" s="2583"/>
      <c r="GW243" s="2583"/>
      <c r="GX243" s="2583"/>
      <c r="GY243" s="2583"/>
      <c r="GZ243" s="2583"/>
      <c r="HA243" s="2583"/>
      <c r="HB243" s="2583"/>
      <c r="HC243" s="2583"/>
      <c r="HD243" s="2583"/>
      <c r="HE243" s="2583"/>
      <c r="HF243" s="2583"/>
      <c r="HG243" s="2583"/>
      <c r="HH243" s="2583"/>
      <c r="HI243" s="2583"/>
      <c r="HJ243" s="2583"/>
      <c r="HK243" s="2583"/>
      <c r="HL243" s="2583"/>
      <c r="HM243" s="2583"/>
      <c r="HN243" s="2583"/>
      <c r="HO243" s="2583"/>
      <c r="HP243" s="2583"/>
      <c r="HQ243" s="2583"/>
      <c r="HR243" s="2583"/>
      <c r="HS243" s="2583"/>
      <c r="HT243" s="2583"/>
      <c r="HU243" s="2583"/>
      <c r="HV243" s="2583"/>
      <c r="HW243" s="2583"/>
      <c r="HX243" s="2583"/>
      <c r="HY243" s="2583"/>
      <c r="HZ243" s="2583"/>
      <c r="IA243" s="2583"/>
      <c r="IB243" s="2583"/>
      <c r="IC243" s="2583"/>
      <c r="ID243" s="2583"/>
      <c r="IE243" s="2583"/>
      <c r="IF243" s="2583"/>
      <c r="IG243" s="2583"/>
      <c r="IH243" s="2583"/>
      <c r="II243" s="2583"/>
      <c r="IJ243" s="2583"/>
      <c r="IK243" s="2583"/>
      <c r="IL243" s="2583"/>
      <c r="IM243" s="2583"/>
      <c r="IN243" s="2583"/>
      <c r="IO243" s="2583"/>
      <c r="IP243" s="2583"/>
      <c r="IQ243" s="2583"/>
      <c r="IR243" s="2583"/>
      <c r="IS243" s="2583"/>
      <c r="IT243" s="2583"/>
      <c r="IU243" s="2583"/>
      <c r="IV243" s="2583"/>
    </row>
    <row r="244" spans="3:256">
      <c r="C244" s="2584"/>
      <c r="D244" s="2584"/>
      <c r="E244" s="2584"/>
      <c r="F244" s="2584"/>
      <c r="G244" s="2584"/>
      <c r="H244" s="2584"/>
      <c r="AC244" s="2583"/>
      <c r="AD244" s="2583"/>
      <c r="AE244" s="2583"/>
      <c r="AF244" s="2583"/>
      <c r="AG244" s="2583"/>
      <c r="AH244" s="2583"/>
      <c r="AI244" s="2583"/>
      <c r="AJ244" s="2583"/>
      <c r="AK244" s="2583"/>
      <c r="AL244" s="2583"/>
      <c r="AM244" s="2583"/>
      <c r="AN244" s="2583"/>
      <c r="AO244" s="2583"/>
      <c r="AP244" s="2583"/>
      <c r="AQ244" s="2583"/>
      <c r="AR244" s="2583"/>
      <c r="AS244" s="2583"/>
      <c r="AT244" s="2583"/>
      <c r="AU244" s="2583"/>
      <c r="AV244" s="2583"/>
      <c r="AW244" s="2583"/>
      <c r="AX244" s="2583"/>
      <c r="AY244" s="2583"/>
      <c r="AZ244" s="2583"/>
      <c r="BA244" s="2583"/>
      <c r="BB244" s="2583"/>
      <c r="BC244" s="2583"/>
      <c r="BD244" s="2583"/>
      <c r="BE244" s="2583"/>
      <c r="BF244" s="2583"/>
      <c r="BG244" s="2583"/>
      <c r="BH244" s="2583"/>
      <c r="BI244" s="2583"/>
      <c r="BJ244" s="2583"/>
      <c r="BK244" s="2583"/>
      <c r="BL244" s="2583"/>
      <c r="BM244" s="2583"/>
      <c r="BN244" s="2583"/>
      <c r="BO244" s="2583"/>
      <c r="BP244" s="2583"/>
      <c r="BQ244" s="2583"/>
      <c r="BR244" s="2583"/>
      <c r="BS244" s="2583"/>
      <c r="BT244" s="2583"/>
      <c r="BU244" s="2583"/>
      <c r="BV244" s="2583"/>
      <c r="BW244" s="2583"/>
      <c r="BX244" s="2583"/>
      <c r="BY244" s="2583"/>
      <c r="BZ244" s="2583"/>
      <c r="CA244" s="2583"/>
      <c r="CB244" s="2583"/>
      <c r="CC244" s="2583"/>
      <c r="CD244" s="2583"/>
      <c r="CE244" s="2583"/>
      <c r="CF244" s="2583"/>
      <c r="CG244" s="2583"/>
      <c r="CH244" s="2583"/>
      <c r="CI244" s="2583"/>
      <c r="CJ244" s="2583"/>
      <c r="CK244" s="2583"/>
      <c r="CL244" s="2583"/>
      <c r="CM244" s="2583"/>
      <c r="CN244" s="2583"/>
      <c r="CO244" s="2583"/>
      <c r="CP244" s="2583"/>
      <c r="CQ244" s="2583"/>
      <c r="CR244" s="2583"/>
      <c r="CS244" s="2583"/>
      <c r="CT244" s="2583"/>
      <c r="CU244" s="2583"/>
      <c r="CV244" s="2583"/>
      <c r="CW244" s="2583"/>
      <c r="CX244" s="2583"/>
      <c r="CY244" s="2583"/>
      <c r="CZ244" s="2583"/>
      <c r="DA244" s="2583"/>
      <c r="DB244" s="2583"/>
      <c r="DC244" s="2583"/>
      <c r="DD244" s="2583"/>
      <c r="DE244" s="2583"/>
      <c r="DF244" s="2583"/>
      <c r="DG244" s="2583"/>
      <c r="DH244" s="2583"/>
      <c r="DI244" s="2583"/>
      <c r="DJ244" s="2583"/>
      <c r="DK244" s="2583"/>
      <c r="DL244" s="2583"/>
      <c r="DM244" s="2583"/>
      <c r="DN244" s="2583"/>
      <c r="DO244" s="2583"/>
      <c r="DP244" s="2583"/>
      <c r="DQ244" s="2583"/>
      <c r="DR244" s="2583"/>
      <c r="DS244" s="2583"/>
      <c r="DT244" s="2583"/>
      <c r="DU244" s="2583"/>
      <c r="DV244" s="2583"/>
      <c r="DW244" s="2583"/>
      <c r="DX244" s="2583"/>
      <c r="DY244" s="2583"/>
      <c r="DZ244" s="2583"/>
      <c r="EA244" s="2583"/>
      <c r="EB244" s="2583"/>
      <c r="EC244" s="2583"/>
      <c r="ED244" s="2583"/>
      <c r="EE244" s="2583"/>
      <c r="EF244" s="2583"/>
      <c r="EG244" s="2583"/>
      <c r="EH244" s="2583"/>
      <c r="EI244" s="2583"/>
      <c r="EJ244" s="2583"/>
      <c r="EK244" s="2583"/>
      <c r="EL244" s="2583"/>
      <c r="EM244" s="2583"/>
      <c r="EN244" s="2583"/>
      <c r="EO244" s="2583"/>
      <c r="EP244" s="2583"/>
      <c r="EQ244" s="2583"/>
      <c r="ER244" s="2583"/>
      <c r="ES244" s="2583"/>
      <c r="ET244" s="2583"/>
      <c r="EU244" s="2583"/>
      <c r="EV244" s="2583"/>
      <c r="EW244" s="2583"/>
      <c r="EX244" s="2583"/>
      <c r="EY244" s="2583"/>
      <c r="EZ244" s="2583"/>
      <c r="FA244" s="2583"/>
      <c r="FB244" s="2583"/>
      <c r="FC244" s="2583"/>
      <c r="FD244" s="2583"/>
      <c r="FE244" s="2583"/>
      <c r="FF244" s="2583"/>
      <c r="FG244" s="2583"/>
      <c r="FH244" s="2583"/>
      <c r="FI244" s="2583"/>
      <c r="FJ244" s="2583"/>
      <c r="FK244" s="2583"/>
      <c r="FL244" s="2583"/>
      <c r="FM244" s="2583"/>
      <c r="FN244" s="2583"/>
      <c r="FO244" s="2583"/>
      <c r="FP244" s="2583"/>
      <c r="FQ244" s="2583"/>
      <c r="FR244" s="2583"/>
      <c r="FS244" s="2583"/>
      <c r="FT244" s="2583"/>
      <c r="FU244" s="2583"/>
      <c r="FV244" s="2583"/>
      <c r="FW244" s="2583"/>
      <c r="FX244" s="2583"/>
      <c r="FY244" s="2583"/>
      <c r="FZ244" s="2583"/>
      <c r="GA244" s="2583"/>
      <c r="GB244" s="2583"/>
      <c r="GC244" s="2583"/>
      <c r="GD244" s="2583"/>
      <c r="GE244" s="2583"/>
      <c r="GF244" s="2583"/>
      <c r="GG244" s="2583"/>
      <c r="GH244" s="2583"/>
      <c r="GI244" s="2583"/>
      <c r="GJ244" s="2583"/>
      <c r="GK244" s="2583"/>
      <c r="GL244" s="2583"/>
      <c r="GM244" s="2583"/>
      <c r="GN244" s="2583"/>
      <c r="GO244" s="2583"/>
      <c r="GP244" s="2583"/>
      <c r="GQ244" s="2583"/>
      <c r="GR244" s="2583"/>
      <c r="GS244" s="2583"/>
      <c r="GT244" s="2583"/>
      <c r="GU244" s="2583"/>
      <c r="GV244" s="2583"/>
      <c r="GW244" s="2583"/>
      <c r="GX244" s="2583"/>
      <c r="GY244" s="2583"/>
      <c r="GZ244" s="2583"/>
      <c r="HA244" s="2583"/>
      <c r="HB244" s="2583"/>
      <c r="HC244" s="2583"/>
      <c r="HD244" s="2583"/>
      <c r="HE244" s="2583"/>
      <c r="HF244" s="2583"/>
      <c r="HG244" s="2583"/>
      <c r="HH244" s="2583"/>
      <c r="HI244" s="2583"/>
      <c r="HJ244" s="2583"/>
      <c r="HK244" s="2583"/>
      <c r="HL244" s="2583"/>
      <c r="HM244" s="2583"/>
      <c r="HN244" s="2583"/>
      <c r="HO244" s="2583"/>
      <c r="HP244" s="2583"/>
      <c r="HQ244" s="2583"/>
      <c r="HR244" s="2583"/>
      <c r="HS244" s="2583"/>
      <c r="HT244" s="2583"/>
      <c r="HU244" s="2583"/>
      <c r="HV244" s="2583"/>
      <c r="HW244" s="2583"/>
      <c r="HX244" s="2583"/>
      <c r="HY244" s="2583"/>
      <c r="HZ244" s="2583"/>
      <c r="IA244" s="2583"/>
      <c r="IB244" s="2583"/>
      <c r="IC244" s="2583"/>
      <c r="ID244" s="2583"/>
      <c r="IE244" s="2583"/>
      <c r="IF244" s="2583"/>
      <c r="IG244" s="2583"/>
      <c r="IH244" s="2583"/>
      <c r="II244" s="2583"/>
      <c r="IJ244" s="2583"/>
      <c r="IK244" s="2583"/>
      <c r="IL244" s="2583"/>
      <c r="IM244" s="2583"/>
      <c r="IN244" s="2583"/>
      <c r="IO244" s="2583"/>
      <c r="IP244" s="2583"/>
      <c r="IQ244" s="2583"/>
      <c r="IR244" s="2583"/>
      <c r="IS244" s="2583"/>
      <c r="IT244" s="2583"/>
      <c r="IU244" s="2583"/>
      <c r="IV244" s="2583"/>
    </row>
    <row r="245" spans="3:256">
      <c r="C245" s="2584"/>
      <c r="D245" s="2584"/>
      <c r="E245" s="2584"/>
      <c r="F245" s="2584"/>
      <c r="G245" s="2584"/>
      <c r="H245" s="2584"/>
      <c r="AC245" s="2583"/>
      <c r="AD245" s="2583"/>
      <c r="AE245" s="2583"/>
      <c r="AF245" s="2583"/>
      <c r="AG245" s="2583"/>
      <c r="AH245" s="2583"/>
      <c r="AI245" s="2583"/>
      <c r="AJ245" s="2583"/>
      <c r="AK245" s="2583"/>
      <c r="AL245" s="2583"/>
      <c r="AM245" s="2583"/>
      <c r="AN245" s="2583"/>
      <c r="AO245" s="2583"/>
      <c r="AP245" s="2583"/>
      <c r="AQ245" s="2583"/>
      <c r="AR245" s="2583"/>
      <c r="AS245" s="2583"/>
      <c r="AT245" s="2583"/>
      <c r="AU245" s="2583"/>
      <c r="AV245" s="2583"/>
      <c r="AW245" s="2583"/>
      <c r="AX245" s="2583"/>
      <c r="AY245" s="2583"/>
      <c r="AZ245" s="2583"/>
      <c r="BA245" s="2583"/>
      <c r="BB245" s="2583"/>
      <c r="BC245" s="2583"/>
      <c r="BD245" s="2583"/>
      <c r="BE245" s="2583"/>
      <c r="BF245" s="2583"/>
      <c r="BG245" s="2583"/>
      <c r="BH245" s="2583"/>
      <c r="BI245" s="2583"/>
      <c r="BJ245" s="2583"/>
      <c r="BK245" s="2583"/>
      <c r="BL245" s="2583"/>
      <c r="BM245" s="2583"/>
      <c r="BN245" s="2583"/>
      <c r="BO245" s="2583"/>
      <c r="BP245" s="2583"/>
      <c r="BQ245" s="2583"/>
      <c r="BR245" s="2583"/>
      <c r="BS245" s="2583"/>
      <c r="BT245" s="2583"/>
      <c r="BU245" s="2583"/>
      <c r="BV245" s="2583"/>
      <c r="BW245" s="2583"/>
      <c r="BX245" s="2583"/>
      <c r="BY245" s="2583"/>
      <c r="BZ245" s="2583"/>
      <c r="CA245" s="2583"/>
      <c r="CB245" s="2583"/>
      <c r="CC245" s="2583"/>
      <c r="CD245" s="2583"/>
      <c r="CE245" s="2583"/>
      <c r="CF245" s="2583"/>
      <c r="CG245" s="2583"/>
      <c r="CH245" s="2583"/>
      <c r="CI245" s="2583"/>
      <c r="CJ245" s="2583"/>
      <c r="CK245" s="2583"/>
      <c r="CL245" s="2583"/>
      <c r="CM245" s="2583"/>
      <c r="CN245" s="2583"/>
      <c r="CO245" s="2583"/>
      <c r="CP245" s="2583"/>
      <c r="CQ245" s="2583"/>
      <c r="CR245" s="2583"/>
      <c r="CS245" s="2583"/>
      <c r="CT245" s="2583"/>
      <c r="CU245" s="2583"/>
      <c r="CV245" s="2583"/>
      <c r="CW245" s="2583"/>
      <c r="CX245" s="2583"/>
      <c r="CY245" s="2583"/>
      <c r="CZ245" s="2583"/>
      <c r="DA245" s="2583"/>
      <c r="DB245" s="2583"/>
      <c r="DC245" s="2583"/>
      <c r="DD245" s="2583"/>
      <c r="DE245" s="2583"/>
      <c r="DF245" s="2583"/>
      <c r="DG245" s="2583"/>
      <c r="DH245" s="2583"/>
      <c r="DI245" s="2583"/>
      <c r="DJ245" s="2583"/>
      <c r="DK245" s="2583"/>
      <c r="DL245" s="2583"/>
      <c r="DM245" s="2583"/>
      <c r="DN245" s="2583"/>
      <c r="DO245" s="2583"/>
      <c r="DP245" s="2583"/>
      <c r="DQ245" s="2583"/>
      <c r="DR245" s="2583"/>
      <c r="DS245" s="2583"/>
      <c r="DT245" s="2583"/>
      <c r="DU245" s="2583"/>
      <c r="DV245" s="2583"/>
      <c r="DW245" s="2583"/>
      <c r="DX245" s="2583"/>
      <c r="DY245" s="2583"/>
      <c r="DZ245" s="2583"/>
      <c r="EA245" s="2583"/>
      <c r="EB245" s="2583"/>
      <c r="EC245" s="2583"/>
      <c r="ED245" s="2583"/>
      <c r="EE245" s="2583"/>
      <c r="EF245" s="2583"/>
      <c r="EG245" s="2583"/>
      <c r="EH245" s="2583"/>
      <c r="EI245" s="2583"/>
      <c r="EJ245" s="2583"/>
      <c r="EK245" s="2583"/>
      <c r="EL245" s="2583"/>
      <c r="EM245" s="2583"/>
      <c r="EN245" s="2583"/>
      <c r="EO245" s="2583"/>
      <c r="EP245" s="2583"/>
      <c r="EQ245" s="2583"/>
      <c r="ER245" s="2583"/>
      <c r="ES245" s="2583"/>
      <c r="ET245" s="2583"/>
      <c r="EU245" s="2583"/>
      <c r="EV245" s="2583"/>
      <c r="EW245" s="2583"/>
      <c r="EX245" s="2583"/>
      <c r="EY245" s="2583"/>
      <c r="EZ245" s="2583"/>
      <c r="FA245" s="2583"/>
      <c r="FB245" s="2583"/>
      <c r="FC245" s="2583"/>
      <c r="FD245" s="2583"/>
      <c r="FE245" s="2583"/>
      <c r="FF245" s="2583"/>
      <c r="FG245" s="2583"/>
      <c r="FH245" s="2583"/>
      <c r="FI245" s="2583"/>
      <c r="FJ245" s="2583"/>
      <c r="FK245" s="2583"/>
      <c r="FL245" s="2583"/>
      <c r="FM245" s="2583"/>
      <c r="FN245" s="2583"/>
      <c r="FO245" s="2583"/>
      <c r="FP245" s="2583"/>
      <c r="FQ245" s="2583"/>
      <c r="FR245" s="2583"/>
      <c r="FS245" s="2583"/>
      <c r="FT245" s="2583"/>
      <c r="FU245" s="2583"/>
      <c r="FV245" s="2583"/>
      <c r="FW245" s="2583"/>
      <c r="FX245" s="2583"/>
      <c r="FY245" s="2583"/>
      <c r="FZ245" s="2583"/>
      <c r="GA245" s="2583"/>
      <c r="GB245" s="2583"/>
      <c r="GC245" s="2583"/>
      <c r="GD245" s="2583"/>
      <c r="GE245" s="2583"/>
      <c r="GF245" s="2583"/>
      <c r="GG245" s="2583"/>
      <c r="GH245" s="2583"/>
      <c r="GI245" s="2583"/>
      <c r="GJ245" s="2583"/>
      <c r="GK245" s="2583"/>
      <c r="GL245" s="2583"/>
      <c r="GM245" s="2583"/>
      <c r="GN245" s="2583"/>
      <c r="GO245" s="2583"/>
      <c r="GP245" s="2583"/>
      <c r="GQ245" s="2583"/>
      <c r="GR245" s="2583"/>
      <c r="GS245" s="2583"/>
      <c r="GT245" s="2583"/>
      <c r="GU245" s="2583"/>
      <c r="GV245" s="2583"/>
      <c r="GW245" s="2583"/>
      <c r="GX245" s="2583"/>
      <c r="GY245" s="2583"/>
      <c r="GZ245" s="2583"/>
      <c r="HA245" s="2583"/>
      <c r="HB245" s="2583"/>
      <c r="HC245" s="2583"/>
      <c r="HD245" s="2583"/>
      <c r="HE245" s="2583"/>
      <c r="HF245" s="2583"/>
      <c r="HG245" s="2583"/>
      <c r="HH245" s="2583"/>
      <c r="HI245" s="2583"/>
      <c r="HJ245" s="2583"/>
      <c r="HK245" s="2583"/>
      <c r="HL245" s="2583"/>
      <c r="HM245" s="2583"/>
      <c r="HN245" s="2583"/>
      <c r="HO245" s="2583"/>
      <c r="HP245" s="2583"/>
      <c r="HQ245" s="2583"/>
      <c r="HR245" s="2583"/>
      <c r="HS245" s="2583"/>
      <c r="HT245" s="2583"/>
      <c r="HU245" s="2583"/>
      <c r="HV245" s="2583"/>
      <c r="HW245" s="2583"/>
      <c r="HX245" s="2583"/>
      <c r="HY245" s="2583"/>
      <c r="HZ245" s="2583"/>
      <c r="IA245" s="2583"/>
      <c r="IB245" s="2583"/>
      <c r="IC245" s="2583"/>
      <c r="ID245" s="2583"/>
      <c r="IE245" s="2583"/>
      <c r="IF245" s="2583"/>
      <c r="IG245" s="2583"/>
      <c r="IH245" s="2583"/>
      <c r="II245" s="2583"/>
      <c r="IJ245" s="2583"/>
      <c r="IK245" s="2583"/>
      <c r="IL245" s="2583"/>
      <c r="IM245" s="2583"/>
      <c r="IN245" s="2583"/>
      <c r="IO245" s="2583"/>
      <c r="IP245" s="2583"/>
      <c r="IQ245" s="2583"/>
      <c r="IR245" s="2583"/>
      <c r="IS245" s="2583"/>
      <c r="IT245" s="2583"/>
      <c r="IU245" s="2583"/>
      <c r="IV245" s="2583"/>
    </row>
    <row r="246" spans="3:256">
      <c r="C246" s="2584"/>
      <c r="D246" s="2584"/>
      <c r="E246" s="2584"/>
      <c r="F246" s="2584"/>
      <c r="G246" s="2584"/>
      <c r="H246" s="2584"/>
      <c r="AC246" s="2583"/>
      <c r="AD246" s="2583"/>
      <c r="AE246" s="2583"/>
      <c r="AF246" s="2583"/>
      <c r="AG246" s="2583"/>
      <c r="AH246" s="2583"/>
      <c r="AI246" s="2583"/>
      <c r="AJ246" s="2583"/>
      <c r="AK246" s="2583"/>
      <c r="AL246" s="2583"/>
      <c r="AM246" s="2583"/>
      <c r="AN246" s="2583"/>
      <c r="AO246" s="2583"/>
      <c r="AP246" s="2583"/>
      <c r="AQ246" s="2583"/>
      <c r="AR246" s="2583"/>
      <c r="AS246" s="2583"/>
      <c r="AT246" s="2583"/>
      <c r="AU246" s="2583"/>
      <c r="AV246" s="2583"/>
      <c r="AW246" s="2583"/>
      <c r="AX246" s="2583"/>
      <c r="AY246" s="2583"/>
      <c r="AZ246" s="2583"/>
      <c r="BA246" s="2583"/>
      <c r="BB246" s="2583"/>
      <c r="BC246" s="2583"/>
      <c r="BD246" s="2583"/>
      <c r="BE246" s="2583"/>
      <c r="BF246" s="2583"/>
      <c r="BG246" s="2583"/>
      <c r="BH246" s="2583"/>
      <c r="BI246" s="2583"/>
      <c r="BJ246" s="2583"/>
      <c r="BK246" s="2583"/>
      <c r="BL246" s="2583"/>
      <c r="BM246" s="2583"/>
      <c r="BN246" s="2583"/>
      <c r="BO246" s="2583"/>
      <c r="BP246" s="2583"/>
      <c r="BQ246" s="2583"/>
      <c r="BR246" s="2583"/>
      <c r="BS246" s="2583"/>
      <c r="BT246" s="2583"/>
      <c r="BU246" s="2583"/>
      <c r="BV246" s="2583"/>
      <c r="BW246" s="2583"/>
      <c r="BX246" s="2583"/>
      <c r="BY246" s="2583"/>
      <c r="BZ246" s="2583"/>
      <c r="CA246" s="2583"/>
      <c r="CB246" s="2583"/>
      <c r="CC246" s="2583"/>
      <c r="CD246" s="2583"/>
      <c r="CE246" s="2583"/>
      <c r="CF246" s="2583"/>
      <c r="CG246" s="2583"/>
      <c r="CH246" s="2583"/>
      <c r="CI246" s="2583"/>
      <c r="CJ246" s="2583"/>
      <c r="CK246" s="2583"/>
      <c r="CL246" s="2583"/>
      <c r="CM246" s="2583"/>
      <c r="CN246" s="2583"/>
      <c r="CO246" s="2583"/>
      <c r="CP246" s="2583"/>
      <c r="CQ246" s="2583"/>
      <c r="CR246" s="2583"/>
      <c r="CS246" s="2583"/>
      <c r="CT246" s="2583"/>
      <c r="CU246" s="2583"/>
      <c r="CV246" s="2583"/>
      <c r="CW246" s="2583"/>
      <c r="CX246" s="2583"/>
      <c r="CY246" s="2583"/>
      <c r="CZ246" s="2583"/>
      <c r="DA246" s="2583"/>
      <c r="DB246" s="2583"/>
      <c r="DC246" s="2583"/>
      <c r="DD246" s="2583"/>
      <c r="DE246" s="2583"/>
      <c r="DF246" s="2583"/>
      <c r="DG246" s="2583"/>
      <c r="DH246" s="2583"/>
      <c r="DI246" s="2583"/>
      <c r="DJ246" s="2583"/>
      <c r="DK246" s="2583"/>
      <c r="DL246" s="2583"/>
      <c r="DM246" s="2583"/>
      <c r="DN246" s="2583"/>
      <c r="DO246" s="2583"/>
      <c r="DP246" s="2583"/>
      <c r="DQ246" s="2583"/>
      <c r="DR246" s="2583"/>
      <c r="DS246" s="2583"/>
      <c r="DT246" s="2583"/>
      <c r="DU246" s="2583"/>
      <c r="DV246" s="2583"/>
      <c r="DW246" s="2583"/>
      <c r="DX246" s="2583"/>
      <c r="DY246" s="2583"/>
      <c r="DZ246" s="2583"/>
      <c r="EA246" s="2583"/>
      <c r="EB246" s="2583"/>
      <c r="EC246" s="2583"/>
      <c r="ED246" s="2583"/>
      <c r="EE246" s="2583"/>
      <c r="EF246" s="2583"/>
      <c r="EG246" s="2583"/>
      <c r="EH246" s="2583"/>
      <c r="EI246" s="2583"/>
      <c r="EJ246" s="2583"/>
      <c r="EK246" s="2583"/>
      <c r="EL246" s="2583"/>
      <c r="EM246" s="2583"/>
      <c r="EN246" s="2583"/>
      <c r="EO246" s="2583"/>
      <c r="EP246" s="2583"/>
      <c r="EQ246" s="2583"/>
      <c r="ER246" s="2583"/>
      <c r="ES246" s="2583"/>
      <c r="ET246" s="2583"/>
      <c r="EU246" s="2583"/>
      <c r="EV246" s="2583"/>
      <c r="EW246" s="2583"/>
      <c r="EX246" s="2583"/>
      <c r="EY246" s="2583"/>
      <c r="EZ246" s="2583"/>
      <c r="FA246" s="2583"/>
      <c r="FB246" s="2583"/>
      <c r="FC246" s="2583"/>
      <c r="FD246" s="2583"/>
      <c r="FE246" s="2583"/>
      <c r="FF246" s="2583"/>
      <c r="FG246" s="2583"/>
      <c r="FH246" s="2583"/>
      <c r="FI246" s="2583"/>
      <c r="FJ246" s="2583"/>
      <c r="FK246" s="2583"/>
      <c r="FL246" s="2583"/>
      <c r="FM246" s="2583"/>
      <c r="FN246" s="2583"/>
      <c r="FO246" s="2583"/>
      <c r="FP246" s="2583"/>
      <c r="FQ246" s="2583"/>
      <c r="FR246" s="2583"/>
      <c r="FS246" s="2583"/>
      <c r="FT246" s="2583"/>
      <c r="FU246" s="2583"/>
      <c r="FV246" s="2583"/>
      <c r="FW246" s="2583"/>
      <c r="FX246" s="2583"/>
      <c r="FY246" s="2583"/>
      <c r="FZ246" s="2583"/>
      <c r="GA246" s="2583"/>
      <c r="GB246" s="2583"/>
      <c r="GC246" s="2583"/>
      <c r="GD246" s="2583"/>
      <c r="GE246" s="2583"/>
      <c r="GF246" s="2583"/>
      <c r="GG246" s="2583"/>
      <c r="GH246" s="2583"/>
      <c r="GI246" s="2583"/>
      <c r="GJ246" s="2583"/>
      <c r="GK246" s="2583"/>
      <c r="GL246" s="2583"/>
      <c r="GM246" s="2583"/>
      <c r="GN246" s="2583"/>
      <c r="GO246" s="2583"/>
      <c r="GP246" s="2583"/>
      <c r="GQ246" s="2583"/>
      <c r="GR246" s="2583"/>
      <c r="GS246" s="2583"/>
      <c r="GT246" s="2583"/>
      <c r="GU246" s="2583"/>
      <c r="GV246" s="2583"/>
      <c r="GW246" s="2583"/>
      <c r="GX246" s="2583"/>
      <c r="GY246" s="2583"/>
      <c r="GZ246" s="2583"/>
      <c r="HA246" s="2583"/>
      <c r="HB246" s="2583"/>
      <c r="HC246" s="2583"/>
      <c r="HD246" s="2583"/>
      <c r="HE246" s="2583"/>
      <c r="HF246" s="2583"/>
      <c r="HG246" s="2583"/>
      <c r="HH246" s="2583"/>
      <c r="HI246" s="2583"/>
      <c r="HJ246" s="2583"/>
      <c r="HK246" s="2583"/>
      <c r="HL246" s="2583"/>
      <c r="HM246" s="2583"/>
      <c r="HN246" s="2583"/>
      <c r="HO246" s="2583"/>
      <c r="HP246" s="2583"/>
      <c r="HQ246" s="2583"/>
      <c r="HR246" s="2583"/>
      <c r="HS246" s="2583"/>
      <c r="HT246" s="2583"/>
      <c r="HU246" s="2583"/>
      <c r="HV246" s="2583"/>
      <c r="HW246" s="2583"/>
      <c r="HX246" s="2583"/>
      <c r="HY246" s="2583"/>
      <c r="HZ246" s="2583"/>
      <c r="IA246" s="2583"/>
      <c r="IB246" s="2583"/>
      <c r="IC246" s="2583"/>
      <c r="ID246" s="2583"/>
      <c r="IE246" s="2583"/>
      <c r="IF246" s="2583"/>
      <c r="IG246" s="2583"/>
      <c r="IH246" s="2583"/>
      <c r="II246" s="2583"/>
      <c r="IJ246" s="2583"/>
      <c r="IK246" s="2583"/>
      <c r="IL246" s="2583"/>
      <c r="IM246" s="2583"/>
      <c r="IN246" s="2583"/>
      <c r="IO246" s="2583"/>
      <c r="IP246" s="2583"/>
      <c r="IQ246" s="2583"/>
      <c r="IR246" s="2583"/>
      <c r="IS246" s="2583"/>
      <c r="IT246" s="2583"/>
      <c r="IU246" s="2583"/>
      <c r="IV246" s="2583"/>
    </row>
    <row r="247" spans="3:256">
      <c r="C247" s="2584"/>
      <c r="D247" s="2584"/>
      <c r="E247" s="2584"/>
      <c r="F247" s="2584"/>
      <c r="G247" s="2584"/>
      <c r="H247" s="2584"/>
      <c r="AC247" s="2583"/>
      <c r="AD247" s="2583"/>
      <c r="AE247" s="2583"/>
      <c r="AF247" s="2583"/>
      <c r="AG247" s="2583"/>
      <c r="AH247" s="2583"/>
      <c r="AI247" s="2583"/>
      <c r="AJ247" s="2583"/>
      <c r="AK247" s="2583"/>
      <c r="AL247" s="2583"/>
      <c r="AM247" s="2583"/>
      <c r="AN247" s="2583"/>
      <c r="AO247" s="2583"/>
      <c r="AP247" s="2583"/>
      <c r="AQ247" s="2583"/>
      <c r="AR247" s="2583"/>
      <c r="AS247" s="2583"/>
      <c r="AT247" s="2583"/>
      <c r="AU247" s="2583"/>
      <c r="AV247" s="2583"/>
      <c r="AW247" s="2583"/>
      <c r="AX247" s="2583"/>
      <c r="AY247" s="2583"/>
      <c r="AZ247" s="2583"/>
      <c r="BA247" s="2583"/>
      <c r="BB247" s="2583"/>
      <c r="BC247" s="2583"/>
      <c r="BD247" s="2583"/>
      <c r="BE247" s="2583"/>
      <c r="BF247" s="2583"/>
      <c r="BG247" s="2583"/>
      <c r="BH247" s="2583"/>
      <c r="BI247" s="2583"/>
      <c r="BJ247" s="2583"/>
      <c r="BK247" s="2583"/>
      <c r="BL247" s="2583"/>
      <c r="BM247" s="2583"/>
      <c r="BN247" s="2583"/>
      <c r="BO247" s="2583"/>
      <c r="BP247" s="2583"/>
      <c r="BQ247" s="2583"/>
      <c r="BR247" s="2583"/>
      <c r="BS247" s="2583"/>
      <c r="BT247" s="2583"/>
      <c r="BU247" s="2583"/>
      <c r="BV247" s="2583"/>
      <c r="BW247" s="2583"/>
      <c r="BX247" s="2583"/>
      <c r="BY247" s="2583"/>
      <c r="BZ247" s="2583"/>
      <c r="CA247" s="2583"/>
      <c r="CB247" s="2583"/>
      <c r="CC247" s="2583"/>
      <c r="CD247" s="2583"/>
      <c r="CE247" s="2583"/>
      <c r="CF247" s="2583"/>
      <c r="CG247" s="2583"/>
      <c r="CH247" s="2583"/>
      <c r="CI247" s="2583"/>
      <c r="CJ247" s="2583"/>
      <c r="CK247" s="2583"/>
      <c r="CL247" s="2583"/>
      <c r="CM247" s="2583"/>
      <c r="CN247" s="2583"/>
      <c r="CO247" s="2583"/>
      <c r="CP247" s="2583"/>
      <c r="CQ247" s="2583"/>
      <c r="CR247" s="2583"/>
      <c r="CS247" s="2583"/>
      <c r="CT247" s="2583"/>
      <c r="CU247" s="2583"/>
      <c r="CV247" s="2583"/>
      <c r="CW247" s="2583"/>
      <c r="CX247" s="2583"/>
      <c r="CY247" s="2583"/>
      <c r="CZ247" s="2583"/>
      <c r="DA247" s="2583"/>
      <c r="DB247" s="2583"/>
      <c r="DC247" s="2583"/>
      <c r="DD247" s="2583"/>
      <c r="DE247" s="2583"/>
      <c r="DF247" s="2583"/>
      <c r="DG247" s="2583"/>
      <c r="DH247" s="2583"/>
      <c r="DI247" s="2583"/>
      <c r="DJ247" s="2583"/>
      <c r="DK247" s="2583"/>
      <c r="DL247" s="2583"/>
      <c r="DM247" s="2583"/>
      <c r="DN247" s="2583"/>
      <c r="DO247" s="2583"/>
      <c r="DP247" s="2583"/>
      <c r="DQ247" s="2583"/>
      <c r="DR247" s="2583"/>
      <c r="DS247" s="2583"/>
      <c r="DT247" s="2583"/>
      <c r="DU247" s="2583"/>
      <c r="DV247" s="2583"/>
      <c r="DW247" s="2583"/>
      <c r="DX247" s="2583"/>
      <c r="DY247" s="2583"/>
      <c r="DZ247" s="2583"/>
      <c r="EA247" s="2583"/>
      <c r="EB247" s="2583"/>
      <c r="EC247" s="2583"/>
      <c r="ED247" s="2583"/>
      <c r="EE247" s="2583"/>
      <c r="EF247" s="2583"/>
      <c r="EG247" s="2583"/>
      <c r="EH247" s="2583"/>
      <c r="EI247" s="2583"/>
      <c r="EJ247" s="2583"/>
      <c r="EK247" s="2583"/>
      <c r="EL247" s="2583"/>
      <c r="EM247" s="2583"/>
      <c r="EN247" s="2583"/>
      <c r="EO247" s="2583"/>
      <c r="EP247" s="2583"/>
      <c r="EQ247" s="2583"/>
      <c r="ER247" s="2583"/>
      <c r="ES247" s="2583"/>
      <c r="ET247" s="2583"/>
      <c r="EU247" s="2583"/>
      <c r="EV247" s="2583"/>
      <c r="EW247" s="2583"/>
      <c r="EX247" s="2583"/>
      <c r="EY247" s="2583"/>
      <c r="EZ247" s="2583"/>
      <c r="FA247" s="2583"/>
      <c r="FB247" s="2583"/>
      <c r="FC247" s="2583"/>
      <c r="FD247" s="2583"/>
      <c r="FE247" s="2583"/>
      <c r="FF247" s="2583"/>
      <c r="FG247" s="2583"/>
      <c r="FH247" s="2583"/>
      <c r="FI247" s="2583"/>
      <c r="FJ247" s="2583"/>
      <c r="FK247" s="2583"/>
      <c r="FL247" s="2583"/>
      <c r="FM247" s="2583"/>
      <c r="FN247" s="2583"/>
      <c r="FO247" s="2583"/>
      <c r="FP247" s="2583"/>
      <c r="FQ247" s="2583"/>
      <c r="FR247" s="2583"/>
      <c r="FS247" s="2583"/>
      <c r="FT247" s="2583"/>
      <c r="FU247" s="2583"/>
      <c r="FV247" s="2583"/>
      <c r="FW247" s="2583"/>
      <c r="FX247" s="2583"/>
      <c r="FY247" s="2583"/>
      <c r="FZ247" s="2583"/>
      <c r="GA247" s="2583"/>
      <c r="GB247" s="2583"/>
      <c r="GC247" s="2583"/>
      <c r="GD247" s="2583"/>
      <c r="GE247" s="2583"/>
      <c r="GF247" s="2583"/>
      <c r="GG247" s="2583"/>
      <c r="GH247" s="2583"/>
      <c r="GI247" s="2583"/>
      <c r="GJ247" s="2583"/>
      <c r="GK247" s="2583"/>
      <c r="GL247" s="2583"/>
      <c r="GM247" s="2583"/>
      <c r="GN247" s="2583"/>
      <c r="GO247" s="2583"/>
      <c r="GP247" s="2583"/>
      <c r="GQ247" s="2583"/>
      <c r="GR247" s="2583"/>
      <c r="GS247" s="2583"/>
      <c r="GT247" s="2583"/>
      <c r="GU247" s="2583"/>
      <c r="GV247" s="2583"/>
      <c r="GW247" s="2583"/>
      <c r="GX247" s="2583"/>
      <c r="GY247" s="2583"/>
      <c r="GZ247" s="2583"/>
      <c r="HA247" s="2583"/>
      <c r="HB247" s="2583"/>
      <c r="HC247" s="2583"/>
      <c r="HD247" s="2583"/>
      <c r="HE247" s="2583"/>
      <c r="HF247" s="2583"/>
      <c r="HG247" s="2583"/>
      <c r="HH247" s="2583"/>
      <c r="HI247" s="2583"/>
      <c r="HJ247" s="2583"/>
      <c r="HK247" s="2583"/>
      <c r="HL247" s="2583"/>
      <c r="HM247" s="2583"/>
      <c r="HN247" s="2583"/>
      <c r="HO247" s="2583"/>
      <c r="HP247" s="2583"/>
      <c r="HQ247" s="2583"/>
      <c r="HR247" s="2583"/>
      <c r="HS247" s="2583"/>
      <c r="HT247" s="2583"/>
      <c r="HU247" s="2583"/>
      <c r="HV247" s="2583"/>
      <c r="HW247" s="2583"/>
      <c r="HX247" s="2583"/>
      <c r="HY247" s="2583"/>
      <c r="HZ247" s="2583"/>
      <c r="IA247" s="2583"/>
      <c r="IB247" s="2583"/>
      <c r="IC247" s="2583"/>
      <c r="ID247" s="2583"/>
      <c r="IE247" s="2583"/>
      <c r="IF247" s="2583"/>
      <c r="IG247" s="2583"/>
      <c r="IH247" s="2583"/>
      <c r="II247" s="2583"/>
      <c r="IJ247" s="2583"/>
      <c r="IK247" s="2583"/>
      <c r="IL247" s="2583"/>
      <c r="IM247" s="2583"/>
      <c r="IN247" s="2583"/>
      <c r="IO247" s="2583"/>
      <c r="IP247" s="2583"/>
      <c r="IQ247" s="2583"/>
      <c r="IR247" s="2583"/>
      <c r="IS247" s="2583"/>
      <c r="IT247" s="2583"/>
      <c r="IU247" s="2583"/>
      <c r="IV247" s="2583"/>
    </row>
    <row r="248" spans="3:256">
      <c r="C248" s="2584"/>
      <c r="D248" s="2584"/>
      <c r="E248" s="2584"/>
      <c r="F248" s="2584"/>
      <c r="G248" s="2584"/>
      <c r="H248" s="2584"/>
      <c r="AC248" s="2583"/>
      <c r="AD248" s="2583"/>
      <c r="AE248" s="2583"/>
      <c r="AF248" s="2583"/>
      <c r="AG248" s="2583"/>
      <c r="AH248" s="2583"/>
      <c r="AI248" s="2583"/>
      <c r="AJ248" s="2583"/>
      <c r="AK248" s="2583"/>
      <c r="AL248" s="2583"/>
      <c r="AM248" s="2583"/>
      <c r="AN248" s="2583"/>
      <c r="AO248" s="2583"/>
      <c r="AP248" s="2583"/>
      <c r="AQ248" s="2583"/>
      <c r="AR248" s="2583"/>
      <c r="AS248" s="2583"/>
      <c r="AT248" s="2583"/>
      <c r="AU248" s="2583"/>
      <c r="AV248" s="2583"/>
      <c r="AW248" s="2583"/>
      <c r="AX248" s="2583"/>
      <c r="AY248" s="2583"/>
      <c r="AZ248" s="2583"/>
      <c r="BA248" s="2583"/>
      <c r="BB248" s="2583"/>
      <c r="BC248" s="2583"/>
      <c r="BD248" s="2583"/>
      <c r="BE248" s="2583"/>
      <c r="BF248" s="2583"/>
      <c r="BG248" s="2583"/>
      <c r="BH248" s="2583"/>
      <c r="BI248" s="2583"/>
      <c r="BJ248" s="2583"/>
      <c r="BK248" s="2583"/>
      <c r="BL248" s="2583"/>
      <c r="BM248" s="2583"/>
      <c r="BN248" s="2583"/>
      <c r="BO248" s="2583"/>
      <c r="BP248" s="2583"/>
      <c r="BQ248" s="2583"/>
      <c r="BR248" s="2583"/>
      <c r="BS248" s="2583"/>
      <c r="BT248" s="2583"/>
      <c r="BU248" s="2583"/>
      <c r="BV248" s="2583"/>
      <c r="BW248" s="2583"/>
      <c r="BX248" s="2583"/>
      <c r="BY248" s="2583"/>
      <c r="BZ248" s="2583"/>
      <c r="CA248" s="2583"/>
      <c r="CB248" s="2583"/>
      <c r="CC248" s="2583"/>
      <c r="CD248" s="2583"/>
      <c r="CE248" s="2583"/>
      <c r="CF248" s="2583"/>
      <c r="CG248" s="2583"/>
      <c r="CH248" s="2583"/>
      <c r="CI248" s="2583"/>
      <c r="CJ248" s="2583"/>
      <c r="CK248" s="2583"/>
      <c r="CL248" s="2583"/>
      <c r="CM248" s="2583"/>
      <c r="CN248" s="2583"/>
      <c r="CO248" s="2583"/>
      <c r="CP248" s="2583"/>
      <c r="CQ248" s="2583"/>
      <c r="CR248" s="2583"/>
      <c r="CS248" s="2583"/>
      <c r="CT248" s="2583"/>
      <c r="CU248" s="2583"/>
      <c r="CV248" s="2583"/>
      <c r="CW248" s="2583"/>
      <c r="CX248" s="2583"/>
      <c r="CY248" s="2583"/>
      <c r="CZ248" s="2583"/>
      <c r="DA248" s="2583"/>
      <c r="DB248" s="2583"/>
      <c r="DC248" s="2583"/>
      <c r="DD248" s="2583"/>
      <c r="DE248" s="2583"/>
      <c r="DF248" s="2583"/>
      <c r="DG248" s="2583"/>
      <c r="DH248" s="2583"/>
      <c r="DI248" s="2583"/>
      <c r="DJ248" s="2583"/>
      <c r="DK248" s="2583"/>
      <c r="DL248" s="2583"/>
      <c r="DM248" s="2583"/>
      <c r="DN248" s="2583"/>
      <c r="DO248" s="2583"/>
      <c r="DP248" s="2583"/>
      <c r="DQ248" s="2583"/>
      <c r="DR248" s="2583"/>
      <c r="DS248" s="2583"/>
      <c r="DT248" s="2583"/>
      <c r="DU248" s="2583"/>
      <c r="DV248" s="2583"/>
      <c r="DW248" s="2583"/>
      <c r="DX248" s="2583"/>
      <c r="DY248" s="2583"/>
      <c r="DZ248" s="2583"/>
      <c r="EA248" s="2583"/>
      <c r="EB248" s="2583"/>
      <c r="EC248" s="2583"/>
      <c r="ED248" s="2583"/>
      <c r="EE248" s="2583"/>
      <c r="EF248" s="2583"/>
      <c r="EG248" s="2583"/>
      <c r="EH248" s="2583"/>
      <c r="EI248" s="2583"/>
      <c r="EJ248" s="2583"/>
      <c r="EK248" s="2583"/>
      <c r="EL248" s="2583"/>
      <c r="EM248" s="2583"/>
      <c r="EN248" s="2583"/>
      <c r="EO248" s="2583"/>
      <c r="EP248" s="2583"/>
      <c r="EQ248" s="2583"/>
      <c r="ER248" s="2583"/>
      <c r="ES248" s="2583"/>
      <c r="ET248" s="2583"/>
      <c r="EU248" s="2583"/>
      <c r="EV248" s="2583"/>
      <c r="EW248" s="2583"/>
      <c r="EX248" s="2583"/>
      <c r="EY248" s="2583"/>
      <c r="EZ248" s="2583"/>
      <c r="FA248" s="2583"/>
      <c r="FB248" s="2583"/>
      <c r="FC248" s="2583"/>
      <c r="FD248" s="2583"/>
      <c r="FE248" s="2583"/>
      <c r="FF248" s="2583"/>
      <c r="FG248" s="2583"/>
      <c r="FH248" s="2583"/>
      <c r="FI248" s="2583"/>
      <c r="FJ248" s="2583"/>
      <c r="FK248" s="2583"/>
      <c r="FL248" s="2583"/>
      <c r="FM248" s="2583"/>
      <c r="FN248" s="2583"/>
      <c r="FO248" s="2583"/>
      <c r="FP248" s="2583"/>
      <c r="FQ248" s="2583"/>
      <c r="FR248" s="2583"/>
      <c r="FS248" s="2583"/>
      <c r="FT248" s="2583"/>
      <c r="FU248" s="2583"/>
      <c r="FV248" s="2583"/>
      <c r="FW248" s="2583"/>
      <c r="FX248" s="2583"/>
      <c r="FY248" s="2583"/>
      <c r="FZ248" s="2583"/>
      <c r="GA248" s="2583"/>
      <c r="GB248" s="2583"/>
      <c r="GC248" s="2583"/>
      <c r="GD248" s="2583"/>
      <c r="GE248" s="2583"/>
      <c r="GF248" s="2583"/>
      <c r="GG248" s="2583"/>
      <c r="GH248" s="2583"/>
      <c r="GI248" s="2583"/>
      <c r="GJ248" s="2583"/>
      <c r="GK248" s="2583"/>
      <c r="GL248" s="2583"/>
      <c r="GM248" s="2583"/>
      <c r="GN248" s="2583"/>
      <c r="GO248" s="2583"/>
      <c r="GP248" s="2583"/>
      <c r="GQ248" s="2583"/>
      <c r="GR248" s="2583"/>
      <c r="GS248" s="2583"/>
      <c r="GT248" s="2583"/>
      <c r="GU248" s="2583"/>
      <c r="GV248" s="2583"/>
      <c r="GW248" s="2583"/>
      <c r="GX248" s="2583"/>
      <c r="GY248" s="2583"/>
      <c r="GZ248" s="2583"/>
      <c r="HA248" s="2583"/>
      <c r="HB248" s="2583"/>
      <c r="HC248" s="2583"/>
      <c r="HD248" s="2583"/>
      <c r="HE248" s="2583"/>
      <c r="HF248" s="2583"/>
      <c r="HG248" s="2583"/>
      <c r="HH248" s="2583"/>
      <c r="HI248" s="2583"/>
      <c r="HJ248" s="2583"/>
      <c r="HK248" s="2583"/>
      <c r="HL248" s="2583"/>
      <c r="HM248" s="2583"/>
      <c r="HN248" s="2583"/>
      <c r="HO248" s="2583"/>
      <c r="HP248" s="2583"/>
      <c r="HQ248" s="2583"/>
      <c r="HR248" s="2583"/>
      <c r="HS248" s="2583"/>
      <c r="HT248" s="2583"/>
      <c r="HU248" s="2583"/>
      <c r="HV248" s="2583"/>
      <c r="HW248" s="2583"/>
      <c r="HX248" s="2583"/>
      <c r="HY248" s="2583"/>
      <c r="HZ248" s="2583"/>
      <c r="IA248" s="2583"/>
      <c r="IB248" s="2583"/>
      <c r="IC248" s="2583"/>
      <c r="ID248" s="2583"/>
      <c r="IE248" s="2583"/>
      <c r="IF248" s="2583"/>
      <c r="IG248" s="2583"/>
      <c r="IH248" s="2583"/>
      <c r="II248" s="2583"/>
      <c r="IJ248" s="2583"/>
      <c r="IK248" s="2583"/>
      <c r="IL248" s="2583"/>
      <c r="IM248" s="2583"/>
      <c r="IN248" s="2583"/>
      <c r="IO248" s="2583"/>
      <c r="IP248" s="2583"/>
      <c r="IQ248" s="2583"/>
      <c r="IR248" s="2583"/>
      <c r="IS248" s="2583"/>
      <c r="IT248" s="2583"/>
      <c r="IU248" s="2583"/>
      <c r="IV248" s="2583"/>
    </row>
    <row r="249" spans="3:256">
      <c r="C249" s="2584"/>
      <c r="D249" s="2584"/>
      <c r="E249" s="2584"/>
      <c r="F249" s="2584"/>
      <c r="G249" s="2584"/>
      <c r="H249" s="2584"/>
      <c r="AC249" s="2583"/>
      <c r="AD249" s="2583"/>
      <c r="AE249" s="2583"/>
      <c r="AF249" s="2583"/>
      <c r="AG249" s="2583"/>
      <c r="AH249" s="2583"/>
      <c r="AI249" s="2583"/>
      <c r="AJ249" s="2583"/>
      <c r="AK249" s="2583"/>
      <c r="AL249" s="2583"/>
      <c r="AM249" s="2583"/>
      <c r="AN249" s="2583"/>
      <c r="AO249" s="2583"/>
      <c r="AP249" s="2583"/>
      <c r="AQ249" s="2583"/>
      <c r="AR249" s="2583"/>
      <c r="AS249" s="2583"/>
      <c r="AT249" s="2583"/>
      <c r="AU249" s="2583"/>
      <c r="AV249" s="2583"/>
      <c r="AW249" s="2583"/>
      <c r="AX249" s="2583"/>
      <c r="AY249" s="2583"/>
      <c r="AZ249" s="2583"/>
      <c r="BA249" s="2583"/>
      <c r="BB249" s="2583"/>
      <c r="BC249" s="2583"/>
      <c r="BD249" s="2583"/>
      <c r="BE249" s="2583"/>
      <c r="BF249" s="2583"/>
      <c r="BG249" s="2583"/>
      <c r="BH249" s="2583"/>
      <c r="BI249" s="2583"/>
      <c r="BJ249" s="2583"/>
      <c r="BK249" s="2583"/>
      <c r="BL249" s="2583"/>
      <c r="BM249" s="2583"/>
      <c r="BN249" s="2583"/>
      <c r="BO249" s="2583"/>
      <c r="BP249" s="2583"/>
      <c r="BQ249" s="2583"/>
      <c r="BR249" s="2583"/>
      <c r="BS249" s="2583"/>
      <c r="BT249" s="2583"/>
      <c r="BU249" s="2583"/>
      <c r="BV249" s="2583"/>
      <c r="BW249" s="2583"/>
      <c r="BX249" s="2583"/>
      <c r="BY249" s="2583"/>
      <c r="BZ249" s="2583"/>
      <c r="CA249" s="2583"/>
      <c r="CB249" s="2583"/>
      <c r="CC249" s="2583"/>
      <c r="CD249" s="2583"/>
      <c r="CE249" s="2583"/>
      <c r="CF249" s="2583"/>
      <c r="CG249" s="2583"/>
      <c r="CH249" s="2583"/>
      <c r="CI249" s="2583"/>
      <c r="CJ249" s="2583"/>
      <c r="CK249" s="2583"/>
      <c r="CL249" s="2583"/>
      <c r="CM249" s="2583"/>
      <c r="CN249" s="2583"/>
      <c r="CO249" s="2583"/>
      <c r="CP249" s="2583"/>
      <c r="CQ249" s="2583"/>
      <c r="CR249" s="2583"/>
      <c r="CS249" s="2583"/>
      <c r="CT249" s="2583"/>
      <c r="CU249" s="2583"/>
      <c r="CV249" s="2583"/>
      <c r="CW249" s="2583"/>
      <c r="CX249" s="2583"/>
      <c r="CY249" s="2583"/>
      <c r="CZ249" s="2583"/>
      <c r="DA249" s="2583"/>
      <c r="DB249" s="2583"/>
      <c r="DC249" s="2583"/>
      <c r="DD249" s="2583"/>
      <c r="DE249" s="2583"/>
      <c r="DF249" s="2583"/>
      <c r="DG249" s="2583"/>
      <c r="DH249" s="2583"/>
      <c r="DI249" s="2583"/>
      <c r="DJ249" s="2583"/>
      <c r="DK249" s="2583"/>
      <c r="DL249" s="2583"/>
      <c r="DM249" s="2583"/>
      <c r="DN249" s="2583"/>
      <c r="DO249" s="2583"/>
      <c r="DP249" s="2583"/>
      <c r="DQ249" s="2583"/>
      <c r="DR249" s="2583"/>
      <c r="DS249" s="2583"/>
      <c r="DT249" s="2583"/>
      <c r="DU249" s="2583"/>
      <c r="DV249" s="2583"/>
      <c r="DW249" s="2583"/>
      <c r="DX249" s="2583"/>
      <c r="DY249" s="2583"/>
      <c r="DZ249" s="2583"/>
      <c r="EA249" s="2583"/>
      <c r="EB249" s="2583"/>
      <c r="EC249" s="2583"/>
      <c r="ED249" s="2583"/>
      <c r="EE249" s="2583"/>
      <c r="EF249" s="2583"/>
      <c r="EG249" s="2583"/>
      <c r="EH249" s="2583"/>
      <c r="EI249" s="2583"/>
      <c r="EJ249" s="2583"/>
      <c r="EK249" s="2583"/>
      <c r="EL249" s="2583"/>
      <c r="EM249" s="2583"/>
      <c r="EN249" s="2583"/>
      <c r="EO249" s="2583"/>
      <c r="EP249" s="2583"/>
      <c r="EQ249" s="2583"/>
      <c r="ER249" s="2583"/>
      <c r="ES249" s="2583"/>
      <c r="ET249" s="2583"/>
      <c r="EU249" s="2583"/>
      <c r="EV249" s="2583"/>
      <c r="EW249" s="2583"/>
      <c r="EX249" s="2583"/>
      <c r="EY249" s="2583"/>
      <c r="EZ249" s="2583"/>
      <c r="FA249" s="2583"/>
      <c r="FB249" s="2583"/>
      <c r="FC249" s="2583"/>
      <c r="FD249" s="2583"/>
      <c r="FE249" s="2583"/>
      <c r="FF249" s="2583"/>
      <c r="FG249" s="2583"/>
      <c r="FH249" s="2583"/>
      <c r="FI249" s="2583"/>
      <c r="FJ249" s="2583"/>
      <c r="FK249" s="2583"/>
      <c r="FL249" s="2583"/>
      <c r="FM249" s="2583"/>
      <c r="FN249" s="2583"/>
      <c r="FO249" s="2583"/>
      <c r="FP249" s="2583"/>
      <c r="FQ249" s="2583"/>
      <c r="FR249" s="2583"/>
      <c r="FS249" s="2583"/>
      <c r="FT249" s="2583"/>
      <c r="FU249" s="2583"/>
      <c r="FV249" s="2583"/>
      <c r="FW249" s="2583"/>
      <c r="FX249" s="2583"/>
      <c r="FY249" s="2583"/>
      <c r="FZ249" s="2583"/>
      <c r="GA249" s="2583"/>
      <c r="GB249" s="2583"/>
      <c r="GC249" s="2583"/>
      <c r="GD249" s="2583"/>
      <c r="GE249" s="2583"/>
      <c r="GF249" s="2583"/>
      <c r="GG249" s="2583"/>
      <c r="GH249" s="2583"/>
      <c r="GI249" s="2583"/>
      <c r="GJ249" s="2583"/>
      <c r="GK249" s="2583"/>
      <c r="GL249" s="2583"/>
      <c r="GM249" s="2583"/>
      <c r="GN249" s="2583"/>
      <c r="GO249" s="2583"/>
      <c r="GP249" s="2583"/>
      <c r="GQ249" s="2583"/>
      <c r="GR249" s="2583"/>
      <c r="GS249" s="2583"/>
      <c r="GT249" s="2583"/>
      <c r="GU249" s="2583"/>
      <c r="GV249" s="2583"/>
      <c r="GW249" s="2583"/>
      <c r="GX249" s="2583"/>
      <c r="GY249" s="2583"/>
      <c r="GZ249" s="2583"/>
      <c r="HA249" s="2583"/>
      <c r="HB249" s="2583"/>
      <c r="HC249" s="2583"/>
      <c r="HD249" s="2583"/>
      <c r="HE249" s="2583"/>
      <c r="HF249" s="2583"/>
      <c r="HG249" s="2583"/>
      <c r="HH249" s="2583"/>
      <c r="HI249" s="2583"/>
      <c r="HJ249" s="2583"/>
      <c r="HK249" s="2583"/>
      <c r="HL249" s="2583"/>
      <c r="HM249" s="2583"/>
      <c r="HN249" s="2583"/>
      <c r="HO249" s="2583"/>
      <c r="HP249" s="2583"/>
      <c r="HQ249" s="2583"/>
      <c r="HR249" s="2583"/>
      <c r="HS249" s="2583"/>
      <c r="HT249" s="2583"/>
      <c r="HU249" s="2583"/>
      <c r="HV249" s="2583"/>
      <c r="HW249" s="2583"/>
      <c r="HX249" s="2583"/>
      <c r="HY249" s="2583"/>
      <c r="HZ249" s="2583"/>
      <c r="IA249" s="2583"/>
      <c r="IB249" s="2583"/>
      <c r="IC249" s="2583"/>
      <c r="ID249" s="2583"/>
      <c r="IE249" s="2583"/>
      <c r="IF249" s="2583"/>
      <c r="IG249" s="2583"/>
      <c r="IH249" s="2583"/>
      <c r="II249" s="2583"/>
      <c r="IJ249" s="2583"/>
      <c r="IK249" s="2583"/>
      <c r="IL249" s="2583"/>
      <c r="IM249" s="2583"/>
      <c r="IN249" s="2583"/>
      <c r="IO249" s="2583"/>
      <c r="IP249" s="2583"/>
      <c r="IQ249" s="2583"/>
      <c r="IR249" s="2583"/>
      <c r="IS249" s="2583"/>
      <c r="IT249" s="2583"/>
      <c r="IU249" s="2583"/>
      <c r="IV249" s="2583"/>
    </row>
    <row r="250" spans="3:256">
      <c r="C250" s="2584"/>
      <c r="D250" s="2584"/>
      <c r="E250" s="2584"/>
      <c r="F250" s="2584"/>
      <c r="G250" s="2584"/>
      <c r="H250" s="2584"/>
      <c r="AC250" s="2583"/>
      <c r="AD250" s="2583"/>
      <c r="AE250" s="2583"/>
      <c r="AF250" s="2583"/>
      <c r="AG250" s="2583"/>
      <c r="AH250" s="2583"/>
      <c r="AI250" s="2583"/>
      <c r="AJ250" s="2583"/>
      <c r="AK250" s="2583"/>
      <c r="AL250" s="2583"/>
      <c r="AM250" s="2583"/>
      <c r="AN250" s="2583"/>
      <c r="AO250" s="2583"/>
      <c r="AP250" s="2583"/>
      <c r="AQ250" s="2583"/>
      <c r="AR250" s="2583"/>
      <c r="AS250" s="2583"/>
      <c r="AT250" s="2583"/>
      <c r="AU250" s="2583"/>
      <c r="AV250" s="2583"/>
      <c r="AW250" s="2583"/>
      <c r="AX250" s="2583"/>
      <c r="AY250" s="2583"/>
      <c r="AZ250" s="2583"/>
      <c r="BA250" s="2583"/>
      <c r="BB250" s="2583"/>
      <c r="BC250" s="2583"/>
      <c r="BD250" s="2583"/>
      <c r="BE250" s="2583"/>
      <c r="BF250" s="2583"/>
      <c r="BG250" s="2583"/>
      <c r="BH250" s="2583"/>
      <c r="BI250" s="2583"/>
      <c r="BJ250" s="2583"/>
      <c r="BK250" s="2583"/>
      <c r="BL250" s="2583"/>
      <c r="BM250" s="2583"/>
      <c r="BN250" s="2583"/>
      <c r="BO250" s="2583"/>
      <c r="BP250" s="2583"/>
      <c r="BQ250" s="2583"/>
      <c r="BR250" s="2583"/>
      <c r="BS250" s="2583"/>
      <c r="BT250" s="2583"/>
      <c r="BU250" s="2583"/>
      <c r="BV250" s="2583"/>
      <c r="BW250" s="2583"/>
      <c r="BX250" s="2583"/>
      <c r="BY250" s="2583"/>
      <c r="BZ250" s="2583"/>
      <c r="CA250" s="2583"/>
      <c r="CB250" s="2583"/>
      <c r="CC250" s="2583"/>
      <c r="CD250" s="2583"/>
      <c r="CE250" s="2583"/>
      <c r="CF250" s="2583"/>
      <c r="CG250" s="2583"/>
      <c r="CH250" s="2583"/>
      <c r="CI250" s="2583"/>
      <c r="CJ250" s="2583"/>
      <c r="CK250" s="2583"/>
      <c r="CL250" s="2583"/>
      <c r="CM250" s="2583"/>
      <c r="CN250" s="2583"/>
      <c r="CO250" s="2583"/>
      <c r="CP250" s="2583"/>
      <c r="CQ250" s="2583"/>
      <c r="CR250" s="2583"/>
      <c r="CS250" s="2583"/>
      <c r="CT250" s="2583"/>
      <c r="CU250" s="2583"/>
      <c r="CV250" s="2583"/>
      <c r="CW250" s="2583"/>
      <c r="CX250" s="2583"/>
      <c r="CY250" s="2583"/>
      <c r="CZ250" s="2583"/>
      <c r="DA250" s="2583"/>
      <c r="DB250" s="2583"/>
      <c r="DC250" s="2583"/>
      <c r="DD250" s="2583"/>
      <c r="DE250" s="2583"/>
      <c r="DF250" s="2583"/>
      <c r="DG250" s="2583"/>
      <c r="DH250" s="2583"/>
      <c r="DI250" s="2583"/>
      <c r="DJ250" s="2583"/>
      <c r="DK250" s="2583"/>
      <c r="DL250" s="2583"/>
      <c r="DM250" s="2583"/>
      <c r="DN250" s="2583"/>
      <c r="DO250" s="2583"/>
      <c r="DP250" s="2583"/>
      <c r="DQ250" s="2583"/>
      <c r="DR250" s="2583"/>
      <c r="DS250" s="2583"/>
      <c r="DT250" s="2583"/>
      <c r="DU250" s="2583"/>
      <c r="DV250" s="2583"/>
      <c r="DW250" s="2583"/>
      <c r="DX250" s="2583"/>
      <c r="DY250" s="2583"/>
      <c r="DZ250" s="2583"/>
      <c r="EA250" s="2583"/>
      <c r="EB250" s="2583"/>
      <c r="EC250" s="2583"/>
      <c r="ED250" s="2583"/>
      <c r="EE250" s="2583"/>
      <c r="EF250" s="2583"/>
      <c r="EG250" s="2583"/>
      <c r="EH250" s="2583"/>
      <c r="EI250" s="2583"/>
      <c r="EJ250" s="2583"/>
      <c r="EK250" s="2583"/>
      <c r="EL250" s="2583"/>
      <c r="EM250" s="2583"/>
      <c r="EN250" s="2583"/>
      <c r="EO250" s="2583"/>
      <c r="EP250" s="2583"/>
      <c r="EQ250" s="2583"/>
      <c r="ER250" s="2583"/>
      <c r="ES250" s="2583"/>
      <c r="ET250" s="2583"/>
      <c r="EU250" s="2583"/>
      <c r="EV250" s="2583"/>
      <c r="EW250" s="2583"/>
      <c r="EX250" s="2583"/>
      <c r="EY250" s="2583"/>
      <c r="EZ250" s="2583"/>
      <c r="FA250" s="2583"/>
      <c r="FB250" s="2583"/>
      <c r="FC250" s="2583"/>
      <c r="FD250" s="2583"/>
      <c r="FE250" s="2583"/>
      <c r="FF250" s="2583"/>
      <c r="FG250" s="2583"/>
      <c r="FH250" s="2583"/>
      <c r="FI250" s="2583"/>
      <c r="FJ250" s="2583"/>
      <c r="FK250" s="2583"/>
      <c r="FL250" s="2583"/>
      <c r="FM250" s="2583"/>
      <c r="FN250" s="2583"/>
      <c r="FO250" s="2583"/>
      <c r="FP250" s="2583"/>
      <c r="FQ250" s="2583"/>
      <c r="FR250" s="2583"/>
      <c r="FS250" s="2583"/>
      <c r="FT250" s="2583"/>
      <c r="FU250" s="2583"/>
      <c r="FV250" s="2583"/>
      <c r="FW250" s="2583"/>
      <c r="FX250" s="2583"/>
      <c r="FY250" s="2583"/>
      <c r="FZ250" s="2583"/>
      <c r="GA250" s="2583"/>
      <c r="GB250" s="2583"/>
      <c r="GC250" s="2583"/>
      <c r="GD250" s="2583"/>
      <c r="GE250" s="2583"/>
      <c r="GF250" s="2583"/>
      <c r="GG250" s="2583"/>
      <c r="GH250" s="2583"/>
      <c r="GI250" s="2583"/>
      <c r="GJ250" s="2583"/>
      <c r="GK250" s="2583"/>
      <c r="GL250" s="2583"/>
      <c r="GM250" s="2583"/>
      <c r="GN250" s="2583"/>
      <c r="GO250" s="2583"/>
      <c r="GP250" s="2583"/>
      <c r="GQ250" s="2583"/>
      <c r="GR250" s="2583"/>
      <c r="GS250" s="2583"/>
      <c r="GT250" s="2583"/>
      <c r="GU250" s="2583"/>
      <c r="GV250" s="2583"/>
      <c r="GW250" s="2583"/>
      <c r="GX250" s="2583"/>
      <c r="GY250" s="2583"/>
      <c r="GZ250" s="2583"/>
      <c r="HA250" s="2583"/>
      <c r="HB250" s="2583"/>
      <c r="HC250" s="2583"/>
      <c r="HD250" s="2583"/>
      <c r="HE250" s="2583"/>
      <c r="HF250" s="2583"/>
      <c r="HG250" s="2583"/>
      <c r="HH250" s="2583"/>
      <c r="HI250" s="2583"/>
      <c r="HJ250" s="2583"/>
      <c r="HK250" s="2583"/>
      <c r="HL250" s="2583"/>
      <c r="HM250" s="2583"/>
      <c r="HN250" s="2583"/>
      <c r="HO250" s="2583"/>
      <c r="HP250" s="2583"/>
      <c r="HQ250" s="2583"/>
      <c r="HR250" s="2583"/>
      <c r="HS250" s="2583"/>
      <c r="HT250" s="2583"/>
      <c r="HU250" s="2583"/>
      <c r="HV250" s="2583"/>
      <c r="HW250" s="2583"/>
      <c r="HX250" s="2583"/>
      <c r="HY250" s="2583"/>
      <c r="HZ250" s="2583"/>
      <c r="IA250" s="2583"/>
      <c r="IB250" s="2583"/>
      <c r="IC250" s="2583"/>
      <c r="ID250" s="2583"/>
      <c r="IE250" s="2583"/>
      <c r="IF250" s="2583"/>
      <c r="IG250" s="2583"/>
      <c r="IH250" s="2583"/>
      <c r="II250" s="2583"/>
      <c r="IJ250" s="2583"/>
      <c r="IK250" s="2583"/>
      <c r="IL250" s="2583"/>
      <c r="IM250" s="2583"/>
      <c r="IN250" s="2583"/>
      <c r="IO250" s="2583"/>
      <c r="IP250" s="2583"/>
      <c r="IQ250" s="2583"/>
      <c r="IR250" s="2583"/>
      <c r="IS250" s="2583"/>
      <c r="IT250" s="2583"/>
      <c r="IU250" s="2583"/>
      <c r="IV250" s="2583"/>
    </row>
    <row r="251" spans="3:256">
      <c r="C251" s="2584"/>
      <c r="D251" s="2584"/>
      <c r="E251" s="2584"/>
      <c r="F251" s="2584"/>
      <c r="G251" s="2584"/>
      <c r="H251" s="2584"/>
      <c r="AC251" s="2583"/>
      <c r="AD251" s="2583"/>
      <c r="AE251" s="2583"/>
      <c r="AF251" s="2583"/>
      <c r="AG251" s="2583"/>
      <c r="AH251" s="2583"/>
      <c r="AI251" s="2583"/>
      <c r="AJ251" s="2583"/>
      <c r="AK251" s="2583"/>
      <c r="AL251" s="2583"/>
      <c r="AM251" s="2583"/>
      <c r="AN251" s="2583"/>
      <c r="AO251" s="2583"/>
      <c r="AP251" s="2583"/>
      <c r="AQ251" s="2583"/>
      <c r="AR251" s="2583"/>
      <c r="AS251" s="2583"/>
      <c r="AT251" s="2583"/>
      <c r="AU251" s="2583"/>
      <c r="AV251" s="2583"/>
      <c r="AW251" s="2583"/>
      <c r="AX251" s="2583"/>
      <c r="AY251" s="2583"/>
      <c r="AZ251" s="2583"/>
      <c r="BA251" s="2583"/>
      <c r="BB251" s="2583"/>
      <c r="BC251" s="2583"/>
      <c r="BD251" s="2583"/>
      <c r="BE251" s="2583"/>
      <c r="BF251" s="2583"/>
      <c r="BG251" s="2583"/>
      <c r="BH251" s="2583"/>
      <c r="BI251" s="2583"/>
      <c r="BJ251" s="2583"/>
      <c r="BK251" s="2583"/>
      <c r="BL251" s="2583"/>
      <c r="BM251" s="2583"/>
      <c r="BN251" s="2583"/>
      <c r="BO251" s="2583"/>
      <c r="BP251" s="2583"/>
      <c r="BQ251" s="2583"/>
      <c r="BR251" s="2583"/>
      <c r="BS251" s="2583"/>
      <c r="BT251" s="2583"/>
      <c r="BU251" s="2583"/>
      <c r="BV251" s="2583"/>
      <c r="BW251" s="2583"/>
      <c r="BX251" s="2583"/>
      <c r="BY251" s="2583"/>
      <c r="BZ251" s="2583"/>
      <c r="CA251" s="2583"/>
      <c r="CB251" s="2583"/>
      <c r="CC251" s="2583"/>
      <c r="CD251" s="2583"/>
      <c r="CE251" s="2583"/>
      <c r="CF251" s="2583"/>
      <c r="CG251" s="2583"/>
      <c r="CH251" s="2583"/>
      <c r="CI251" s="2583"/>
      <c r="CJ251" s="2583"/>
      <c r="CK251" s="2583"/>
      <c r="CL251" s="2583"/>
      <c r="CM251" s="2583"/>
      <c r="CN251" s="2583"/>
      <c r="CO251" s="2583"/>
      <c r="CP251" s="2583"/>
      <c r="CQ251" s="2583"/>
      <c r="CR251" s="2583"/>
      <c r="CS251" s="2583"/>
      <c r="CT251" s="2583"/>
      <c r="CU251" s="2583"/>
      <c r="CV251" s="2583"/>
      <c r="CW251" s="2583"/>
      <c r="CX251" s="2583"/>
      <c r="CY251" s="2583"/>
      <c r="CZ251" s="2583"/>
      <c r="DA251" s="2583"/>
      <c r="DB251" s="2583"/>
      <c r="DC251" s="2583"/>
      <c r="DD251" s="2583"/>
      <c r="DE251" s="2583"/>
      <c r="DF251" s="2583"/>
      <c r="DG251" s="2583"/>
      <c r="DH251" s="2583"/>
      <c r="DI251" s="2583"/>
      <c r="DJ251" s="2583"/>
      <c r="DK251" s="2583"/>
      <c r="DL251" s="2583"/>
      <c r="DM251" s="2583"/>
      <c r="DN251" s="2583"/>
      <c r="DO251" s="2583"/>
      <c r="DP251" s="2583"/>
      <c r="DQ251" s="2583"/>
      <c r="DR251" s="2583"/>
      <c r="DS251" s="2583"/>
      <c r="DT251" s="2583"/>
      <c r="DU251" s="2583"/>
      <c r="DV251" s="2583"/>
      <c r="DW251" s="2583"/>
      <c r="DX251" s="2583"/>
      <c r="DY251" s="2583"/>
      <c r="DZ251" s="2583"/>
      <c r="EA251" s="2583"/>
      <c r="EB251" s="2583"/>
      <c r="EC251" s="2583"/>
      <c r="ED251" s="2583"/>
      <c r="EE251" s="2583"/>
      <c r="EF251" s="2583"/>
      <c r="EG251" s="2583"/>
      <c r="EH251" s="2583"/>
      <c r="EI251" s="2583"/>
      <c r="EJ251" s="2583"/>
      <c r="EK251" s="2583"/>
      <c r="EL251" s="2583"/>
      <c r="EM251" s="2583"/>
      <c r="EN251" s="2583"/>
      <c r="EO251" s="2583"/>
      <c r="EP251" s="2583"/>
      <c r="EQ251" s="2583"/>
      <c r="ER251" s="2583"/>
      <c r="ES251" s="2583"/>
      <c r="ET251" s="2583"/>
      <c r="EU251" s="2583"/>
      <c r="EV251" s="2583"/>
      <c r="EW251" s="2583"/>
      <c r="EX251" s="2583"/>
      <c r="EY251" s="2583"/>
      <c r="EZ251" s="2583"/>
      <c r="FA251" s="2583"/>
      <c r="FB251" s="2583"/>
      <c r="FC251" s="2583"/>
      <c r="FD251" s="2583"/>
      <c r="FE251" s="2583"/>
      <c r="FF251" s="2583"/>
      <c r="FG251" s="2583"/>
      <c r="FH251" s="2583"/>
      <c r="FI251" s="2583"/>
      <c r="FJ251" s="2583"/>
      <c r="FK251" s="2583"/>
      <c r="FL251" s="2583"/>
      <c r="FM251" s="2583"/>
      <c r="FN251" s="2583"/>
      <c r="FO251" s="2583"/>
      <c r="FP251" s="2583"/>
      <c r="FQ251" s="2583"/>
      <c r="FR251" s="2583"/>
      <c r="FS251" s="2583"/>
      <c r="FT251" s="2583"/>
      <c r="FU251" s="2583"/>
      <c r="FV251" s="2583"/>
      <c r="FW251" s="2583"/>
      <c r="FX251" s="2583"/>
      <c r="FY251" s="2583"/>
      <c r="FZ251" s="2583"/>
      <c r="GA251" s="2583"/>
      <c r="GB251" s="2583"/>
      <c r="GC251" s="2583"/>
      <c r="GD251" s="2583"/>
      <c r="GE251" s="2583"/>
      <c r="GF251" s="2583"/>
      <c r="GG251" s="2583"/>
      <c r="GH251" s="2583"/>
      <c r="GI251" s="2583"/>
      <c r="GJ251" s="2583"/>
      <c r="GK251" s="2583"/>
      <c r="GL251" s="2583"/>
      <c r="GM251" s="2583"/>
      <c r="GN251" s="2583"/>
      <c r="GO251" s="2583"/>
      <c r="GP251" s="2583"/>
      <c r="GQ251" s="2583"/>
      <c r="GR251" s="2583"/>
      <c r="GS251" s="2583"/>
      <c r="GT251" s="2583"/>
      <c r="GU251" s="2583"/>
      <c r="GV251" s="2583"/>
      <c r="GW251" s="2583"/>
      <c r="GX251" s="2583"/>
      <c r="GY251" s="2583"/>
      <c r="GZ251" s="2583"/>
      <c r="HA251" s="2583"/>
      <c r="HB251" s="2583"/>
      <c r="HC251" s="2583"/>
      <c r="HD251" s="2583"/>
      <c r="HE251" s="2583"/>
      <c r="HF251" s="2583"/>
      <c r="HG251" s="2583"/>
      <c r="HH251" s="2583"/>
      <c r="HI251" s="2583"/>
      <c r="HJ251" s="2583"/>
      <c r="HK251" s="2583"/>
      <c r="HL251" s="2583"/>
      <c r="HM251" s="2583"/>
      <c r="HN251" s="2583"/>
      <c r="HO251" s="2583"/>
      <c r="HP251" s="2583"/>
      <c r="HQ251" s="2583"/>
      <c r="HR251" s="2583"/>
      <c r="HS251" s="2583"/>
      <c r="HT251" s="2583"/>
      <c r="HU251" s="2583"/>
      <c r="HV251" s="2583"/>
      <c r="HW251" s="2583"/>
      <c r="HX251" s="2583"/>
      <c r="HY251" s="2583"/>
      <c r="HZ251" s="2583"/>
      <c r="IA251" s="2583"/>
      <c r="IB251" s="2583"/>
      <c r="IC251" s="2583"/>
      <c r="ID251" s="2583"/>
      <c r="IE251" s="2583"/>
      <c r="IF251" s="2583"/>
      <c r="IG251" s="2583"/>
      <c r="IH251" s="2583"/>
      <c r="II251" s="2583"/>
      <c r="IJ251" s="2583"/>
      <c r="IK251" s="2583"/>
      <c r="IL251" s="2583"/>
      <c r="IM251" s="2583"/>
      <c r="IN251" s="2583"/>
      <c r="IO251" s="2583"/>
      <c r="IP251" s="2583"/>
      <c r="IQ251" s="2583"/>
      <c r="IR251" s="2583"/>
      <c r="IS251" s="2583"/>
      <c r="IT251" s="2583"/>
      <c r="IU251" s="2583"/>
      <c r="IV251" s="2583"/>
    </row>
    <row r="252" spans="3:256">
      <c r="C252" s="2584"/>
      <c r="D252" s="2584"/>
      <c r="E252" s="2584"/>
      <c r="F252" s="2584"/>
      <c r="G252" s="2584"/>
      <c r="H252" s="2584"/>
      <c r="AC252" s="2583"/>
      <c r="AD252" s="2583"/>
      <c r="AE252" s="2583"/>
      <c r="AF252" s="2583"/>
      <c r="AG252" s="2583"/>
      <c r="AH252" s="2583"/>
      <c r="AI252" s="2583"/>
      <c r="AJ252" s="2583"/>
      <c r="AK252" s="2583"/>
      <c r="AL252" s="2583"/>
      <c r="AM252" s="2583"/>
      <c r="AN252" s="2583"/>
      <c r="AO252" s="2583"/>
      <c r="AP252" s="2583"/>
      <c r="AQ252" s="2583"/>
      <c r="AR252" s="2583"/>
      <c r="AS252" s="2583"/>
      <c r="AT252" s="2583"/>
      <c r="AU252" s="2583"/>
      <c r="AV252" s="2583"/>
      <c r="AW252" s="2583"/>
      <c r="AX252" s="2583"/>
      <c r="AY252" s="2583"/>
      <c r="AZ252" s="2583"/>
      <c r="BA252" s="2583"/>
      <c r="BB252" s="2583"/>
      <c r="BC252" s="2583"/>
      <c r="BD252" s="2583"/>
      <c r="BE252" s="2583"/>
      <c r="BF252" s="2583"/>
      <c r="BG252" s="2583"/>
      <c r="BH252" s="2583"/>
      <c r="BI252" s="2583"/>
      <c r="BJ252" s="2583"/>
      <c r="BK252" s="2583"/>
      <c r="BL252" s="2583"/>
      <c r="BM252" s="2583"/>
      <c r="BN252" s="2583"/>
      <c r="BO252" s="2583"/>
      <c r="BP252" s="2583"/>
      <c r="BQ252" s="2583"/>
      <c r="BR252" s="2583"/>
      <c r="BS252" s="2583"/>
      <c r="BT252" s="2583"/>
      <c r="BU252" s="2583"/>
      <c r="BV252" s="2583"/>
      <c r="BW252" s="2583"/>
      <c r="BX252" s="2583"/>
      <c r="BY252" s="2583"/>
      <c r="BZ252" s="2583"/>
      <c r="CA252" s="2583"/>
      <c r="CB252" s="2583"/>
      <c r="CC252" s="2583"/>
      <c r="CD252" s="2583"/>
      <c r="CE252" s="2583"/>
      <c r="CF252" s="2583"/>
      <c r="CG252" s="2583"/>
      <c r="CH252" s="2583"/>
      <c r="CI252" s="2583"/>
      <c r="CJ252" s="2583"/>
      <c r="CK252" s="2583"/>
      <c r="CL252" s="2583"/>
      <c r="CM252" s="2583"/>
      <c r="CN252" s="2583"/>
      <c r="CO252" s="2583"/>
      <c r="CP252" s="2583"/>
      <c r="CQ252" s="2583"/>
      <c r="CR252" s="2583"/>
      <c r="CS252" s="2583"/>
      <c r="CT252" s="2583"/>
      <c r="CU252" s="2583"/>
      <c r="CV252" s="2583"/>
      <c r="CW252" s="2583"/>
      <c r="CX252" s="2583"/>
      <c r="CY252" s="2583"/>
      <c r="CZ252" s="2583"/>
      <c r="DA252" s="2583"/>
      <c r="DB252" s="2583"/>
      <c r="DC252" s="2583"/>
      <c r="DD252" s="2583"/>
      <c r="DE252" s="2583"/>
      <c r="DF252" s="2583"/>
      <c r="DG252" s="2583"/>
      <c r="DH252" s="2583"/>
      <c r="DI252" s="2583"/>
      <c r="DJ252" s="2583"/>
      <c r="DK252" s="2583"/>
      <c r="DL252" s="2583"/>
      <c r="DM252" s="2583"/>
      <c r="DN252" s="2583"/>
      <c r="DO252" s="2583"/>
      <c r="DP252" s="2583"/>
      <c r="DQ252" s="2583"/>
      <c r="DR252" s="2583"/>
      <c r="DS252" s="2583"/>
      <c r="DT252" s="2583"/>
      <c r="DU252" s="2583"/>
      <c r="DV252" s="2583"/>
      <c r="DW252" s="2583"/>
      <c r="DX252" s="2583"/>
      <c r="DY252" s="2583"/>
      <c r="DZ252" s="2583"/>
      <c r="EA252" s="2583"/>
      <c r="EB252" s="2583"/>
      <c r="EC252" s="2583"/>
      <c r="ED252" s="2583"/>
      <c r="EE252" s="2583"/>
      <c r="EF252" s="2583"/>
      <c r="EG252" s="2583"/>
      <c r="EH252" s="2583"/>
      <c r="EI252" s="2583"/>
      <c r="EJ252" s="2583"/>
      <c r="EK252" s="2583"/>
      <c r="EL252" s="2583"/>
      <c r="EM252" s="2583"/>
      <c r="EN252" s="2583"/>
      <c r="EO252" s="2583"/>
      <c r="EP252" s="2583"/>
      <c r="EQ252" s="2583"/>
      <c r="ER252" s="2583"/>
      <c r="ES252" s="2583"/>
      <c r="ET252" s="2583"/>
      <c r="EU252" s="2583"/>
      <c r="EV252" s="2583"/>
      <c r="EW252" s="2583"/>
      <c r="EX252" s="2583"/>
      <c r="EY252" s="2583"/>
      <c r="EZ252" s="2583"/>
      <c r="FA252" s="2583"/>
      <c r="FB252" s="2583"/>
      <c r="FC252" s="2583"/>
      <c r="FD252" s="2583"/>
      <c r="FE252" s="2583"/>
      <c r="FF252" s="2583"/>
      <c r="FG252" s="2583"/>
      <c r="FH252" s="2583"/>
      <c r="FI252" s="2583"/>
      <c r="FJ252" s="2583"/>
      <c r="FK252" s="2583"/>
      <c r="FL252" s="2583"/>
      <c r="FM252" s="2583"/>
      <c r="FN252" s="2583"/>
      <c r="FO252" s="2583"/>
      <c r="FP252" s="2583"/>
      <c r="FQ252" s="2583"/>
      <c r="FR252" s="2583"/>
      <c r="FS252" s="2583"/>
      <c r="FT252" s="2583"/>
      <c r="FU252" s="2583"/>
      <c r="FV252" s="2583"/>
      <c r="FW252" s="2583"/>
      <c r="FX252" s="2583"/>
      <c r="FY252" s="2583"/>
      <c r="FZ252" s="2583"/>
      <c r="GA252" s="2583"/>
      <c r="GB252" s="2583"/>
      <c r="GC252" s="2583"/>
      <c r="GD252" s="2583"/>
      <c r="GE252" s="2583"/>
      <c r="GF252" s="2583"/>
      <c r="GG252" s="2583"/>
      <c r="GH252" s="2583"/>
      <c r="GI252" s="2583"/>
      <c r="GJ252" s="2583"/>
      <c r="GK252" s="2583"/>
      <c r="GL252" s="2583"/>
      <c r="GM252" s="2583"/>
      <c r="GN252" s="2583"/>
      <c r="GO252" s="2583"/>
      <c r="GP252" s="2583"/>
      <c r="GQ252" s="2583"/>
      <c r="GR252" s="2583"/>
      <c r="GS252" s="2583"/>
      <c r="GT252" s="2583"/>
      <c r="GU252" s="2583"/>
      <c r="GV252" s="2583"/>
      <c r="GW252" s="2583"/>
      <c r="GX252" s="2583"/>
      <c r="GY252" s="2583"/>
      <c r="GZ252" s="2583"/>
      <c r="HA252" s="2583"/>
      <c r="HB252" s="2583"/>
      <c r="HC252" s="2583"/>
      <c r="HD252" s="2583"/>
      <c r="HE252" s="2583"/>
      <c r="HF252" s="2583"/>
      <c r="HG252" s="2583"/>
      <c r="HH252" s="2583"/>
      <c r="HI252" s="2583"/>
      <c r="HJ252" s="2583"/>
      <c r="HK252" s="2583"/>
      <c r="HL252" s="2583"/>
      <c r="HM252" s="2583"/>
      <c r="HN252" s="2583"/>
      <c r="HO252" s="2583"/>
      <c r="HP252" s="2583"/>
      <c r="HQ252" s="2583"/>
      <c r="HR252" s="2583"/>
      <c r="HS252" s="2583"/>
      <c r="HT252" s="2583"/>
      <c r="HU252" s="2583"/>
      <c r="HV252" s="2583"/>
      <c r="HW252" s="2583"/>
      <c r="HX252" s="2583"/>
      <c r="HY252" s="2583"/>
      <c r="HZ252" s="2583"/>
      <c r="IA252" s="2583"/>
      <c r="IB252" s="2583"/>
      <c r="IC252" s="2583"/>
      <c r="ID252" s="2583"/>
      <c r="IE252" s="2583"/>
      <c r="IF252" s="2583"/>
      <c r="IG252" s="2583"/>
      <c r="IH252" s="2583"/>
      <c r="II252" s="2583"/>
      <c r="IJ252" s="2583"/>
      <c r="IK252" s="2583"/>
      <c r="IL252" s="2583"/>
      <c r="IM252" s="2583"/>
      <c r="IN252" s="2583"/>
      <c r="IO252" s="2583"/>
      <c r="IP252" s="2583"/>
      <c r="IQ252" s="2583"/>
      <c r="IR252" s="2583"/>
      <c r="IS252" s="2583"/>
      <c r="IT252" s="2583"/>
      <c r="IU252" s="2583"/>
      <c r="IV252" s="2583"/>
    </row>
    <row r="253" spans="3:256">
      <c r="C253" s="2584"/>
      <c r="D253" s="2584"/>
      <c r="E253" s="2584"/>
      <c r="F253" s="2584"/>
      <c r="G253" s="2584"/>
      <c r="H253" s="2584"/>
      <c r="AC253" s="2583"/>
      <c r="AD253" s="2583"/>
      <c r="AE253" s="2583"/>
      <c r="AF253" s="2583"/>
      <c r="AG253" s="2583"/>
      <c r="AH253" s="2583"/>
      <c r="AI253" s="2583"/>
      <c r="AJ253" s="2583"/>
      <c r="AK253" s="2583"/>
      <c r="AL253" s="2583"/>
      <c r="AM253" s="2583"/>
      <c r="AN253" s="2583"/>
      <c r="AO253" s="2583"/>
      <c r="AP253" s="2583"/>
      <c r="AQ253" s="2583"/>
      <c r="AR253" s="2583"/>
      <c r="AS253" s="2583"/>
      <c r="AT253" s="2583"/>
      <c r="AU253" s="2583"/>
      <c r="AV253" s="2583"/>
      <c r="AW253" s="2583"/>
      <c r="AX253" s="2583"/>
      <c r="AY253" s="2583"/>
      <c r="AZ253" s="2583"/>
      <c r="BA253" s="2583"/>
      <c r="BB253" s="2583"/>
      <c r="BC253" s="2583"/>
      <c r="BD253" s="2583"/>
      <c r="BE253" s="2583"/>
      <c r="BF253" s="2583"/>
      <c r="BG253" s="2583"/>
      <c r="BH253" s="2583"/>
      <c r="BI253" s="2583"/>
      <c r="BJ253" s="2583"/>
      <c r="BK253" s="2583"/>
      <c r="BL253" s="2583"/>
      <c r="BM253" s="2583"/>
      <c r="BN253" s="2583"/>
      <c r="BO253" s="2583"/>
      <c r="BP253" s="2583"/>
      <c r="BQ253" s="2583"/>
      <c r="BR253" s="2583"/>
      <c r="BS253" s="2583"/>
      <c r="BT253" s="2583"/>
      <c r="BU253" s="2583"/>
      <c r="BV253" s="2583"/>
      <c r="BW253" s="2583"/>
      <c r="BX253" s="2583"/>
      <c r="BY253" s="2583"/>
      <c r="BZ253" s="2583"/>
      <c r="CA253" s="2583"/>
      <c r="CB253" s="2583"/>
      <c r="CC253" s="2583"/>
      <c r="CD253" s="2583"/>
      <c r="CE253" s="2583"/>
      <c r="CF253" s="2583"/>
      <c r="CG253" s="2583"/>
      <c r="CH253" s="2583"/>
      <c r="CI253" s="2583"/>
      <c r="CJ253" s="2583"/>
      <c r="CK253" s="2583"/>
      <c r="CL253" s="2583"/>
      <c r="CM253" s="2583"/>
      <c r="CN253" s="2583"/>
      <c r="CO253" s="2583"/>
      <c r="CP253" s="2583"/>
      <c r="CQ253" s="2583"/>
      <c r="CR253" s="2583"/>
      <c r="CS253" s="2583"/>
      <c r="CT253" s="2583"/>
      <c r="CU253" s="2583"/>
      <c r="CV253" s="2583"/>
      <c r="CW253" s="2583"/>
      <c r="CX253" s="2583"/>
      <c r="CY253" s="2583"/>
      <c r="CZ253" s="2583"/>
      <c r="DA253" s="2583"/>
      <c r="DB253" s="2583"/>
      <c r="DC253" s="2583"/>
      <c r="DD253" s="2583"/>
      <c r="DE253" s="2583"/>
      <c r="DF253" s="2583"/>
      <c r="DG253" s="2583"/>
      <c r="DH253" s="2583"/>
      <c r="DI253" s="2583"/>
      <c r="DJ253" s="2583"/>
      <c r="DK253" s="2583"/>
      <c r="DL253" s="2583"/>
      <c r="DM253" s="2583"/>
      <c r="DN253" s="2583"/>
      <c r="DO253" s="2583"/>
      <c r="DP253" s="2583"/>
      <c r="DQ253" s="2583"/>
      <c r="DR253" s="2583"/>
      <c r="DS253" s="2583"/>
      <c r="DT253" s="2583"/>
      <c r="DU253" s="2583"/>
      <c r="DV253" s="2583"/>
      <c r="DW253" s="2583"/>
      <c r="DX253" s="2583"/>
      <c r="DY253" s="2583"/>
      <c r="DZ253" s="2583"/>
      <c r="EA253" s="2583"/>
      <c r="EB253" s="2583"/>
      <c r="EC253" s="2583"/>
      <c r="ED253" s="2583"/>
      <c r="EE253" s="2583"/>
      <c r="EF253" s="2583"/>
      <c r="EG253" s="2583"/>
      <c r="EH253" s="2583"/>
      <c r="EI253" s="2583"/>
      <c r="EJ253" s="2583"/>
      <c r="EK253" s="2583"/>
      <c r="EL253" s="2583"/>
      <c r="EM253" s="2583"/>
      <c r="EN253" s="2583"/>
      <c r="EO253" s="2583"/>
      <c r="EP253" s="2583"/>
      <c r="EQ253" s="2583"/>
      <c r="ER253" s="2583"/>
      <c r="ES253" s="2583"/>
      <c r="ET253" s="2583"/>
      <c r="EU253" s="2583"/>
      <c r="EV253" s="2583"/>
      <c r="EW253" s="2583"/>
      <c r="EX253" s="2583"/>
      <c r="EY253" s="2583"/>
      <c r="EZ253" s="2583"/>
      <c r="FA253" s="2583"/>
      <c r="FB253" s="2583"/>
      <c r="FC253" s="2583"/>
      <c r="FD253" s="2583"/>
      <c r="FE253" s="2583"/>
      <c r="FF253" s="2583"/>
      <c r="FG253" s="2583"/>
      <c r="FH253" s="2583"/>
      <c r="FI253" s="2583"/>
      <c r="FJ253" s="2583"/>
      <c r="FK253" s="2583"/>
      <c r="FL253" s="2583"/>
      <c r="FM253" s="2583"/>
      <c r="FN253" s="2583"/>
      <c r="FO253" s="2583"/>
      <c r="FP253" s="2583"/>
      <c r="FQ253" s="2583"/>
      <c r="FR253" s="2583"/>
      <c r="FS253" s="2583"/>
      <c r="FT253" s="2583"/>
      <c r="FU253" s="2583"/>
      <c r="FV253" s="2583"/>
      <c r="FW253" s="2583"/>
      <c r="FX253" s="2583"/>
      <c r="FY253" s="2583"/>
      <c r="FZ253" s="2583"/>
      <c r="GA253" s="2583"/>
      <c r="GB253" s="2583"/>
      <c r="GC253" s="2583"/>
      <c r="GD253" s="2583"/>
      <c r="GE253" s="2583"/>
      <c r="GF253" s="2583"/>
      <c r="GG253" s="2583"/>
      <c r="GH253" s="2583"/>
      <c r="GI253" s="2583"/>
      <c r="GJ253" s="2583"/>
      <c r="GK253" s="2583"/>
      <c r="GL253" s="2583"/>
      <c r="GM253" s="2583"/>
      <c r="GN253" s="2583"/>
      <c r="GO253" s="2583"/>
      <c r="GP253" s="2583"/>
      <c r="GQ253" s="2583"/>
      <c r="GR253" s="2583"/>
      <c r="GS253" s="2583"/>
      <c r="GT253" s="2583"/>
      <c r="GU253" s="2583"/>
      <c r="GV253" s="2583"/>
      <c r="GW253" s="2583"/>
      <c r="GX253" s="2583"/>
      <c r="GY253" s="2583"/>
      <c r="GZ253" s="2583"/>
      <c r="HA253" s="2583"/>
      <c r="HB253" s="2583"/>
      <c r="HC253" s="2583"/>
      <c r="HD253" s="2583"/>
      <c r="HE253" s="2583"/>
      <c r="HF253" s="2583"/>
      <c r="HG253" s="2583"/>
      <c r="HH253" s="2583"/>
      <c r="HI253" s="2583"/>
      <c r="HJ253" s="2583"/>
      <c r="HK253" s="2583"/>
      <c r="HL253" s="2583"/>
      <c r="HM253" s="2583"/>
      <c r="HN253" s="2583"/>
      <c r="HO253" s="2583"/>
      <c r="HP253" s="2583"/>
      <c r="HQ253" s="2583"/>
      <c r="HR253" s="2583"/>
      <c r="HS253" s="2583"/>
      <c r="HT253" s="2583"/>
      <c r="HU253" s="2583"/>
      <c r="HV253" s="2583"/>
      <c r="HW253" s="2583"/>
      <c r="HX253" s="2583"/>
      <c r="HY253" s="2583"/>
      <c r="HZ253" s="2583"/>
      <c r="IA253" s="2583"/>
      <c r="IB253" s="2583"/>
      <c r="IC253" s="2583"/>
      <c r="ID253" s="2583"/>
      <c r="IE253" s="2583"/>
      <c r="IF253" s="2583"/>
      <c r="IG253" s="2583"/>
      <c r="IH253" s="2583"/>
      <c r="II253" s="2583"/>
      <c r="IJ253" s="2583"/>
      <c r="IK253" s="2583"/>
      <c r="IL253" s="2583"/>
      <c r="IM253" s="2583"/>
      <c r="IN253" s="2583"/>
      <c r="IO253" s="2583"/>
      <c r="IP253" s="2583"/>
      <c r="IQ253" s="2583"/>
      <c r="IR253" s="2583"/>
      <c r="IS253" s="2583"/>
      <c r="IT253" s="2583"/>
      <c r="IU253" s="2583"/>
      <c r="IV253" s="2583"/>
    </row>
    <row r="254" spans="3:256">
      <c r="C254" s="2584"/>
      <c r="D254" s="2584"/>
      <c r="E254" s="2584"/>
      <c r="F254" s="2584"/>
      <c r="G254" s="2584"/>
      <c r="H254" s="2584"/>
      <c r="AC254" s="2583"/>
      <c r="AD254" s="2583"/>
      <c r="AE254" s="2583"/>
      <c r="AF254" s="2583"/>
      <c r="AG254" s="2583"/>
      <c r="AH254" s="2583"/>
      <c r="AI254" s="2583"/>
      <c r="AJ254" s="2583"/>
      <c r="AK254" s="2583"/>
      <c r="AL254" s="2583"/>
      <c r="AM254" s="2583"/>
      <c r="AN254" s="2583"/>
      <c r="AO254" s="2583"/>
      <c r="AP254" s="2583"/>
      <c r="AQ254" s="2583"/>
      <c r="AR254" s="2583"/>
      <c r="AS254" s="2583"/>
      <c r="AT254" s="2583"/>
      <c r="AU254" s="2583"/>
      <c r="AV254" s="2583"/>
      <c r="AW254" s="2583"/>
      <c r="AX254" s="2583"/>
      <c r="AY254" s="2583"/>
      <c r="AZ254" s="2583"/>
      <c r="BA254" s="2583"/>
      <c r="BB254" s="2583"/>
      <c r="BC254" s="2583"/>
      <c r="BD254" s="2583"/>
      <c r="BE254" s="2583"/>
      <c r="BF254" s="2583"/>
      <c r="BG254" s="2583"/>
      <c r="BH254" s="2583"/>
      <c r="BI254" s="2583"/>
      <c r="BJ254" s="2583"/>
      <c r="BK254" s="2583"/>
      <c r="BL254" s="2583"/>
      <c r="BM254" s="2583"/>
      <c r="BN254" s="2583"/>
      <c r="BO254" s="2583"/>
      <c r="BP254" s="2583"/>
      <c r="BQ254" s="2583"/>
      <c r="BR254" s="2583"/>
      <c r="BS254" s="2583"/>
      <c r="BT254" s="2583"/>
      <c r="BU254" s="2583"/>
      <c r="BV254" s="2583"/>
      <c r="BW254" s="2583"/>
      <c r="BX254" s="2583"/>
      <c r="BY254" s="2583"/>
      <c r="BZ254" s="2583"/>
      <c r="CA254" s="2583"/>
      <c r="CB254" s="2583"/>
      <c r="CC254" s="2583"/>
      <c r="CD254" s="2583"/>
      <c r="CE254" s="2583"/>
      <c r="CF254" s="2583"/>
      <c r="CG254" s="2583"/>
      <c r="CH254" s="2583"/>
      <c r="CI254" s="2583"/>
      <c r="CJ254" s="2583"/>
      <c r="CK254" s="2583"/>
      <c r="CL254" s="2583"/>
      <c r="CM254" s="2583"/>
      <c r="CN254" s="2583"/>
      <c r="CO254" s="2583"/>
      <c r="CP254" s="2583"/>
      <c r="CQ254" s="2583"/>
      <c r="CR254" s="2583"/>
      <c r="CS254" s="2583"/>
      <c r="CT254" s="2583"/>
      <c r="CU254" s="2583"/>
      <c r="CV254" s="2583"/>
      <c r="CW254" s="2583"/>
      <c r="CX254" s="2583"/>
      <c r="CY254" s="2583"/>
      <c r="CZ254" s="2583"/>
      <c r="DA254" s="2583"/>
      <c r="DB254" s="2583"/>
      <c r="DC254" s="2583"/>
      <c r="DD254" s="2583"/>
      <c r="DE254" s="2583"/>
      <c r="DF254" s="2583"/>
      <c r="DG254" s="2583"/>
      <c r="DH254" s="2583"/>
      <c r="DI254" s="2583"/>
      <c r="DJ254" s="2583"/>
      <c r="DK254" s="2583"/>
      <c r="DL254" s="2583"/>
      <c r="DM254" s="2583"/>
      <c r="DN254" s="2583"/>
      <c r="DO254" s="2583"/>
      <c r="DP254" s="2583"/>
      <c r="DQ254" s="2583"/>
      <c r="DR254" s="2583"/>
      <c r="DS254" s="2583"/>
      <c r="DT254" s="2583"/>
      <c r="DU254" s="2583"/>
      <c r="DV254" s="2583"/>
      <c r="DW254" s="2583"/>
      <c r="DX254" s="2583"/>
      <c r="DY254" s="2583"/>
      <c r="DZ254" s="2583"/>
      <c r="EA254" s="2583"/>
      <c r="EB254" s="2583"/>
      <c r="EC254" s="2583"/>
      <c r="ED254" s="2583"/>
      <c r="EE254" s="2583"/>
      <c r="EF254" s="2583"/>
      <c r="EG254" s="2583"/>
      <c r="EH254" s="2583"/>
      <c r="EI254" s="2583"/>
      <c r="EJ254" s="2583"/>
      <c r="EK254" s="2583"/>
      <c r="EL254" s="2583"/>
      <c r="EM254" s="2583"/>
      <c r="EN254" s="2583"/>
      <c r="EO254" s="2583"/>
      <c r="EP254" s="2583"/>
      <c r="EQ254" s="2583"/>
      <c r="ER254" s="2583"/>
      <c r="ES254" s="2583"/>
      <c r="ET254" s="2583"/>
      <c r="EU254" s="2583"/>
      <c r="EV254" s="2583"/>
      <c r="EW254" s="2583"/>
      <c r="EX254" s="2583"/>
      <c r="EY254" s="2583"/>
      <c r="EZ254" s="2583"/>
      <c r="FA254" s="2583"/>
      <c r="FB254" s="2583"/>
      <c r="FC254" s="2583"/>
      <c r="FD254" s="2583"/>
      <c r="FE254" s="2583"/>
      <c r="FF254" s="2583"/>
      <c r="FG254" s="2583"/>
      <c r="FH254" s="2583"/>
      <c r="FI254" s="2583"/>
      <c r="FJ254" s="2583"/>
      <c r="FK254" s="2583"/>
      <c r="FL254" s="2583"/>
      <c r="FM254" s="2583"/>
      <c r="FN254" s="2583"/>
      <c r="FO254" s="2583"/>
      <c r="FP254" s="2583"/>
      <c r="FQ254" s="2583"/>
      <c r="FR254" s="2583"/>
      <c r="FS254" s="2583"/>
      <c r="FT254" s="2583"/>
      <c r="FU254" s="2583"/>
      <c r="FV254" s="2583"/>
      <c r="FW254" s="2583"/>
      <c r="FX254" s="2583"/>
      <c r="FY254" s="2583"/>
      <c r="FZ254" s="2583"/>
      <c r="GA254" s="2583"/>
      <c r="GB254" s="2583"/>
      <c r="GC254" s="2583"/>
      <c r="GD254" s="2583"/>
      <c r="GE254" s="2583"/>
      <c r="GF254" s="2583"/>
      <c r="GG254" s="2583"/>
      <c r="GH254" s="2583"/>
      <c r="GI254" s="2583"/>
      <c r="GJ254" s="2583"/>
      <c r="GK254" s="2583"/>
      <c r="GL254" s="2583"/>
      <c r="GM254" s="2583"/>
      <c r="GN254" s="2583"/>
      <c r="GO254" s="2583"/>
      <c r="GP254" s="2583"/>
      <c r="GQ254" s="2583"/>
      <c r="GR254" s="2583"/>
      <c r="GS254" s="2583"/>
      <c r="GT254" s="2583"/>
      <c r="GU254" s="2583"/>
      <c r="GV254" s="2583"/>
      <c r="GW254" s="2583"/>
      <c r="GX254" s="2583"/>
      <c r="GY254" s="2583"/>
      <c r="GZ254" s="2583"/>
      <c r="HA254" s="2583"/>
      <c r="HB254" s="2583"/>
      <c r="HC254" s="2583"/>
      <c r="HD254" s="2583"/>
      <c r="HE254" s="2583"/>
      <c r="HF254" s="2583"/>
      <c r="HG254" s="2583"/>
      <c r="HH254" s="2583"/>
      <c r="HI254" s="2583"/>
      <c r="HJ254" s="2583"/>
      <c r="HK254" s="2583"/>
      <c r="HL254" s="2583"/>
      <c r="HM254" s="2583"/>
      <c r="HN254" s="2583"/>
      <c r="HO254" s="2583"/>
      <c r="HP254" s="2583"/>
      <c r="HQ254" s="2583"/>
      <c r="HR254" s="2583"/>
      <c r="HS254" s="2583"/>
      <c r="HT254" s="2583"/>
      <c r="HU254" s="2583"/>
      <c r="HV254" s="2583"/>
      <c r="HW254" s="2583"/>
      <c r="HX254" s="2583"/>
      <c r="HY254" s="2583"/>
      <c r="HZ254" s="2583"/>
      <c r="IA254" s="2583"/>
      <c r="IB254" s="2583"/>
      <c r="IC254" s="2583"/>
      <c r="ID254" s="2583"/>
      <c r="IE254" s="2583"/>
      <c r="IF254" s="2583"/>
      <c r="IG254" s="2583"/>
      <c r="IH254" s="2583"/>
      <c r="II254" s="2583"/>
      <c r="IJ254" s="2583"/>
      <c r="IK254" s="2583"/>
      <c r="IL254" s="2583"/>
      <c r="IM254" s="2583"/>
      <c r="IN254" s="2583"/>
      <c r="IO254" s="2583"/>
      <c r="IP254" s="2583"/>
      <c r="IQ254" s="2583"/>
      <c r="IR254" s="2583"/>
      <c r="IS254" s="2583"/>
      <c r="IT254" s="2583"/>
      <c r="IU254" s="2583"/>
      <c r="IV254" s="2583"/>
    </row>
    <row r="255" spans="3:256">
      <c r="C255" s="2584"/>
      <c r="D255" s="2584"/>
      <c r="E255" s="2584"/>
      <c r="F255" s="2584"/>
      <c r="G255" s="2584"/>
      <c r="H255" s="2584"/>
      <c r="AC255" s="2583"/>
      <c r="AD255" s="2583"/>
      <c r="AE255" s="2583"/>
      <c r="AF255" s="2583"/>
      <c r="AG255" s="2583"/>
      <c r="AH255" s="2583"/>
      <c r="AI255" s="2583"/>
      <c r="AJ255" s="2583"/>
      <c r="AK255" s="2583"/>
      <c r="AL255" s="2583"/>
      <c r="AM255" s="2583"/>
      <c r="AN255" s="2583"/>
      <c r="AO255" s="2583"/>
      <c r="AP255" s="2583"/>
      <c r="AQ255" s="2583"/>
      <c r="AR255" s="2583"/>
      <c r="AS255" s="2583"/>
      <c r="AT255" s="2583"/>
      <c r="AU255" s="2583"/>
      <c r="AV255" s="2583"/>
      <c r="AW255" s="2583"/>
      <c r="AX255" s="2583"/>
      <c r="AY255" s="2583"/>
      <c r="AZ255" s="2583"/>
      <c r="BA255" s="2583"/>
      <c r="BB255" s="2583"/>
      <c r="BC255" s="2583"/>
      <c r="BD255" s="2583"/>
      <c r="BE255" s="2583"/>
      <c r="BF255" s="2583"/>
      <c r="BG255" s="2583"/>
      <c r="BH255" s="2583"/>
      <c r="BI255" s="2583"/>
      <c r="BJ255" s="2583"/>
      <c r="BK255" s="2583"/>
      <c r="BL255" s="2583"/>
      <c r="BM255" s="2583"/>
      <c r="BN255" s="2583"/>
      <c r="BO255" s="2583"/>
      <c r="BP255" s="2583"/>
      <c r="BQ255" s="2583"/>
      <c r="BR255" s="2583"/>
      <c r="BS255" s="2583"/>
      <c r="BT255" s="2583"/>
      <c r="BU255" s="2583"/>
      <c r="BV255" s="2583"/>
      <c r="BW255" s="2583"/>
      <c r="BX255" s="2583"/>
      <c r="BY255" s="2583"/>
      <c r="BZ255" s="2583"/>
      <c r="CA255" s="2583"/>
      <c r="CB255" s="2583"/>
      <c r="CC255" s="2583"/>
      <c r="CD255" s="2583"/>
      <c r="CE255" s="2583"/>
      <c r="CF255" s="2583"/>
      <c r="CG255" s="2583"/>
      <c r="CH255" s="2583"/>
      <c r="CI255" s="2583"/>
      <c r="CJ255" s="2583"/>
      <c r="CK255" s="2583"/>
      <c r="CL255" s="2583"/>
      <c r="CM255" s="2583"/>
      <c r="CN255" s="2583"/>
      <c r="CO255" s="2583"/>
      <c r="CP255" s="2583"/>
      <c r="CQ255" s="2583"/>
      <c r="CR255" s="2583"/>
      <c r="CS255" s="2583"/>
      <c r="CT255" s="2583"/>
      <c r="CU255" s="2583"/>
      <c r="CV255" s="2583"/>
      <c r="CW255" s="2583"/>
      <c r="CX255" s="2583"/>
      <c r="CY255" s="2583"/>
      <c r="CZ255" s="2583"/>
      <c r="DA255" s="2583"/>
      <c r="DB255" s="2583"/>
      <c r="DC255" s="2583"/>
      <c r="DD255" s="2583"/>
      <c r="DE255" s="2583"/>
      <c r="DF255" s="2583"/>
      <c r="DG255" s="2583"/>
      <c r="DH255" s="2583"/>
      <c r="DI255" s="2583"/>
      <c r="DJ255" s="2583"/>
      <c r="DK255" s="2583"/>
      <c r="DL255" s="2583"/>
      <c r="DM255" s="2583"/>
      <c r="DN255" s="2583"/>
      <c r="DO255" s="2583"/>
      <c r="DP255" s="2583"/>
      <c r="DQ255" s="2583"/>
      <c r="DR255" s="2583"/>
      <c r="DS255" s="2583"/>
      <c r="DT255" s="2583"/>
      <c r="DU255" s="2583"/>
      <c r="DV255" s="2583"/>
      <c r="DW255" s="2583"/>
      <c r="DX255" s="2583"/>
      <c r="DY255" s="2583"/>
      <c r="DZ255" s="2583"/>
      <c r="EA255" s="2583"/>
      <c r="EB255" s="2583"/>
      <c r="EC255" s="2583"/>
      <c r="ED255" s="2583"/>
      <c r="EE255" s="2583"/>
      <c r="EF255" s="2583"/>
      <c r="EG255" s="2583"/>
      <c r="EH255" s="2583"/>
      <c r="EI255" s="2583"/>
      <c r="EJ255" s="2583"/>
      <c r="EK255" s="2583"/>
      <c r="EL255" s="2583"/>
      <c r="EM255" s="2583"/>
      <c r="EN255" s="2583"/>
      <c r="EO255" s="2583"/>
      <c r="EP255" s="2583"/>
      <c r="EQ255" s="2583"/>
      <c r="ER255" s="2583"/>
      <c r="ES255" s="2583"/>
      <c r="ET255" s="2583"/>
      <c r="EU255" s="2583"/>
      <c r="EV255" s="2583"/>
      <c r="EW255" s="2583"/>
      <c r="EX255" s="2583"/>
      <c r="EY255" s="2583"/>
      <c r="EZ255" s="2583"/>
      <c r="FA255" s="2583"/>
      <c r="FB255" s="2583"/>
      <c r="FC255" s="2583"/>
      <c r="FD255" s="2583"/>
      <c r="FE255" s="2583"/>
      <c r="FF255" s="2583"/>
      <c r="FG255" s="2583"/>
      <c r="FH255" s="2583"/>
      <c r="FI255" s="2583"/>
      <c r="FJ255" s="2583"/>
      <c r="FK255" s="2583"/>
      <c r="FL255" s="2583"/>
      <c r="FM255" s="2583"/>
      <c r="FN255" s="2583"/>
      <c r="FO255" s="2583"/>
      <c r="FP255" s="2583"/>
      <c r="FQ255" s="2583"/>
      <c r="FR255" s="2583"/>
      <c r="FS255" s="2583"/>
      <c r="FT255" s="2583"/>
      <c r="FU255" s="2583"/>
      <c r="FV255" s="2583"/>
      <c r="FW255" s="2583"/>
      <c r="FX255" s="2583"/>
      <c r="FY255" s="2583"/>
      <c r="FZ255" s="2583"/>
      <c r="GA255" s="2583"/>
      <c r="GB255" s="2583"/>
      <c r="GC255" s="2583"/>
      <c r="GD255" s="2583"/>
      <c r="GE255" s="2583"/>
      <c r="GF255" s="2583"/>
      <c r="GG255" s="2583"/>
      <c r="GH255" s="2583"/>
      <c r="GI255" s="2583"/>
      <c r="GJ255" s="2583"/>
      <c r="GK255" s="2583"/>
      <c r="GL255" s="2583"/>
      <c r="GM255" s="2583"/>
      <c r="GN255" s="2583"/>
      <c r="GO255" s="2583"/>
      <c r="GP255" s="2583"/>
      <c r="GQ255" s="2583"/>
      <c r="GR255" s="2583"/>
      <c r="GS255" s="2583"/>
      <c r="GT255" s="2583"/>
      <c r="GU255" s="2583"/>
      <c r="GV255" s="2583"/>
      <c r="GW255" s="2583"/>
      <c r="GX255" s="2583"/>
      <c r="GY255" s="2583"/>
      <c r="GZ255" s="2583"/>
      <c r="HA255" s="2583"/>
      <c r="HB255" s="2583"/>
      <c r="HC255" s="2583"/>
      <c r="HD255" s="2583"/>
      <c r="HE255" s="2583"/>
      <c r="HF255" s="2583"/>
      <c r="HG255" s="2583"/>
      <c r="HH255" s="2583"/>
      <c r="HI255" s="2583"/>
      <c r="HJ255" s="2583"/>
      <c r="HK255" s="2583"/>
      <c r="HL255" s="2583"/>
      <c r="HM255" s="2583"/>
      <c r="HN255" s="2583"/>
      <c r="HO255" s="2583"/>
      <c r="HP255" s="2583"/>
      <c r="HQ255" s="2583"/>
      <c r="HR255" s="2583"/>
      <c r="HS255" s="2583"/>
      <c r="HT255" s="2583"/>
      <c r="HU255" s="2583"/>
      <c r="HV255" s="2583"/>
      <c r="HW255" s="2583"/>
      <c r="HX255" s="2583"/>
      <c r="HY255" s="2583"/>
      <c r="HZ255" s="2583"/>
      <c r="IA255" s="2583"/>
      <c r="IB255" s="2583"/>
      <c r="IC255" s="2583"/>
      <c r="ID255" s="2583"/>
      <c r="IE255" s="2583"/>
      <c r="IF255" s="2583"/>
      <c r="IG255" s="2583"/>
      <c r="IH255" s="2583"/>
      <c r="II255" s="2583"/>
      <c r="IJ255" s="2583"/>
      <c r="IK255" s="2583"/>
      <c r="IL255" s="2583"/>
      <c r="IM255" s="2583"/>
      <c r="IN255" s="2583"/>
      <c r="IO255" s="2583"/>
      <c r="IP255" s="2583"/>
      <c r="IQ255" s="2583"/>
      <c r="IR255" s="2583"/>
      <c r="IS255" s="2583"/>
      <c r="IT255" s="2583"/>
      <c r="IU255" s="2583"/>
      <c r="IV255" s="2583"/>
    </row>
    <row r="256" spans="3:256">
      <c r="C256" s="2584"/>
      <c r="D256" s="2584"/>
      <c r="E256" s="2584"/>
      <c r="F256" s="2584"/>
      <c r="G256" s="2584"/>
      <c r="H256" s="2584"/>
      <c r="AC256" s="2583"/>
      <c r="AD256" s="2583"/>
      <c r="AE256" s="2583"/>
      <c r="AF256" s="2583"/>
      <c r="AG256" s="2583"/>
      <c r="AH256" s="2583"/>
      <c r="AI256" s="2583"/>
      <c r="AJ256" s="2583"/>
      <c r="AK256" s="2583"/>
      <c r="AL256" s="2583"/>
      <c r="AM256" s="2583"/>
      <c r="AN256" s="2583"/>
      <c r="AO256" s="2583"/>
      <c r="AP256" s="2583"/>
      <c r="AQ256" s="2583"/>
      <c r="AR256" s="2583"/>
      <c r="AS256" s="2583"/>
      <c r="AT256" s="2583"/>
      <c r="AU256" s="2583"/>
      <c r="AV256" s="2583"/>
      <c r="AW256" s="2583"/>
      <c r="AX256" s="2583"/>
      <c r="AY256" s="2583"/>
      <c r="AZ256" s="2583"/>
      <c r="BA256" s="2583"/>
      <c r="BB256" s="2583"/>
      <c r="BC256" s="2583"/>
      <c r="BD256" s="2583"/>
      <c r="BE256" s="2583"/>
      <c r="BF256" s="2583"/>
      <c r="BG256" s="2583"/>
      <c r="BH256" s="2583"/>
      <c r="BI256" s="2583"/>
      <c r="BJ256" s="2583"/>
      <c r="BK256" s="2583"/>
      <c r="BL256" s="2583"/>
      <c r="BM256" s="2583"/>
      <c r="BN256" s="2583"/>
      <c r="BO256" s="2583"/>
      <c r="BP256" s="2583"/>
      <c r="BQ256" s="2583"/>
      <c r="BR256" s="2583"/>
      <c r="BS256" s="2583"/>
      <c r="BT256" s="2583"/>
      <c r="BU256" s="2583"/>
      <c r="BV256" s="2583"/>
      <c r="BW256" s="2583"/>
      <c r="BX256" s="2583"/>
      <c r="BY256" s="2583"/>
      <c r="BZ256" s="2583"/>
      <c r="CA256" s="2583"/>
      <c r="CB256" s="2583"/>
      <c r="CC256" s="2583"/>
      <c r="CD256" s="2583"/>
      <c r="CE256" s="2583"/>
      <c r="CF256" s="2583"/>
      <c r="CG256" s="2583"/>
      <c r="CH256" s="2583"/>
      <c r="CI256" s="2583"/>
      <c r="CJ256" s="2583"/>
      <c r="CK256" s="2583"/>
      <c r="CL256" s="2583"/>
      <c r="CM256" s="2583"/>
      <c r="CN256" s="2583"/>
      <c r="CO256" s="2583"/>
      <c r="CP256" s="2583"/>
      <c r="CQ256" s="2583"/>
      <c r="CR256" s="2583"/>
      <c r="CS256" s="2583"/>
      <c r="CT256" s="2583"/>
      <c r="CU256" s="2583"/>
      <c r="CV256" s="2583"/>
      <c r="CW256" s="2583"/>
      <c r="CX256" s="2583"/>
      <c r="CY256" s="2583"/>
      <c r="CZ256" s="2583"/>
      <c r="DA256" s="2583"/>
      <c r="DB256" s="2583"/>
      <c r="DC256" s="2583"/>
      <c r="DD256" s="2583"/>
      <c r="DE256" s="2583"/>
      <c r="DF256" s="2583"/>
      <c r="DG256" s="2583"/>
      <c r="DH256" s="2583"/>
      <c r="DI256" s="2583"/>
      <c r="DJ256" s="2583"/>
      <c r="DK256" s="2583"/>
      <c r="DL256" s="2583"/>
      <c r="DM256" s="2583"/>
      <c r="DN256" s="2583"/>
      <c r="DO256" s="2583"/>
      <c r="DP256" s="2583"/>
      <c r="DQ256" s="2583"/>
      <c r="DR256" s="2583"/>
      <c r="DS256" s="2583"/>
      <c r="DT256" s="2583"/>
      <c r="DU256" s="2583"/>
      <c r="DV256" s="2583"/>
      <c r="DW256" s="2583"/>
      <c r="DX256" s="2583"/>
      <c r="DY256" s="2583"/>
      <c r="DZ256" s="2583"/>
      <c r="EA256" s="2583"/>
      <c r="EB256" s="2583"/>
      <c r="EC256" s="2583"/>
      <c r="ED256" s="2583"/>
      <c r="EE256" s="2583"/>
      <c r="EF256" s="2583"/>
      <c r="EG256" s="2583"/>
      <c r="EH256" s="2583"/>
      <c r="EI256" s="2583"/>
      <c r="EJ256" s="2583"/>
      <c r="EK256" s="2583"/>
      <c r="EL256" s="2583"/>
      <c r="EM256" s="2583"/>
      <c r="EN256" s="2583"/>
      <c r="EO256" s="2583"/>
      <c r="EP256" s="2583"/>
      <c r="EQ256" s="2583"/>
      <c r="ER256" s="2583"/>
      <c r="ES256" s="2583"/>
      <c r="ET256" s="2583"/>
      <c r="EU256" s="2583"/>
      <c r="EV256" s="2583"/>
      <c r="EW256" s="2583"/>
      <c r="EX256" s="2583"/>
      <c r="EY256" s="2583"/>
      <c r="EZ256" s="2583"/>
      <c r="FA256" s="2583"/>
      <c r="FB256" s="2583"/>
      <c r="FC256" s="2583"/>
      <c r="FD256" s="2583"/>
      <c r="FE256" s="2583"/>
      <c r="FF256" s="2583"/>
      <c r="FG256" s="2583"/>
      <c r="FH256" s="2583"/>
      <c r="FI256" s="2583"/>
      <c r="FJ256" s="2583"/>
      <c r="FK256" s="2583"/>
      <c r="FL256" s="2583"/>
      <c r="FM256" s="2583"/>
      <c r="FN256" s="2583"/>
      <c r="FO256" s="2583"/>
      <c r="FP256" s="2583"/>
      <c r="FQ256" s="2583"/>
      <c r="FR256" s="2583"/>
      <c r="FS256" s="2583"/>
      <c r="FT256" s="2583"/>
      <c r="FU256" s="2583"/>
      <c r="FV256" s="2583"/>
      <c r="FW256" s="2583"/>
      <c r="FX256" s="2583"/>
      <c r="FY256" s="2583"/>
      <c r="FZ256" s="2583"/>
      <c r="GA256" s="2583"/>
      <c r="GB256" s="2583"/>
      <c r="GC256" s="2583"/>
      <c r="GD256" s="2583"/>
      <c r="GE256" s="2583"/>
      <c r="GF256" s="2583"/>
      <c r="GG256" s="2583"/>
      <c r="GH256" s="2583"/>
      <c r="GI256" s="2583"/>
      <c r="GJ256" s="2583"/>
      <c r="GK256" s="2583"/>
      <c r="GL256" s="2583"/>
      <c r="GM256" s="2583"/>
      <c r="GN256" s="2583"/>
      <c r="GO256" s="2583"/>
      <c r="GP256" s="2583"/>
      <c r="GQ256" s="2583"/>
      <c r="GR256" s="2583"/>
      <c r="GS256" s="2583"/>
      <c r="GT256" s="2583"/>
      <c r="GU256" s="2583"/>
      <c r="GV256" s="2583"/>
      <c r="GW256" s="2583"/>
      <c r="GX256" s="2583"/>
      <c r="GY256" s="2583"/>
      <c r="GZ256" s="2583"/>
      <c r="HA256" s="2583"/>
      <c r="HB256" s="2583"/>
      <c r="HC256" s="2583"/>
      <c r="HD256" s="2583"/>
      <c r="HE256" s="2583"/>
      <c r="HF256" s="2583"/>
      <c r="HG256" s="2583"/>
      <c r="HH256" s="2583"/>
      <c r="HI256" s="2583"/>
      <c r="HJ256" s="2583"/>
      <c r="HK256" s="2583"/>
      <c r="HL256" s="2583"/>
      <c r="HM256" s="2583"/>
      <c r="HN256" s="2583"/>
      <c r="HO256" s="2583"/>
      <c r="HP256" s="2583"/>
      <c r="HQ256" s="2583"/>
      <c r="HR256" s="2583"/>
      <c r="HS256" s="2583"/>
      <c r="HT256" s="2583"/>
      <c r="HU256" s="2583"/>
      <c r="HV256" s="2583"/>
      <c r="HW256" s="2583"/>
      <c r="HX256" s="2583"/>
      <c r="HY256" s="2583"/>
      <c r="HZ256" s="2583"/>
      <c r="IA256" s="2583"/>
      <c r="IB256" s="2583"/>
      <c r="IC256" s="2583"/>
      <c r="ID256" s="2583"/>
      <c r="IE256" s="2583"/>
      <c r="IF256" s="2583"/>
      <c r="IG256" s="2583"/>
      <c r="IH256" s="2583"/>
      <c r="II256" s="2583"/>
      <c r="IJ256" s="2583"/>
      <c r="IK256" s="2583"/>
      <c r="IL256" s="2583"/>
      <c r="IM256" s="2583"/>
      <c r="IN256" s="2583"/>
      <c r="IO256" s="2583"/>
      <c r="IP256" s="2583"/>
      <c r="IQ256" s="2583"/>
      <c r="IR256" s="2583"/>
      <c r="IS256" s="2583"/>
      <c r="IT256" s="2583"/>
      <c r="IU256" s="2583"/>
      <c r="IV256" s="2583"/>
    </row>
    <row r="257" spans="3:256">
      <c r="C257" s="2584"/>
      <c r="D257" s="2584"/>
      <c r="E257" s="2584"/>
      <c r="F257" s="2584"/>
      <c r="G257" s="2584"/>
      <c r="H257" s="2584"/>
      <c r="AC257" s="2583"/>
      <c r="AD257" s="2583"/>
      <c r="AE257" s="2583"/>
      <c r="AF257" s="2583"/>
      <c r="AG257" s="2583"/>
      <c r="AH257" s="2583"/>
      <c r="AI257" s="2583"/>
      <c r="AJ257" s="2583"/>
      <c r="AK257" s="2583"/>
      <c r="AL257" s="2583"/>
      <c r="AM257" s="2583"/>
      <c r="AN257" s="2583"/>
      <c r="AO257" s="2583"/>
      <c r="AP257" s="2583"/>
      <c r="AQ257" s="2583"/>
      <c r="AR257" s="2583"/>
      <c r="AS257" s="2583"/>
      <c r="AT257" s="2583"/>
      <c r="AU257" s="2583"/>
      <c r="AV257" s="2583"/>
      <c r="AW257" s="2583"/>
      <c r="AX257" s="2583"/>
      <c r="AY257" s="2583"/>
      <c r="AZ257" s="2583"/>
      <c r="BA257" s="2583"/>
      <c r="BB257" s="2583"/>
      <c r="BC257" s="2583"/>
      <c r="BD257" s="2583"/>
      <c r="BE257" s="2583"/>
      <c r="BF257" s="2583"/>
      <c r="BG257" s="2583"/>
      <c r="BH257" s="2583"/>
      <c r="BI257" s="2583"/>
      <c r="BJ257" s="2583"/>
      <c r="BK257" s="2583"/>
      <c r="BL257" s="2583"/>
      <c r="BM257" s="2583"/>
      <c r="BN257" s="2583"/>
      <c r="BO257" s="2583"/>
      <c r="BP257" s="2583"/>
      <c r="BQ257" s="2583"/>
      <c r="BR257" s="2583"/>
      <c r="BS257" s="2583"/>
      <c r="BT257" s="2583"/>
      <c r="BU257" s="2583"/>
      <c r="BV257" s="2583"/>
      <c r="BW257" s="2583"/>
      <c r="BX257" s="2583"/>
      <c r="BY257" s="2583"/>
      <c r="BZ257" s="2583"/>
      <c r="CA257" s="2583"/>
      <c r="CB257" s="2583"/>
      <c r="CC257" s="2583"/>
      <c r="CD257" s="2583"/>
      <c r="CE257" s="2583"/>
      <c r="CF257" s="2583"/>
      <c r="CG257" s="2583"/>
      <c r="CH257" s="2583"/>
      <c r="CI257" s="2583"/>
      <c r="CJ257" s="2583"/>
      <c r="CK257" s="2583"/>
      <c r="CL257" s="2583"/>
      <c r="CM257" s="2583"/>
      <c r="CN257" s="2583"/>
      <c r="CO257" s="2583"/>
      <c r="CP257" s="2583"/>
      <c r="CQ257" s="2583"/>
      <c r="CR257" s="2583"/>
      <c r="CS257" s="2583"/>
      <c r="CT257" s="2583"/>
      <c r="CU257" s="2583"/>
      <c r="CV257" s="2583"/>
      <c r="CW257" s="2583"/>
      <c r="CX257" s="2583"/>
      <c r="CY257" s="2583"/>
      <c r="CZ257" s="2583"/>
      <c r="DA257" s="2583"/>
      <c r="DB257" s="2583"/>
      <c r="DC257" s="2583"/>
      <c r="DD257" s="2583"/>
      <c r="DE257" s="2583"/>
      <c r="DF257" s="2583"/>
      <c r="DG257" s="2583"/>
      <c r="DH257" s="2583"/>
      <c r="DI257" s="2583"/>
      <c r="DJ257" s="2583"/>
      <c r="DK257" s="2583"/>
      <c r="DL257" s="2583"/>
      <c r="DM257" s="2583"/>
      <c r="DN257" s="2583"/>
      <c r="DO257" s="2583"/>
      <c r="DP257" s="2583"/>
      <c r="DQ257" s="2583"/>
      <c r="DR257" s="2583"/>
      <c r="DS257" s="2583"/>
      <c r="DT257" s="2583"/>
      <c r="DU257" s="2583"/>
      <c r="DV257" s="2583"/>
      <c r="DW257" s="2583"/>
      <c r="DX257" s="2583"/>
      <c r="DY257" s="2583"/>
      <c r="DZ257" s="2583"/>
      <c r="EA257" s="2583"/>
      <c r="EB257" s="2583"/>
      <c r="EC257" s="2583"/>
      <c r="ED257" s="2583"/>
      <c r="EE257" s="2583"/>
      <c r="EF257" s="2583"/>
      <c r="EG257" s="2583"/>
      <c r="EH257" s="2583"/>
      <c r="EI257" s="2583"/>
      <c r="EJ257" s="2583"/>
      <c r="EK257" s="2583"/>
      <c r="EL257" s="2583"/>
      <c r="EM257" s="2583"/>
      <c r="EN257" s="2583"/>
      <c r="EO257" s="2583"/>
      <c r="EP257" s="2583"/>
      <c r="EQ257" s="2583"/>
      <c r="ER257" s="2583"/>
      <c r="ES257" s="2583"/>
      <c r="ET257" s="2583"/>
      <c r="EU257" s="2583"/>
      <c r="EV257" s="2583"/>
      <c r="EW257" s="2583"/>
      <c r="EX257" s="2583"/>
      <c r="EY257" s="2583"/>
      <c r="EZ257" s="2583"/>
      <c r="FA257" s="2583"/>
      <c r="FB257" s="2583"/>
      <c r="FC257" s="2583"/>
      <c r="FD257" s="2583"/>
      <c r="FE257" s="2583"/>
      <c r="FF257" s="2583"/>
      <c r="FG257" s="2583"/>
      <c r="FH257" s="2583"/>
      <c r="FI257" s="2583"/>
      <c r="FJ257" s="2583"/>
      <c r="FK257" s="2583"/>
      <c r="FL257" s="2583"/>
      <c r="FM257" s="2583"/>
      <c r="FN257" s="2583"/>
      <c r="FO257" s="2583"/>
      <c r="FP257" s="2583"/>
      <c r="FQ257" s="2583"/>
      <c r="FR257" s="2583"/>
      <c r="FS257" s="2583"/>
      <c r="FT257" s="2583"/>
      <c r="FU257" s="2583"/>
      <c r="FV257" s="2583"/>
      <c r="FW257" s="2583"/>
      <c r="FX257" s="2583"/>
      <c r="FY257" s="2583"/>
      <c r="FZ257" s="2583"/>
      <c r="GA257" s="2583"/>
      <c r="GB257" s="2583"/>
      <c r="GC257" s="2583"/>
      <c r="GD257" s="2583"/>
      <c r="GE257" s="2583"/>
      <c r="GF257" s="2583"/>
      <c r="GG257" s="2583"/>
      <c r="GH257" s="2583"/>
      <c r="GI257" s="2583"/>
      <c r="GJ257" s="2583"/>
      <c r="GK257" s="2583"/>
      <c r="GL257" s="2583"/>
      <c r="GM257" s="2583"/>
      <c r="GN257" s="2583"/>
      <c r="GO257" s="2583"/>
      <c r="GP257" s="2583"/>
      <c r="GQ257" s="2583"/>
      <c r="GR257" s="2583"/>
      <c r="GS257" s="2583"/>
      <c r="GT257" s="2583"/>
      <c r="GU257" s="2583"/>
      <c r="GV257" s="2583"/>
      <c r="GW257" s="2583"/>
      <c r="GX257" s="2583"/>
      <c r="GY257" s="2583"/>
      <c r="GZ257" s="2583"/>
      <c r="HA257" s="2583"/>
      <c r="HB257" s="2583"/>
      <c r="HC257" s="2583"/>
      <c r="HD257" s="2583"/>
      <c r="HE257" s="2583"/>
      <c r="HF257" s="2583"/>
      <c r="HG257" s="2583"/>
      <c r="HH257" s="2583"/>
      <c r="HI257" s="2583"/>
      <c r="HJ257" s="2583"/>
      <c r="HK257" s="2583"/>
      <c r="HL257" s="2583"/>
      <c r="HM257" s="2583"/>
      <c r="HN257" s="2583"/>
      <c r="HO257" s="2583"/>
      <c r="HP257" s="2583"/>
      <c r="HQ257" s="2583"/>
      <c r="HR257" s="2583"/>
      <c r="HS257" s="2583"/>
      <c r="HT257" s="2583"/>
      <c r="HU257" s="2583"/>
      <c r="HV257" s="2583"/>
      <c r="HW257" s="2583"/>
      <c r="HX257" s="2583"/>
      <c r="HY257" s="2583"/>
      <c r="HZ257" s="2583"/>
      <c r="IA257" s="2583"/>
      <c r="IB257" s="2583"/>
      <c r="IC257" s="2583"/>
      <c r="ID257" s="2583"/>
      <c r="IE257" s="2583"/>
      <c r="IF257" s="2583"/>
      <c r="IG257" s="2583"/>
      <c r="IH257" s="2583"/>
      <c r="II257" s="2583"/>
      <c r="IJ257" s="2583"/>
      <c r="IK257" s="2583"/>
      <c r="IL257" s="2583"/>
      <c r="IM257" s="2583"/>
      <c r="IN257" s="2583"/>
      <c r="IO257" s="2583"/>
      <c r="IP257" s="2583"/>
      <c r="IQ257" s="2583"/>
      <c r="IR257" s="2583"/>
      <c r="IS257" s="2583"/>
      <c r="IT257" s="2583"/>
      <c r="IU257" s="2583"/>
      <c r="IV257" s="2583"/>
    </row>
    <row r="258" spans="3:256">
      <c r="C258" s="2584"/>
      <c r="D258" s="2584"/>
      <c r="E258" s="2584"/>
      <c r="F258" s="2584"/>
      <c r="G258" s="2584"/>
      <c r="H258" s="2584"/>
      <c r="AC258" s="2583"/>
      <c r="AD258" s="2583"/>
      <c r="AE258" s="2583"/>
      <c r="AF258" s="2583"/>
      <c r="AG258" s="2583"/>
      <c r="AH258" s="2583"/>
      <c r="AI258" s="2583"/>
      <c r="AJ258" s="2583"/>
      <c r="AK258" s="2583"/>
      <c r="AL258" s="2583"/>
      <c r="AM258" s="2583"/>
      <c r="AN258" s="2583"/>
      <c r="AO258" s="2583"/>
      <c r="AP258" s="2583"/>
      <c r="AQ258" s="2583"/>
      <c r="AR258" s="2583"/>
      <c r="AS258" s="2583"/>
      <c r="AT258" s="2583"/>
      <c r="AU258" s="2583"/>
      <c r="AV258" s="2583"/>
      <c r="AW258" s="2583"/>
      <c r="AX258" s="2583"/>
      <c r="AY258" s="2583"/>
      <c r="AZ258" s="2583"/>
      <c r="BA258" s="2583"/>
      <c r="BB258" s="2583"/>
      <c r="BC258" s="2583"/>
      <c r="BD258" s="2583"/>
      <c r="BE258" s="2583"/>
      <c r="BF258" s="2583"/>
      <c r="BG258" s="2583"/>
      <c r="BH258" s="2583"/>
      <c r="BI258" s="2583"/>
      <c r="BJ258" s="2583"/>
      <c r="BK258" s="2583"/>
      <c r="BL258" s="2583"/>
      <c r="BM258" s="2583"/>
      <c r="BN258" s="2583"/>
      <c r="BO258" s="2583"/>
      <c r="BP258" s="2583"/>
      <c r="BQ258" s="2583"/>
      <c r="BR258" s="2583"/>
      <c r="BS258" s="2583"/>
      <c r="BT258" s="2583"/>
      <c r="BU258" s="2583"/>
      <c r="BV258" s="2583"/>
      <c r="BW258" s="2583"/>
      <c r="BX258" s="2583"/>
      <c r="BY258" s="2583"/>
      <c r="BZ258" s="2583"/>
      <c r="CA258" s="2583"/>
      <c r="CB258" s="2583"/>
      <c r="CC258" s="2583"/>
      <c r="CD258" s="2583"/>
      <c r="CE258" s="2583"/>
      <c r="CF258" s="2583"/>
      <c r="CG258" s="2583"/>
      <c r="CH258" s="2583"/>
      <c r="CI258" s="2583"/>
      <c r="CJ258" s="2583"/>
      <c r="CK258" s="2583"/>
      <c r="CL258" s="2583"/>
      <c r="CM258" s="2583"/>
      <c r="CN258" s="2583"/>
      <c r="CO258" s="2583"/>
      <c r="CP258" s="2583"/>
      <c r="CQ258" s="2583"/>
      <c r="CR258" s="2583"/>
      <c r="CS258" s="2583"/>
      <c r="CT258" s="2583"/>
      <c r="CU258" s="2583"/>
      <c r="CV258" s="2583"/>
      <c r="CW258" s="2583"/>
      <c r="CX258" s="2583"/>
      <c r="CY258" s="2583"/>
      <c r="CZ258" s="2583"/>
      <c r="DA258" s="2583"/>
      <c r="DB258" s="2583"/>
      <c r="DC258" s="2583"/>
      <c r="DD258" s="2583"/>
      <c r="DE258" s="2583"/>
      <c r="DF258" s="2583"/>
      <c r="DG258" s="2583"/>
      <c r="DH258" s="2583"/>
      <c r="DI258" s="2583"/>
      <c r="DJ258" s="2583"/>
      <c r="DK258" s="2583"/>
      <c r="DL258" s="2583"/>
      <c r="DM258" s="2583"/>
      <c r="DN258" s="2583"/>
      <c r="DO258" s="2583"/>
      <c r="DP258" s="2583"/>
      <c r="DQ258" s="2583"/>
      <c r="DR258" s="2583"/>
      <c r="DS258" s="2583"/>
      <c r="DT258" s="2583"/>
      <c r="DU258" s="2583"/>
      <c r="DV258" s="2583"/>
      <c r="DW258" s="2583"/>
      <c r="DX258" s="2583"/>
      <c r="DY258" s="2583"/>
      <c r="DZ258" s="2583"/>
      <c r="EA258" s="2583"/>
      <c r="EB258" s="2583"/>
      <c r="EC258" s="2583"/>
      <c r="ED258" s="2583"/>
      <c r="EE258" s="2583"/>
      <c r="EF258" s="2583"/>
      <c r="EG258" s="2583"/>
      <c r="EH258" s="2583"/>
      <c r="EI258" s="2583"/>
      <c r="EJ258" s="2583"/>
      <c r="EK258" s="2583"/>
      <c r="EL258" s="2583"/>
      <c r="EM258" s="2583"/>
      <c r="EN258" s="2583"/>
      <c r="EO258" s="2583"/>
      <c r="EP258" s="2583"/>
      <c r="EQ258" s="2583"/>
      <c r="ER258" s="2583"/>
      <c r="ES258" s="2583"/>
      <c r="ET258" s="2583"/>
      <c r="EU258" s="2583"/>
      <c r="EV258" s="2583"/>
      <c r="EW258" s="2583"/>
      <c r="EX258" s="2583"/>
      <c r="EY258" s="2583"/>
      <c r="EZ258" s="2583"/>
      <c r="FA258" s="2583"/>
      <c r="FB258" s="2583"/>
      <c r="FC258" s="2583"/>
      <c r="FD258" s="2583"/>
      <c r="FE258" s="2583"/>
      <c r="FF258" s="2583"/>
      <c r="FG258" s="2583"/>
      <c r="FH258" s="2583"/>
      <c r="FI258" s="2583"/>
      <c r="FJ258" s="2583"/>
      <c r="FK258" s="2583"/>
      <c r="FL258" s="2583"/>
      <c r="FM258" s="2583"/>
      <c r="FN258" s="2583"/>
      <c r="FO258" s="2583"/>
      <c r="FP258" s="2583"/>
      <c r="FQ258" s="2583"/>
      <c r="FR258" s="2583"/>
      <c r="FS258" s="2583"/>
      <c r="FT258" s="2583"/>
      <c r="FU258" s="2583"/>
      <c r="FV258" s="2583"/>
      <c r="FW258" s="2583"/>
      <c r="FX258" s="2583"/>
      <c r="FY258" s="2583"/>
      <c r="FZ258" s="2583"/>
      <c r="GA258" s="2583"/>
      <c r="GB258" s="2583"/>
      <c r="GC258" s="2583"/>
      <c r="GD258" s="2583"/>
      <c r="GE258" s="2583"/>
      <c r="GF258" s="2583"/>
      <c r="GG258" s="2583"/>
      <c r="GH258" s="2583"/>
      <c r="GI258" s="2583"/>
      <c r="GJ258" s="2583"/>
      <c r="GK258" s="2583"/>
      <c r="GL258" s="2583"/>
      <c r="GM258" s="2583"/>
      <c r="GN258" s="2583"/>
      <c r="GO258" s="2583"/>
      <c r="GP258" s="2583"/>
      <c r="GQ258" s="2583"/>
      <c r="GR258" s="2583"/>
      <c r="GS258" s="2583"/>
      <c r="GT258" s="2583"/>
      <c r="GU258" s="2583"/>
      <c r="GV258" s="2583"/>
      <c r="GW258" s="2583"/>
      <c r="GX258" s="2583"/>
      <c r="GY258" s="2583"/>
      <c r="GZ258" s="2583"/>
      <c r="HA258" s="2583"/>
      <c r="HB258" s="2583"/>
      <c r="HC258" s="2583"/>
      <c r="HD258" s="2583"/>
      <c r="HE258" s="2583"/>
      <c r="HF258" s="2583"/>
      <c r="HG258" s="2583"/>
      <c r="HH258" s="2583"/>
      <c r="HI258" s="2583"/>
      <c r="HJ258" s="2583"/>
      <c r="HK258" s="2583"/>
      <c r="HL258" s="2583"/>
      <c r="HM258" s="2583"/>
      <c r="HN258" s="2583"/>
      <c r="HO258" s="2583"/>
      <c r="HP258" s="2583"/>
      <c r="HQ258" s="2583"/>
      <c r="HR258" s="2583"/>
      <c r="HS258" s="2583"/>
      <c r="HT258" s="2583"/>
      <c r="HU258" s="2583"/>
      <c r="HV258" s="2583"/>
      <c r="HW258" s="2583"/>
      <c r="HX258" s="2583"/>
      <c r="HY258" s="2583"/>
      <c r="HZ258" s="2583"/>
      <c r="IA258" s="2583"/>
      <c r="IB258" s="2583"/>
      <c r="IC258" s="2583"/>
      <c r="ID258" s="2583"/>
      <c r="IE258" s="2583"/>
      <c r="IF258" s="2583"/>
      <c r="IG258" s="2583"/>
      <c r="IH258" s="2583"/>
      <c r="II258" s="2583"/>
      <c r="IJ258" s="2583"/>
      <c r="IK258" s="2583"/>
      <c r="IL258" s="2583"/>
      <c r="IM258" s="2583"/>
      <c r="IN258" s="2583"/>
      <c r="IO258" s="2583"/>
      <c r="IP258" s="2583"/>
      <c r="IQ258" s="2583"/>
      <c r="IR258" s="2583"/>
      <c r="IS258" s="2583"/>
      <c r="IT258" s="2583"/>
      <c r="IU258" s="2583"/>
      <c r="IV258" s="2583"/>
    </row>
    <row r="259" spans="3:256">
      <c r="C259" s="2584"/>
      <c r="D259" s="2584"/>
      <c r="E259" s="2584"/>
      <c r="F259" s="2584"/>
      <c r="G259" s="2584"/>
      <c r="H259" s="2584"/>
      <c r="AC259" s="2583"/>
      <c r="AD259" s="2583"/>
      <c r="AE259" s="2583"/>
      <c r="AF259" s="2583"/>
      <c r="AG259" s="2583"/>
      <c r="AH259" s="2583"/>
      <c r="AI259" s="2583"/>
      <c r="AJ259" s="2583"/>
      <c r="AK259" s="2583"/>
      <c r="AL259" s="2583"/>
      <c r="AM259" s="2583"/>
      <c r="AN259" s="2583"/>
      <c r="AO259" s="2583"/>
      <c r="AP259" s="2583"/>
      <c r="AQ259" s="2583"/>
      <c r="AR259" s="2583"/>
      <c r="AS259" s="2583"/>
      <c r="AT259" s="2583"/>
      <c r="AU259" s="2583"/>
      <c r="AV259" s="2583"/>
      <c r="AW259" s="2583"/>
      <c r="AX259" s="2583"/>
      <c r="AY259" s="2583"/>
      <c r="AZ259" s="2583"/>
      <c r="BA259" s="2583"/>
      <c r="BB259" s="2583"/>
      <c r="BC259" s="2583"/>
      <c r="BD259" s="2583"/>
      <c r="BE259" s="2583"/>
      <c r="BF259" s="2583"/>
      <c r="BG259" s="2583"/>
      <c r="BH259" s="2583"/>
      <c r="BI259" s="2583"/>
      <c r="BJ259" s="2583"/>
      <c r="BK259" s="2583"/>
      <c r="BL259" s="2583"/>
      <c r="BM259" s="2583"/>
      <c r="BN259" s="2583"/>
      <c r="BO259" s="2583"/>
      <c r="BP259" s="2583"/>
      <c r="BQ259" s="2583"/>
      <c r="BR259" s="2583"/>
      <c r="BS259" s="2583"/>
      <c r="BT259" s="2583"/>
      <c r="BU259" s="2583"/>
      <c r="BV259" s="2583"/>
      <c r="BW259" s="2583"/>
      <c r="BX259" s="2583"/>
      <c r="BY259" s="2583"/>
      <c r="BZ259" s="2583"/>
      <c r="CA259" s="2583"/>
      <c r="CB259" s="2583"/>
      <c r="CC259" s="2583"/>
      <c r="CD259" s="2583"/>
      <c r="CE259" s="2583"/>
      <c r="CF259" s="2583"/>
      <c r="CG259" s="2583"/>
      <c r="CH259" s="2583"/>
      <c r="CI259" s="2583"/>
      <c r="CJ259" s="2583"/>
      <c r="CK259" s="2583"/>
      <c r="CL259" s="2583"/>
      <c r="CM259" s="2583"/>
      <c r="CN259" s="2583"/>
      <c r="CO259" s="2583"/>
      <c r="CP259" s="2583"/>
      <c r="CQ259" s="2583"/>
      <c r="CR259" s="2583"/>
      <c r="CS259" s="2583"/>
      <c r="CT259" s="2583"/>
      <c r="CU259" s="2583"/>
      <c r="CV259" s="2583"/>
      <c r="CW259" s="2583"/>
      <c r="CX259" s="2583"/>
      <c r="CY259" s="2583"/>
      <c r="CZ259" s="2583"/>
      <c r="DA259" s="2583"/>
      <c r="DB259" s="2583"/>
      <c r="DC259" s="2583"/>
      <c r="DD259" s="2583"/>
      <c r="DE259" s="2583"/>
      <c r="DF259" s="2583"/>
      <c r="DG259" s="2583"/>
      <c r="DH259" s="2583"/>
      <c r="DI259" s="2583"/>
      <c r="DJ259" s="2583"/>
      <c r="DK259" s="2583"/>
      <c r="DL259" s="2583"/>
      <c r="DM259" s="2583"/>
      <c r="DN259" s="2583"/>
      <c r="DO259" s="2583"/>
      <c r="DP259" s="2583"/>
      <c r="DQ259" s="2583"/>
      <c r="DR259" s="2583"/>
      <c r="DS259" s="2583"/>
      <c r="DT259" s="2583"/>
      <c r="DU259" s="2583"/>
      <c r="DV259" s="2583"/>
      <c r="DW259" s="2583"/>
      <c r="DX259" s="2583"/>
      <c r="DY259" s="2583"/>
      <c r="DZ259" s="2583"/>
      <c r="EA259" s="2583"/>
      <c r="EB259" s="2583"/>
      <c r="EC259" s="2583"/>
      <c r="ED259" s="2583"/>
      <c r="EE259" s="2583"/>
      <c r="EF259" s="2583"/>
      <c r="EG259" s="2583"/>
      <c r="EH259" s="2583"/>
      <c r="EI259" s="2583"/>
      <c r="EJ259" s="2583"/>
      <c r="EK259" s="2583"/>
      <c r="EL259" s="2583"/>
      <c r="EM259" s="2583"/>
      <c r="EN259" s="2583"/>
      <c r="EO259" s="2583"/>
      <c r="EP259" s="2583"/>
      <c r="EQ259" s="2583"/>
      <c r="ER259" s="2583"/>
      <c r="ES259" s="2583"/>
      <c r="ET259" s="2583"/>
      <c r="EU259" s="2583"/>
      <c r="EV259" s="2583"/>
      <c r="EW259" s="2583"/>
      <c r="EX259" s="2583"/>
      <c r="EY259" s="2583"/>
      <c r="EZ259" s="2583"/>
      <c r="FA259" s="2583"/>
      <c r="FB259" s="2583"/>
      <c r="FC259" s="2583"/>
      <c r="FD259" s="2583"/>
      <c r="FE259" s="2583"/>
      <c r="FF259" s="2583"/>
      <c r="FG259" s="2583"/>
      <c r="FH259" s="2583"/>
      <c r="FI259" s="2583"/>
      <c r="FJ259" s="2583"/>
      <c r="FK259" s="2583"/>
      <c r="FL259" s="2583"/>
      <c r="FM259" s="2583"/>
      <c r="FN259" s="2583"/>
      <c r="FO259" s="2583"/>
      <c r="FP259" s="2583"/>
      <c r="FQ259" s="2583"/>
      <c r="FR259" s="2583"/>
      <c r="FS259" s="2583"/>
      <c r="FT259" s="2583"/>
      <c r="FU259" s="2583"/>
      <c r="FV259" s="2583"/>
      <c r="FW259" s="2583"/>
      <c r="FX259" s="2583"/>
      <c r="FY259" s="2583"/>
      <c r="FZ259" s="2583"/>
      <c r="GA259" s="2583"/>
      <c r="GB259" s="2583"/>
      <c r="GC259" s="2583"/>
      <c r="GD259" s="2583"/>
      <c r="GE259" s="2583"/>
      <c r="GF259" s="2583"/>
      <c r="GG259" s="2583"/>
      <c r="GH259" s="2583"/>
      <c r="GI259" s="2583"/>
      <c r="GJ259" s="2583"/>
      <c r="GK259" s="2583"/>
      <c r="GL259" s="2583"/>
      <c r="GM259" s="2583"/>
      <c r="GN259" s="2583"/>
      <c r="GO259" s="2583"/>
      <c r="GP259" s="2583"/>
      <c r="GQ259" s="2583"/>
      <c r="GR259" s="2583"/>
      <c r="GS259" s="2583"/>
      <c r="GT259" s="2583"/>
      <c r="GU259" s="2583"/>
      <c r="GV259" s="2583"/>
      <c r="GW259" s="2583"/>
      <c r="GX259" s="2583"/>
      <c r="GY259" s="2583"/>
      <c r="GZ259" s="2583"/>
      <c r="HA259" s="2583"/>
      <c r="HB259" s="2583"/>
      <c r="HC259" s="2583"/>
      <c r="HD259" s="2583"/>
      <c r="HE259" s="2583"/>
      <c r="HF259" s="2583"/>
      <c r="HG259" s="2583"/>
      <c r="HH259" s="2583"/>
      <c r="HI259" s="2583"/>
      <c r="HJ259" s="2583"/>
      <c r="HK259" s="2583"/>
      <c r="HL259" s="2583"/>
      <c r="HM259" s="2583"/>
      <c r="HN259" s="2583"/>
      <c r="HO259" s="2583"/>
      <c r="HP259" s="2583"/>
      <c r="HQ259" s="2583"/>
      <c r="HR259" s="2583"/>
      <c r="HS259" s="2583"/>
      <c r="HT259" s="2583"/>
      <c r="HU259" s="2583"/>
      <c r="HV259" s="2583"/>
      <c r="HW259" s="2583"/>
      <c r="HX259" s="2583"/>
      <c r="HY259" s="2583"/>
      <c r="HZ259" s="2583"/>
      <c r="IA259" s="2583"/>
      <c r="IB259" s="2583"/>
      <c r="IC259" s="2583"/>
      <c r="ID259" s="2583"/>
      <c r="IE259" s="2583"/>
      <c r="IF259" s="2583"/>
      <c r="IG259" s="2583"/>
      <c r="IH259" s="2583"/>
      <c r="II259" s="2583"/>
      <c r="IJ259" s="2583"/>
      <c r="IK259" s="2583"/>
      <c r="IL259" s="2583"/>
      <c r="IM259" s="2583"/>
      <c r="IN259" s="2583"/>
      <c r="IO259" s="2583"/>
      <c r="IP259" s="2583"/>
      <c r="IQ259" s="2583"/>
      <c r="IR259" s="2583"/>
      <c r="IS259" s="2583"/>
      <c r="IT259" s="2583"/>
      <c r="IU259" s="2583"/>
      <c r="IV259" s="2583"/>
    </row>
    <row r="260" spans="3:256">
      <c r="C260" s="2584"/>
      <c r="D260" s="2584"/>
      <c r="E260" s="2584"/>
      <c r="F260" s="2584"/>
      <c r="G260" s="2584"/>
      <c r="H260" s="2584"/>
      <c r="AC260" s="2583"/>
      <c r="AD260" s="2583"/>
      <c r="AE260" s="2583"/>
      <c r="AF260" s="2583"/>
      <c r="AG260" s="2583"/>
      <c r="AH260" s="2583"/>
      <c r="AI260" s="2583"/>
      <c r="AJ260" s="2583"/>
      <c r="AK260" s="2583"/>
      <c r="AL260" s="2583"/>
      <c r="AM260" s="2583"/>
      <c r="AN260" s="2583"/>
      <c r="AO260" s="2583"/>
      <c r="AP260" s="2583"/>
      <c r="AQ260" s="2583"/>
      <c r="AR260" s="2583"/>
      <c r="AS260" s="2583"/>
      <c r="AT260" s="2583"/>
      <c r="AU260" s="2583"/>
      <c r="AV260" s="2583"/>
      <c r="AW260" s="2583"/>
      <c r="AX260" s="2583"/>
      <c r="AY260" s="2583"/>
      <c r="AZ260" s="2583"/>
      <c r="BA260" s="2583"/>
      <c r="BB260" s="2583"/>
      <c r="BC260" s="2583"/>
      <c r="BD260" s="2583"/>
      <c r="BE260" s="2583"/>
      <c r="BF260" s="2583"/>
      <c r="BG260" s="2583"/>
      <c r="BH260" s="2583"/>
      <c r="BI260" s="2583"/>
      <c r="BJ260" s="2583"/>
      <c r="BK260" s="2583"/>
      <c r="BL260" s="2583"/>
      <c r="BM260" s="2583"/>
      <c r="BN260" s="2583"/>
      <c r="BO260" s="2583"/>
      <c r="BP260" s="2583"/>
      <c r="BQ260" s="2583"/>
      <c r="BR260" s="2583"/>
      <c r="BS260" s="2583"/>
      <c r="BT260" s="2583"/>
      <c r="BU260" s="2583"/>
      <c r="BV260" s="2583"/>
      <c r="BW260" s="2583"/>
      <c r="BX260" s="2583"/>
      <c r="BY260" s="2583"/>
      <c r="BZ260" s="2583"/>
      <c r="CA260" s="2583"/>
      <c r="CB260" s="2583"/>
      <c r="CC260" s="2583"/>
      <c r="CD260" s="2583"/>
      <c r="CE260" s="2583"/>
      <c r="CF260" s="2583"/>
      <c r="CG260" s="2583"/>
      <c r="CH260" s="2583"/>
      <c r="CI260" s="2583"/>
      <c r="CJ260" s="2583"/>
      <c r="CK260" s="2583"/>
      <c r="CL260" s="2583"/>
      <c r="CM260" s="2583"/>
      <c r="CN260" s="2583"/>
      <c r="CO260" s="2583"/>
      <c r="CP260" s="2583"/>
      <c r="CQ260" s="2583"/>
      <c r="CR260" s="2583"/>
      <c r="CS260" s="2583"/>
      <c r="CT260" s="2583"/>
      <c r="CU260" s="2583"/>
      <c r="CV260" s="2583"/>
      <c r="CW260" s="2583"/>
      <c r="CX260" s="2583"/>
      <c r="CY260" s="2583"/>
      <c r="CZ260" s="2583"/>
      <c r="DA260" s="2583"/>
      <c r="DB260" s="2583"/>
      <c r="DC260" s="2583"/>
      <c r="DD260" s="2583"/>
      <c r="DE260" s="2583"/>
      <c r="DF260" s="2583"/>
      <c r="DG260" s="2583"/>
      <c r="DH260" s="2583"/>
      <c r="DI260" s="2583"/>
      <c r="DJ260" s="2583"/>
      <c r="DK260" s="2583"/>
      <c r="DL260" s="2583"/>
      <c r="DM260" s="2583"/>
      <c r="DN260" s="2583"/>
      <c r="DO260" s="2583"/>
      <c r="DP260" s="2583"/>
      <c r="DQ260" s="2583"/>
      <c r="DR260" s="2583"/>
      <c r="DS260" s="2583"/>
      <c r="DT260" s="2583"/>
      <c r="DU260" s="2583"/>
      <c r="DV260" s="2583"/>
      <c r="DW260" s="2583"/>
      <c r="DX260" s="2583"/>
      <c r="DY260" s="2583"/>
      <c r="DZ260" s="2583"/>
      <c r="EA260" s="2583"/>
      <c r="EB260" s="2583"/>
      <c r="EC260" s="2583"/>
      <c r="ED260" s="2583"/>
      <c r="EE260" s="2583"/>
      <c r="EF260" s="2583"/>
      <c r="EG260" s="2583"/>
      <c r="EH260" s="2583"/>
      <c r="EI260" s="2583"/>
      <c r="EJ260" s="2583"/>
      <c r="EK260" s="2583"/>
      <c r="EL260" s="2583"/>
      <c r="EM260" s="2583"/>
      <c r="EN260" s="2583"/>
      <c r="EO260" s="2583"/>
      <c r="EP260" s="2583"/>
      <c r="EQ260" s="2583"/>
      <c r="ER260" s="2583"/>
      <c r="ES260" s="2583"/>
      <c r="ET260" s="2583"/>
      <c r="EU260" s="2583"/>
      <c r="EV260" s="2583"/>
      <c r="EW260" s="2583"/>
      <c r="EX260" s="2583"/>
      <c r="EY260" s="2583"/>
      <c r="EZ260" s="2583"/>
      <c r="FA260" s="2583"/>
      <c r="FB260" s="2583"/>
      <c r="FC260" s="2583"/>
      <c r="FD260" s="2583"/>
      <c r="FE260" s="2583"/>
      <c r="FF260" s="2583"/>
      <c r="FG260" s="2583"/>
      <c r="FH260" s="2583"/>
      <c r="FI260" s="2583"/>
      <c r="FJ260" s="2583"/>
      <c r="FK260" s="2583"/>
      <c r="FL260" s="2583"/>
      <c r="FM260" s="2583"/>
      <c r="FN260" s="2583"/>
      <c r="FO260" s="2583"/>
      <c r="FP260" s="2583"/>
      <c r="FQ260" s="2583"/>
      <c r="FR260" s="2583"/>
      <c r="FS260" s="2583"/>
      <c r="FT260" s="2583"/>
      <c r="FU260" s="2583"/>
      <c r="FV260" s="2583"/>
      <c r="FW260" s="2583"/>
      <c r="FX260" s="2583"/>
      <c r="FY260" s="2583"/>
      <c r="FZ260" s="2583"/>
      <c r="GA260" s="2583"/>
      <c r="GB260" s="2583"/>
      <c r="GC260" s="2583"/>
      <c r="GD260" s="2583"/>
      <c r="GE260" s="2583"/>
      <c r="GF260" s="2583"/>
      <c r="GG260" s="2583"/>
      <c r="GH260" s="2583"/>
      <c r="GI260" s="2583"/>
      <c r="GJ260" s="2583"/>
      <c r="GK260" s="2583"/>
      <c r="GL260" s="2583"/>
      <c r="GM260" s="2583"/>
      <c r="GN260" s="2583"/>
      <c r="GO260" s="2583"/>
      <c r="GP260" s="2583"/>
      <c r="GQ260" s="2583"/>
      <c r="GR260" s="2583"/>
      <c r="GS260" s="2583"/>
      <c r="GT260" s="2583"/>
      <c r="GU260" s="2583"/>
      <c r="GV260" s="2583"/>
      <c r="GW260" s="2583"/>
      <c r="GX260" s="2583"/>
      <c r="GY260" s="2583"/>
      <c r="GZ260" s="2583"/>
      <c r="HA260" s="2583"/>
      <c r="HB260" s="2583"/>
      <c r="HC260" s="2583"/>
      <c r="HD260" s="2583"/>
      <c r="HE260" s="2583"/>
      <c r="HF260" s="2583"/>
      <c r="HG260" s="2583"/>
      <c r="HH260" s="2583"/>
      <c r="HI260" s="2583"/>
      <c r="HJ260" s="2583"/>
      <c r="HK260" s="2583"/>
      <c r="HL260" s="2583"/>
      <c r="HM260" s="2583"/>
      <c r="HN260" s="2583"/>
      <c r="HO260" s="2583"/>
      <c r="HP260" s="2583"/>
      <c r="HQ260" s="2583"/>
      <c r="HR260" s="2583"/>
      <c r="HS260" s="2583"/>
      <c r="HT260" s="2583"/>
      <c r="HU260" s="2583"/>
      <c r="HV260" s="2583"/>
      <c r="HW260" s="2583"/>
      <c r="HX260" s="2583"/>
      <c r="HY260" s="2583"/>
      <c r="HZ260" s="2583"/>
      <c r="IA260" s="2583"/>
      <c r="IB260" s="2583"/>
      <c r="IC260" s="2583"/>
      <c r="ID260" s="2583"/>
      <c r="IE260" s="2583"/>
      <c r="IF260" s="2583"/>
      <c r="IG260" s="2583"/>
      <c r="IH260" s="2583"/>
      <c r="II260" s="2583"/>
      <c r="IJ260" s="2583"/>
      <c r="IK260" s="2583"/>
      <c r="IL260" s="2583"/>
      <c r="IM260" s="2583"/>
      <c r="IN260" s="2583"/>
      <c r="IO260" s="2583"/>
      <c r="IP260" s="2583"/>
      <c r="IQ260" s="2583"/>
      <c r="IR260" s="2583"/>
      <c r="IS260" s="2583"/>
      <c r="IT260" s="2583"/>
      <c r="IU260" s="2583"/>
      <c r="IV260" s="2583"/>
    </row>
    <row r="261" spans="3:256">
      <c r="C261" s="2584"/>
      <c r="D261" s="2584"/>
      <c r="E261" s="2584"/>
      <c r="F261" s="2584"/>
      <c r="G261" s="2584"/>
      <c r="H261" s="2584"/>
      <c r="AC261" s="2583"/>
      <c r="AD261" s="2583"/>
      <c r="AE261" s="2583"/>
      <c r="AF261" s="2583"/>
      <c r="AG261" s="2583"/>
      <c r="AH261" s="2583"/>
      <c r="AI261" s="2583"/>
      <c r="AJ261" s="2583"/>
      <c r="AK261" s="2583"/>
      <c r="AL261" s="2583"/>
      <c r="AM261" s="2583"/>
      <c r="AN261" s="2583"/>
      <c r="AO261" s="2583"/>
      <c r="AP261" s="2583"/>
      <c r="AQ261" s="2583"/>
      <c r="AR261" s="2583"/>
      <c r="AS261" s="2583"/>
      <c r="AT261" s="2583"/>
      <c r="AU261" s="2583"/>
      <c r="AV261" s="2583"/>
      <c r="AW261" s="2583"/>
      <c r="AX261" s="2583"/>
      <c r="AY261" s="2583"/>
      <c r="AZ261" s="2583"/>
      <c r="BA261" s="2583"/>
      <c r="BB261" s="2583"/>
      <c r="BC261" s="2583"/>
      <c r="BD261" s="2583"/>
      <c r="BE261" s="2583"/>
      <c r="BF261" s="2583"/>
      <c r="BG261" s="2583"/>
      <c r="BH261" s="2583"/>
      <c r="BI261" s="2583"/>
      <c r="BJ261" s="2583"/>
      <c r="BK261" s="2583"/>
      <c r="BL261" s="2583"/>
      <c r="BM261" s="2583"/>
      <c r="BN261" s="2583"/>
      <c r="BO261" s="2583"/>
      <c r="BP261" s="2583"/>
      <c r="BQ261" s="2583"/>
      <c r="BR261" s="2583"/>
      <c r="BS261" s="2583"/>
      <c r="BT261" s="2583"/>
      <c r="BU261" s="2583"/>
      <c r="BV261" s="2583"/>
      <c r="BW261" s="2583"/>
      <c r="BX261" s="2583"/>
      <c r="BY261" s="2583"/>
      <c r="BZ261" s="2583"/>
      <c r="CA261" s="2583"/>
      <c r="CB261" s="2583"/>
      <c r="CC261" s="2583"/>
      <c r="CD261" s="2583"/>
      <c r="CE261" s="2583"/>
      <c r="CF261" s="2583"/>
      <c r="CG261" s="2583"/>
      <c r="CH261" s="2583"/>
      <c r="CI261" s="2583"/>
      <c r="CJ261" s="2583"/>
      <c r="CK261" s="2583"/>
      <c r="CL261" s="2583"/>
      <c r="CM261" s="2583"/>
      <c r="CN261" s="2583"/>
      <c r="CO261" s="2583"/>
      <c r="CP261" s="2583"/>
      <c r="CQ261" s="2583"/>
      <c r="CR261" s="2583"/>
      <c r="CS261" s="2583"/>
      <c r="CT261" s="2583"/>
      <c r="CU261" s="2583"/>
      <c r="CV261" s="2583"/>
      <c r="CW261" s="2583"/>
      <c r="CX261" s="2583"/>
      <c r="CY261" s="2583"/>
      <c r="CZ261" s="2583"/>
      <c r="DA261" s="2583"/>
      <c r="DB261" s="2583"/>
      <c r="DC261" s="2583"/>
      <c r="DD261" s="2583"/>
      <c r="DE261" s="2583"/>
      <c r="DF261" s="2583"/>
      <c r="DG261" s="2583"/>
      <c r="DH261" s="2583"/>
      <c r="DI261" s="2583"/>
      <c r="DJ261" s="2583"/>
      <c r="DK261" s="2583"/>
      <c r="DL261" s="2583"/>
      <c r="DM261" s="2583"/>
      <c r="DN261" s="2583"/>
      <c r="DO261" s="2583"/>
      <c r="DP261" s="2583"/>
      <c r="DQ261" s="2583"/>
      <c r="DR261" s="2583"/>
      <c r="DS261" s="2583"/>
      <c r="DT261" s="2583"/>
      <c r="DU261" s="2583"/>
      <c r="DV261" s="2583"/>
      <c r="DW261" s="2583"/>
      <c r="DX261" s="2583"/>
      <c r="DY261" s="2583"/>
      <c r="DZ261" s="2583"/>
      <c r="EA261" s="2583"/>
      <c r="EB261" s="2583"/>
      <c r="EC261" s="2583"/>
      <c r="ED261" s="2583"/>
      <c r="EE261" s="2583"/>
      <c r="EF261" s="2583"/>
      <c r="EG261" s="2583"/>
      <c r="EH261" s="2583"/>
      <c r="EI261" s="2583"/>
      <c r="EJ261" s="2583"/>
      <c r="EK261" s="2583"/>
      <c r="EL261" s="2583"/>
      <c r="EM261" s="2583"/>
      <c r="EN261" s="2583"/>
      <c r="EO261" s="2583"/>
      <c r="EP261" s="2583"/>
      <c r="EQ261" s="2583"/>
      <c r="ER261" s="2583"/>
      <c r="ES261" s="2583"/>
      <c r="ET261" s="2583"/>
      <c r="EU261" s="2583"/>
      <c r="EV261" s="2583"/>
      <c r="EW261" s="2583"/>
      <c r="EX261" s="2583"/>
      <c r="EY261" s="2583"/>
      <c r="EZ261" s="2583"/>
      <c r="FA261" s="2583"/>
      <c r="FB261" s="2583"/>
      <c r="FC261" s="2583"/>
      <c r="FD261" s="2583"/>
      <c r="FE261" s="2583"/>
      <c r="FF261" s="2583"/>
      <c r="FG261" s="2583"/>
      <c r="FH261" s="2583"/>
      <c r="FI261" s="2583"/>
      <c r="FJ261" s="2583"/>
      <c r="FK261" s="2583"/>
      <c r="FL261" s="2583"/>
      <c r="FM261" s="2583"/>
      <c r="FN261" s="2583"/>
      <c r="FO261" s="2583"/>
      <c r="FP261" s="2583"/>
      <c r="FQ261" s="2583"/>
      <c r="FR261" s="2583"/>
      <c r="FS261" s="2583"/>
      <c r="FT261" s="2583"/>
      <c r="FU261" s="2583"/>
      <c r="FV261" s="2583"/>
      <c r="FW261" s="2583"/>
      <c r="FX261" s="2583"/>
      <c r="FY261" s="2583"/>
      <c r="FZ261" s="2583"/>
      <c r="GA261" s="2583"/>
      <c r="GB261" s="2583"/>
      <c r="GC261" s="2583"/>
      <c r="GD261" s="2583"/>
      <c r="GE261" s="2583"/>
      <c r="GF261" s="2583"/>
      <c r="GG261" s="2583"/>
      <c r="GH261" s="2583"/>
      <c r="GI261" s="2583"/>
      <c r="GJ261" s="2583"/>
      <c r="GK261" s="2583"/>
      <c r="GL261" s="2583"/>
      <c r="GM261" s="2583"/>
      <c r="GN261" s="2583"/>
      <c r="GO261" s="2583"/>
      <c r="GP261" s="2583"/>
      <c r="GQ261" s="2583"/>
      <c r="GR261" s="2583"/>
      <c r="GS261" s="2583"/>
      <c r="GT261" s="2583"/>
      <c r="GU261" s="2583"/>
      <c r="GV261" s="2583"/>
      <c r="GW261" s="2583"/>
      <c r="GX261" s="2583"/>
      <c r="GY261" s="2583"/>
      <c r="GZ261" s="2583"/>
      <c r="HA261" s="2583"/>
      <c r="HB261" s="2583"/>
      <c r="HC261" s="2583"/>
      <c r="HD261" s="2583"/>
      <c r="HE261" s="2583"/>
      <c r="HF261" s="2583"/>
      <c r="HG261" s="2583"/>
      <c r="HH261" s="2583"/>
      <c r="HI261" s="2583"/>
      <c r="HJ261" s="2583"/>
      <c r="HK261" s="2583"/>
      <c r="HL261" s="2583"/>
      <c r="HM261" s="2583"/>
      <c r="HN261" s="2583"/>
      <c r="HO261" s="2583"/>
      <c r="HP261" s="2583"/>
      <c r="HQ261" s="2583"/>
      <c r="HR261" s="2583"/>
      <c r="HS261" s="2583"/>
      <c r="HT261" s="2583"/>
      <c r="HU261" s="2583"/>
      <c r="HV261" s="2583"/>
      <c r="HW261" s="2583"/>
      <c r="HX261" s="2583"/>
      <c r="HY261" s="2583"/>
      <c r="HZ261" s="2583"/>
      <c r="IA261" s="2583"/>
      <c r="IB261" s="2583"/>
      <c r="IC261" s="2583"/>
      <c r="ID261" s="2583"/>
      <c r="IE261" s="2583"/>
      <c r="IF261" s="2583"/>
      <c r="IG261" s="2583"/>
      <c r="IH261" s="2583"/>
      <c r="II261" s="2583"/>
      <c r="IJ261" s="2583"/>
      <c r="IK261" s="2583"/>
      <c r="IL261" s="2583"/>
      <c r="IM261" s="2583"/>
      <c r="IN261" s="2583"/>
      <c r="IO261" s="2583"/>
      <c r="IP261" s="2583"/>
      <c r="IQ261" s="2583"/>
      <c r="IR261" s="2583"/>
      <c r="IS261" s="2583"/>
      <c r="IT261" s="2583"/>
      <c r="IU261" s="2583"/>
      <c r="IV261" s="2583"/>
    </row>
    <row r="262" spans="3:256">
      <c r="C262" s="2584"/>
      <c r="D262" s="2584"/>
      <c r="E262" s="2584"/>
      <c r="F262" s="2584"/>
      <c r="G262" s="2584"/>
      <c r="H262" s="2584"/>
      <c r="AC262" s="2583"/>
      <c r="AD262" s="2583"/>
      <c r="AE262" s="2583"/>
      <c r="AF262" s="2583"/>
      <c r="AG262" s="2583"/>
      <c r="AH262" s="2583"/>
      <c r="AI262" s="2583"/>
      <c r="AJ262" s="2583"/>
      <c r="AK262" s="2583"/>
      <c r="AL262" s="2583"/>
      <c r="AM262" s="2583"/>
      <c r="AN262" s="2583"/>
      <c r="AO262" s="2583"/>
      <c r="AP262" s="2583"/>
      <c r="AQ262" s="2583"/>
      <c r="AR262" s="2583"/>
      <c r="AS262" s="2583"/>
      <c r="AT262" s="2583"/>
      <c r="AU262" s="2583"/>
      <c r="AV262" s="2583"/>
      <c r="AW262" s="2583"/>
      <c r="AX262" s="2583"/>
      <c r="AY262" s="2583"/>
      <c r="AZ262" s="2583"/>
      <c r="BA262" s="2583"/>
      <c r="BB262" s="2583"/>
      <c r="BC262" s="2583"/>
      <c r="BD262" s="2583"/>
      <c r="BE262" s="2583"/>
      <c r="BF262" s="2583"/>
      <c r="BG262" s="2583"/>
      <c r="BH262" s="2583"/>
      <c r="BI262" s="2583"/>
      <c r="BJ262" s="2583"/>
      <c r="BK262" s="2583"/>
      <c r="BL262" s="2583"/>
      <c r="BM262" s="2583"/>
      <c r="BN262" s="2583"/>
      <c r="BO262" s="2583"/>
      <c r="BP262" s="2583"/>
      <c r="BQ262" s="2583"/>
      <c r="BR262" s="2583"/>
      <c r="BS262" s="2583"/>
      <c r="BT262" s="2583"/>
      <c r="BU262" s="2583"/>
      <c r="BV262" s="2583"/>
      <c r="BW262" s="2583"/>
      <c r="BX262" s="2583"/>
      <c r="BY262" s="2583"/>
      <c r="BZ262" s="2583"/>
      <c r="CA262" s="2583"/>
      <c r="CB262" s="2583"/>
      <c r="CC262" s="2583"/>
      <c r="CD262" s="2583"/>
      <c r="CE262" s="2583"/>
      <c r="CF262" s="2583"/>
      <c r="CG262" s="2583"/>
      <c r="CH262" s="2583"/>
      <c r="CI262" s="2583"/>
      <c r="CJ262" s="2583"/>
      <c r="CK262" s="2583"/>
      <c r="CL262" s="2583"/>
      <c r="CM262" s="2583"/>
      <c r="CN262" s="2583"/>
      <c r="CO262" s="2583"/>
      <c r="CP262" s="2583"/>
      <c r="CQ262" s="2583"/>
      <c r="CR262" s="2583"/>
      <c r="CS262" s="2583"/>
      <c r="CT262" s="2583"/>
      <c r="CU262" s="2583"/>
      <c r="CV262" s="2583"/>
      <c r="CW262" s="2583"/>
      <c r="CX262" s="2583"/>
      <c r="CY262" s="2583"/>
      <c r="CZ262" s="2583"/>
      <c r="DA262" s="2583"/>
      <c r="DB262" s="2583"/>
      <c r="DC262" s="2583"/>
      <c r="DD262" s="2583"/>
      <c r="DE262" s="2583"/>
      <c r="DF262" s="2583"/>
      <c r="DG262" s="2583"/>
      <c r="DH262" s="2583"/>
      <c r="DI262" s="2583"/>
      <c r="DJ262" s="2583"/>
      <c r="DK262" s="2583"/>
      <c r="DL262" s="2583"/>
      <c r="DM262" s="2583"/>
      <c r="DN262" s="2583"/>
      <c r="DO262" s="2583"/>
      <c r="DP262" s="2583"/>
      <c r="DQ262" s="2583"/>
      <c r="DR262" s="2583"/>
      <c r="DS262" s="2583"/>
      <c r="DT262" s="2583"/>
      <c r="DU262" s="2583"/>
      <c r="DV262" s="2583"/>
      <c r="DW262" s="2583"/>
      <c r="DX262" s="2583"/>
      <c r="DY262" s="2583"/>
      <c r="DZ262" s="2583"/>
      <c r="EA262" s="2583"/>
      <c r="EB262" s="2583"/>
      <c r="EC262" s="2583"/>
      <c r="ED262" s="2583"/>
      <c r="EE262" s="2583"/>
      <c r="EF262" s="2583"/>
      <c r="EG262" s="2583"/>
      <c r="EH262" s="2583"/>
      <c r="EI262" s="2583"/>
      <c r="EJ262" s="2583"/>
      <c r="EK262" s="2583"/>
      <c r="EL262" s="2583"/>
      <c r="EM262" s="2583"/>
      <c r="EN262" s="2583"/>
      <c r="EO262" s="2583"/>
      <c r="EP262" s="2583"/>
      <c r="EQ262" s="2583"/>
      <c r="ER262" s="2583"/>
      <c r="ES262" s="2583"/>
      <c r="ET262" s="2583"/>
      <c r="EU262" s="2583"/>
      <c r="EV262" s="2583"/>
      <c r="EW262" s="2583"/>
      <c r="EX262" s="2583"/>
      <c r="EY262" s="2583"/>
      <c r="EZ262" s="2583"/>
      <c r="FA262" s="2583"/>
      <c r="FB262" s="2583"/>
      <c r="FC262" s="2583"/>
      <c r="FD262" s="2583"/>
      <c r="FE262" s="2583"/>
      <c r="FF262" s="2583"/>
      <c r="FG262" s="2583"/>
      <c r="FH262" s="2583"/>
      <c r="FI262" s="2583"/>
      <c r="FJ262" s="2583"/>
      <c r="FK262" s="2583"/>
      <c r="FL262" s="2583"/>
      <c r="FM262" s="2583"/>
      <c r="FN262" s="2583"/>
      <c r="FO262" s="2583"/>
      <c r="FP262" s="2583"/>
      <c r="FQ262" s="2583"/>
      <c r="FR262" s="2583"/>
      <c r="FS262" s="2583"/>
      <c r="FT262" s="2583"/>
      <c r="FU262" s="2583"/>
      <c r="FV262" s="2583"/>
      <c r="FW262" s="2583"/>
      <c r="FX262" s="2583"/>
      <c r="FY262" s="2583"/>
      <c r="FZ262" s="2583"/>
      <c r="GA262" s="2583"/>
      <c r="GB262" s="2583"/>
      <c r="GC262" s="2583"/>
      <c r="GD262" s="2583"/>
      <c r="GE262" s="2583"/>
      <c r="GF262" s="2583"/>
      <c r="GG262" s="2583"/>
      <c r="GH262" s="2583"/>
      <c r="GI262" s="2583"/>
      <c r="GJ262" s="2583"/>
      <c r="GK262" s="2583"/>
      <c r="GL262" s="2583"/>
      <c r="GM262" s="2583"/>
      <c r="GN262" s="2583"/>
      <c r="GO262" s="2583"/>
      <c r="GP262" s="2583"/>
      <c r="GQ262" s="2583"/>
      <c r="GR262" s="2583"/>
      <c r="GS262" s="2583"/>
      <c r="GT262" s="2583"/>
      <c r="GU262" s="2583"/>
      <c r="GV262" s="2583"/>
      <c r="GW262" s="2583"/>
      <c r="GX262" s="2583"/>
      <c r="GY262" s="2583"/>
      <c r="GZ262" s="2583"/>
      <c r="HA262" s="2583"/>
      <c r="HB262" s="2583"/>
      <c r="HC262" s="2583"/>
      <c r="HD262" s="2583"/>
      <c r="HE262" s="2583"/>
      <c r="HF262" s="2583"/>
      <c r="HG262" s="2583"/>
      <c r="HH262" s="2583"/>
      <c r="HI262" s="2583"/>
      <c r="HJ262" s="2583"/>
      <c r="HK262" s="2583"/>
      <c r="HL262" s="2583"/>
      <c r="HM262" s="2583"/>
      <c r="HN262" s="2583"/>
      <c r="HO262" s="2583"/>
      <c r="HP262" s="2583"/>
      <c r="HQ262" s="2583"/>
      <c r="HR262" s="2583"/>
      <c r="HS262" s="2583"/>
      <c r="HT262" s="2583"/>
      <c r="HU262" s="2583"/>
      <c r="HV262" s="2583"/>
      <c r="HW262" s="2583"/>
      <c r="HX262" s="2583"/>
      <c r="HY262" s="2583"/>
      <c r="HZ262" s="2583"/>
      <c r="IA262" s="2583"/>
      <c r="IB262" s="2583"/>
      <c r="IC262" s="2583"/>
      <c r="ID262" s="2583"/>
      <c r="IE262" s="2583"/>
      <c r="IF262" s="2583"/>
      <c r="IG262" s="2583"/>
      <c r="IH262" s="2583"/>
      <c r="II262" s="2583"/>
      <c r="IJ262" s="2583"/>
      <c r="IK262" s="2583"/>
      <c r="IL262" s="2583"/>
      <c r="IM262" s="2583"/>
      <c r="IN262" s="2583"/>
      <c r="IO262" s="2583"/>
      <c r="IP262" s="2583"/>
      <c r="IQ262" s="2583"/>
      <c r="IR262" s="2583"/>
      <c r="IS262" s="2583"/>
      <c r="IT262" s="2583"/>
      <c r="IU262" s="2583"/>
      <c r="IV262" s="2583"/>
    </row>
    <row r="263" spans="3:256">
      <c r="C263" s="2584"/>
      <c r="D263" s="2584"/>
      <c r="E263" s="2584"/>
      <c r="F263" s="2584"/>
      <c r="G263" s="2584"/>
      <c r="H263" s="2584"/>
      <c r="AC263" s="2583"/>
      <c r="AD263" s="2583"/>
      <c r="AE263" s="2583"/>
      <c r="AF263" s="2583"/>
      <c r="AG263" s="2583"/>
      <c r="AH263" s="2583"/>
      <c r="AI263" s="2583"/>
      <c r="AJ263" s="2583"/>
      <c r="AK263" s="2583"/>
      <c r="AL263" s="2583"/>
      <c r="AM263" s="2583"/>
      <c r="AN263" s="2583"/>
      <c r="AO263" s="2583"/>
      <c r="AP263" s="2583"/>
      <c r="AQ263" s="2583"/>
      <c r="AR263" s="2583"/>
      <c r="AS263" s="2583"/>
      <c r="AT263" s="2583"/>
      <c r="AU263" s="2583"/>
      <c r="AV263" s="2583"/>
      <c r="AW263" s="2583"/>
      <c r="AX263" s="2583"/>
      <c r="AY263" s="2583"/>
      <c r="AZ263" s="2583"/>
      <c r="BA263" s="2583"/>
      <c r="BB263" s="2583"/>
      <c r="BC263" s="2583"/>
      <c r="BD263" s="2583"/>
      <c r="BE263" s="2583"/>
      <c r="BF263" s="2583"/>
      <c r="BG263" s="2583"/>
      <c r="BH263" s="2583"/>
      <c r="BI263" s="2583"/>
      <c r="BJ263" s="2583"/>
      <c r="BK263" s="2583"/>
      <c r="BL263" s="2583"/>
      <c r="BM263" s="2583"/>
      <c r="BN263" s="2583"/>
      <c r="BO263" s="2583"/>
      <c r="BP263" s="2583"/>
      <c r="BQ263" s="2583"/>
      <c r="BR263" s="2583"/>
      <c r="BS263" s="2583"/>
      <c r="BT263" s="2583"/>
      <c r="BU263" s="2583"/>
      <c r="BV263" s="2583"/>
      <c r="BW263" s="2583"/>
      <c r="BX263" s="2583"/>
      <c r="BY263" s="2583"/>
      <c r="BZ263" s="2583"/>
      <c r="CA263" s="2583"/>
      <c r="CB263" s="2583"/>
      <c r="CC263" s="2583"/>
      <c r="CD263" s="2583"/>
      <c r="CE263" s="2583"/>
      <c r="CF263" s="2583"/>
      <c r="CG263" s="2583"/>
      <c r="CH263" s="2583"/>
      <c r="CI263" s="2583"/>
      <c r="CJ263" s="2583"/>
      <c r="CK263" s="2583"/>
      <c r="CL263" s="2583"/>
      <c r="CM263" s="2583"/>
      <c r="CN263" s="2583"/>
      <c r="CO263" s="2583"/>
      <c r="CP263" s="2583"/>
      <c r="CQ263" s="2583"/>
      <c r="CR263" s="2583"/>
      <c r="CS263" s="2583"/>
      <c r="CT263" s="2583"/>
      <c r="CU263" s="2583"/>
      <c r="CV263" s="2583"/>
      <c r="CW263" s="2583"/>
      <c r="CX263" s="2583"/>
      <c r="CY263" s="2583"/>
      <c r="CZ263" s="2583"/>
      <c r="DA263" s="2583"/>
      <c r="DB263" s="2583"/>
      <c r="DC263" s="2583"/>
      <c r="DD263" s="2583"/>
      <c r="DE263" s="2583"/>
      <c r="DF263" s="2583"/>
      <c r="DG263" s="2583"/>
      <c r="DH263" s="2583"/>
      <c r="DI263" s="2583"/>
      <c r="DJ263" s="2583"/>
      <c r="DK263" s="2583"/>
      <c r="DL263" s="2583"/>
      <c r="DM263" s="2583"/>
      <c r="DN263" s="2583"/>
      <c r="DO263" s="2583"/>
      <c r="DP263" s="2583"/>
      <c r="DQ263" s="2583"/>
      <c r="DR263" s="2583"/>
      <c r="DS263" s="2583"/>
      <c r="DT263" s="2583"/>
      <c r="DU263" s="2583"/>
      <c r="DV263" s="2583"/>
      <c r="DW263" s="2583"/>
      <c r="DX263" s="2583"/>
      <c r="DY263" s="2583"/>
      <c r="DZ263" s="2583"/>
      <c r="EA263" s="2583"/>
      <c r="EB263" s="2583"/>
      <c r="EC263" s="2583"/>
      <c r="ED263" s="2583"/>
      <c r="EE263" s="2583"/>
      <c r="EF263" s="2583"/>
      <c r="EG263" s="2583"/>
      <c r="EH263" s="2583"/>
      <c r="EI263" s="2583"/>
      <c r="EJ263" s="2583"/>
      <c r="EK263" s="2583"/>
      <c r="EL263" s="2583"/>
      <c r="EM263" s="2583"/>
      <c r="EN263" s="2583"/>
      <c r="EO263" s="2583"/>
      <c r="EP263" s="2583"/>
      <c r="EQ263" s="2583"/>
      <c r="ER263" s="2583"/>
      <c r="ES263" s="2583"/>
      <c r="ET263" s="2583"/>
      <c r="EU263" s="2583"/>
      <c r="EV263" s="2583"/>
      <c r="EW263" s="2583"/>
      <c r="EX263" s="2583"/>
      <c r="EY263" s="2583"/>
      <c r="EZ263" s="2583"/>
      <c r="FA263" s="2583"/>
      <c r="FB263" s="2583"/>
      <c r="FC263" s="2583"/>
      <c r="FD263" s="2583"/>
      <c r="FE263" s="2583"/>
      <c r="FF263" s="2583"/>
      <c r="FG263" s="2583"/>
      <c r="FH263" s="2583"/>
      <c r="FI263" s="2583"/>
      <c r="FJ263" s="2583"/>
      <c r="FK263" s="2583"/>
      <c r="FL263" s="2583"/>
      <c r="FM263" s="2583"/>
      <c r="FN263" s="2583"/>
      <c r="FO263" s="2583"/>
      <c r="FP263" s="2583"/>
      <c r="FQ263" s="2583"/>
      <c r="FR263" s="2583"/>
      <c r="FS263" s="2583"/>
      <c r="FT263" s="2583"/>
      <c r="FU263" s="2583"/>
      <c r="FV263" s="2583"/>
      <c r="FW263" s="2583"/>
      <c r="FX263" s="2583"/>
      <c r="FY263" s="2583"/>
      <c r="FZ263" s="2583"/>
      <c r="GA263" s="2583"/>
      <c r="GB263" s="2583"/>
      <c r="GC263" s="2583"/>
      <c r="GD263" s="2583"/>
      <c r="GE263" s="2583"/>
      <c r="GF263" s="2583"/>
      <c r="GG263" s="2583"/>
      <c r="GH263" s="2583"/>
      <c r="GI263" s="2583"/>
      <c r="GJ263" s="2583"/>
      <c r="GK263" s="2583"/>
      <c r="GL263" s="2583"/>
      <c r="GM263" s="2583"/>
      <c r="GN263" s="2583"/>
      <c r="GO263" s="2583"/>
      <c r="GP263" s="2583"/>
      <c r="GQ263" s="2583"/>
      <c r="GR263" s="2583"/>
      <c r="GS263" s="2583"/>
      <c r="GT263" s="2583"/>
      <c r="GU263" s="2583"/>
      <c r="GV263" s="2583"/>
      <c r="GW263" s="2583"/>
      <c r="GX263" s="2583"/>
      <c r="GY263" s="2583"/>
      <c r="GZ263" s="2583"/>
      <c r="HA263" s="2583"/>
      <c r="HB263" s="2583"/>
      <c r="HC263" s="2583"/>
      <c r="HD263" s="2583"/>
      <c r="HE263" s="2583"/>
      <c r="HF263" s="2583"/>
      <c r="HG263" s="2583"/>
      <c r="HH263" s="2583"/>
      <c r="HI263" s="2583"/>
      <c r="HJ263" s="2583"/>
      <c r="HK263" s="2583"/>
      <c r="HL263" s="2583"/>
      <c r="HM263" s="2583"/>
      <c r="HN263" s="2583"/>
      <c r="HO263" s="2583"/>
      <c r="HP263" s="2583"/>
      <c r="HQ263" s="2583"/>
      <c r="HR263" s="2583"/>
      <c r="HS263" s="2583"/>
      <c r="HT263" s="2583"/>
      <c r="HU263" s="2583"/>
      <c r="HV263" s="2583"/>
      <c r="HW263" s="2583"/>
      <c r="HX263" s="2583"/>
      <c r="HY263" s="2583"/>
      <c r="HZ263" s="2583"/>
      <c r="IA263" s="2583"/>
      <c r="IB263" s="2583"/>
      <c r="IC263" s="2583"/>
      <c r="ID263" s="2583"/>
      <c r="IE263" s="2583"/>
      <c r="IF263" s="2583"/>
      <c r="IG263" s="2583"/>
      <c r="IH263" s="2583"/>
      <c r="II263" s="2583"/>
      <c r="IJ263" s="2583"/>
      <c r="IK263" s="2583"/>
      <c r="IL263" s="2583"/>
      <c r="IM263" s="2583"/>
      <c r="IN263" s="2583"/>
      <c r="IO263" s="2583"/>
      <c r="IP263" s="2583"/>
      <c r="IQ263" s="2583"/>
      <c r="IR263" s="2583"/>
      <c r="IS263" s="2583"/>
      <c r="IT263" s="2583"/>
      <c r="IU263" s="2583"/>
      <c r="IV263" s="2583"/>
    </row>
    <row r="264" spans="3:256">
      <c r="C264" s="2584"/>
      <c r="D264" s="2584"/>
      <c r="E264" s="2584"/>
      <c r="F264" s="2584"/>
      <c r="G264" s="2584"/>
      <c r="H264" s="2584"/>
      <c r="AC264" s="2583"/>
      <c r="AD264" s="2583"/>
      <c r="AE264" s="2583"/>
      <c r="AF264" s="2583"/>
      <c r="AG264" s="2583"/>
      <c r="AH264" s="2583"/>
      <c r="AI264" s="2583"/>
      <c r="AJ264" s="2583"/>
      <c r="AK264" s="2583"/>
      <c r="AL264" s="2583"/>
      <c r="AM264" s="2583"/>
      <c r="AN264" s="2583"/>
      <c r="AO264" s="2583"/>
      <c r="AP264" s="2583"/>
      <c r="AQ264" s="2583"/>
      <c r="AR264" s="2583"/>
      <c r="AS264" s="2583"/>
      <c r="AT264" s="2583"/>
      <c r="AU264" s="2583"/>
      <c r="AV264" s="2583"/>
      <c r="AW264" s="2583"/>
      <c r="AX264" s="2583"/>
      <c r="AY264" s="2583"/>
      <c r="AZ264" s="2583"/>
      <c r="BA264" s="2583"/>
      <c r="BB264" s="2583"/>
      <c r="BC264" s="2583"/>
      <c r="BD264" s="2583"/>
      <c r="BE264" s="2583"/>
      <c r="BF264" s="2583"/>
      <c r="BG264" s="2583"/>
      <c r="BH264" s="2583"/>
      <c r="BI264" s="2583"/>
      <c r="BJ264" s="2583"/>
      <c r="BK264" s="2583"/>
      <c r="BL264" s="2583"/>
      <c r="BM264" s="2583"/>
      <c r="BN264" s="2583"/>
      <c r="BO264" s="2583"/>
      <c r="BP264" s="2583"/>
      <c r="BQ264" s="2583"/>
      <c r="BR264" s="2583"/>
      <c r="BS264" s="2583"/>
      <c r="BT264" s="2583"/>
      <c r="BU264" s="2583"/>
      <c r="BV264" s="2583"/>
      <c r="BW264" s="2583"/>
      <c r="BX264" s="2583"/>
      <c r="BY264" s="2583"/>
      <c r="BZ264" s="2583"/>
      <c r="CA264" s="2583"/>
      <c r="CB264" s="2583"/>
      <c r="CC264" s="2583"/>
      <c r="CD264" s="2583"/>
      <c r="CE264" s="2583"/>
      <c r="CF264" s="2583"/>
      <c r="CG264" s="2583"/>
      <c r="CH264" s="2583"/>
      <c r="CI264" s="2583"/>
      <c r="CJ264" s="2583"/>
      <c r="CK264" s="2583"/>
      <c r="CL264" s="2583"/>
      <c r="CM264" s="2583"/>
      <c r="CN264" s="2583"/>
      <c r="CO264" s="2583"/>
      <c r="CP264" s="2583"/>
      <c r="CQ264" s="2583"/>
      <c r="CR264" s="2583"/>
      <c r="CS264" s="2583"/>
      <c r="CT264" s="2583"/>
      <c r="CU264" s="2583"/>
      <c r="CV264" s="2583"/>
      <c r="CW264" s="2583"/>
      <c r="CX264" s="2583"/>
      <c r="CY264" s="2583"/>
      <c r="CZ264" s="2583"/>
      <c r="DA264" s="2583"/>
      <c r="DB264" s="2583"/>
      <c r="DC264" s="2583"/>
      <c r="DD264" s="2583"/>
      <c r="DE264" s="2583"/>
      <c r="DF264" s="2583"/>
      <c r="DG264" s="2583"/>
      <c r="DH264" s="2583"/>
      <c r="DI264" s="2583"/>
      <c r="DJ264" s="2583"/>
      <c r="DK264" s="2583"/>
      <c r="DL264" s="2583"/>
      <c r="DM264" s="2583"/>
      <c r="DN264" s="2583"/>
      <c r="DO264" s="2583"/>
      <c r="DP264" s="2583"/>
      <c r="DQ264" s="2583"/>
      <c r="DR264" s="2583"/>
      <c r="DS264" s="2583"/>
      <c r="DT264" s="2583"/>
      <c r="DU264" s="2583"/>
      <c r="DV264" s="2583"/>
      <c r="DW264" s="2583"/>
      <c r="DX264" s="2583"/>
      <c r="DY264" s="2583"/>
      <c r="DZ264" s="2583"/>
      <c r="EA264" s="2583"/>
      <c r="EB264" s="2583"/>
      <c r="EC264" s="2583"/>
      <c r="ED264" s="2583"/>
      <c r="EE264" s="2583"/>
      <c r="EF264" s="2583"/>
      <c r="EG264" s="2583"/>
      <c r="EH264" s="2583"/>
      <c r="EI264" s="2583"/>
      <c r="EJ264" s="2583"/>
      <c r="EK264" s="2583"/>
      <c r="EL264" s="2583"/>
      <c r="EM264" s="2583"/>
      <c r="EN264" s="2583"/>
      <c r="EO264" s="2583"/>
      <c r="EP264" s="2583"/>
      <c r="EQ264" s="2583"/>
      <c r="ER264" s="2583"/>
      <c r="ES264" s="2583"/>
      <c r="ET264" s="2583"/>
      <c r="EU264" s="2583"/>
      <c r="EV264" s="2583"/>
      <c r="EW264" s="2583"/>
      <c r="EX264" s="2583"/>
      <c r="EY264" s="2583"/>
      <c r="EZ264" s="2583"/>
      <c r="FA264" s="2583"/>
      <c r="FB264" s="2583"/>
      <c r="FC264" s="2583"/>
      <c r="FD264" s="2583"/>
      <c r="FE264" s="2583"/>
      <c r="FF264" s="2583"/>
      <c r="FG264" s="2583"/>
      <c r="FH264" s="2583"/>
      <c r="FI264" s="2583"/>
      <c r="FJ264" s="2583"/>
      <c r="FK264" s="2583"/>
      <c r="FL264" s="2583"/>
      <c r="FM264" s="2583"/>
      <c r="FN264" s="2583"/>
      <c r="FO264" s="2583"/>
      <c r="FP264" s="2583"/>
      <c r="FQ264" s="2583"/>
      <c r="FR264" s="2583"/>
      <c r="FS264" s="2583"/>
      <c r="FT264" s="2583"/>
      <c r="FU264" s="2583"/>
      <c r="FV264" s="2583"/>
      <c r="FW264" s="2583"/>
      <c r="FX264" s="2583"/>
      <c r="FY264" s="2583"/>
      <c r="FZ264" s="2583"/>
      <c r="GA264" s="2583"/>
      <c r="GB264" s="2583"/>
      <c r="GC264" s="2583"/>
      <c r="GD264" s="2583"/>
      <c r="GE264" s="2583"/>
      <c r="GF264" s="2583"/>
      <c r="GG264" s="2583"/>
      <c r="GH264" s="2583"/>
      <c r="GI264" s="2583"/>
      <c r="GJ264" s="2583"/>
      <c r="GK264" s="2583"/>
      <c r="GL264" s="2583"/>
      <c r="GM264" s="2583"/>
      <c r="GN264" s="2583"/>
      <c r="GO264" s="2583"/>
      <c r="GP264" s="2583"/>
      <c r="GQ264" s="2583"/>
      <c r="GR264" s="2583"/>
      <c r="GS264" s="2583"/>
      <c r="GT264" s="2583"/>
      <c r="GU264" s="2583"/>
      <c r="GV264" s="2583"/>
      <c r="GW264" s="2583"/>
      <c r="GX264" s="2583"/>
      <c r="GY264" s="2583"/>
      <c r="GZ264" s="2583"/>
      <c r="HA264" s="2583"/>
      <c r="HB264" s="2583"/>
      <c r="HC264" s="2583"/>
      <c r="HD264" s="2583"/>
      <c r="HE264" s="2583"/>
      <c r="HF264" s="2583"/>
      <c r="HG264" s="2583"/>
      <c r="HH264" s="2583"/>
      <c r="HI264" s="2583"/>
      <c r="HJ264" s="2583"/>
      <c r="HK264" s="2583"/>
      <c r="HL264" s="2583"/>
      <c r="HM264" s="2583"/>
      <c r="HN264" s="2583"/>
      <c r="HO264" s="2583"/>
      <c r="HP264" s="2583"/>
      <c r="HQ264" s="2583"/>
      <c r="HR264" s="2583"/>
      <c r="HS264" s="2583"/>
      <c r="HT264" s="2583"/>
      <c r="HU264" s="2583"/>
      <c r="HV264" s="2583"/>
      <c r="HW264" s="2583"/>
      <c r="HX264" s="2583"/>
      <c r="HY264" s="2583"/>
      <c r="HZ264" s="2583"/>
      <c r="IA264" s="2583"/>
      <c r="IB264" s="2583"/>
      <c r="IC264" s="2583"/>
      <c r="ID264" s="2583"/>
      <c r="IE264" s="2583"/>
      <c r="IF264" s="2583"/>
      <c r="IG264" s="2583"/>
      <c r="IH264" s="2583"/>
      <c r="II264" s="2583"/>
      <c r="IJ264" s="2583"/>
      <c r="IK264" s="2583"/>
      <c r="IL264" s="2583"/>
      <c r="IM264" s="2583"/>
      <c r="IN264" s="2583"/>
      <c r="IO264" s="2583"/>
      <c r="IP264" s="2583"/>
      <c r="IQ264" s="2583"/>
      <c r="IR264" s="2583"/>
      <c r="IS264" s="2583"/>
      <c r="IT264" s="2583"/>
      <c r="IU264" s="2583"/>
      <c r="IV264" s="2583"/>
    </row>
    <row r="265" spans="3:256">
      <c r="C265" s="2584"/>
      <c r="D265" s="2584"/>
      <c r="E265" s="2584"/>
      <c r="F265" s="2584"/>
      <c r="G265" s="2584"/>
      <c r="H265" s="2584"/>
      <c r="AC265" s="2583"/>
      <c r="AD265" s="2583"/>
      <c r="AE265" s="2583"/>
      <c r="AF265" s="2583"/>
      <c r="AG265" s="2583"/>
      <c r="AH265" s="2583"/>
      <c r="AI265" s="2583"/>
      <c r="AJ265" s="2583"/>
      <c r="AK265" s="2583"/>
      <c r="AL265" s="2583"/>
      <c r="AM265" s="2583"/>
      <c r="AN265" s="2583"/>
      <c r="AO265" s="2583"/>
      <c r="AP265" s="2583"/>
      <c r="AQ265" s="2583"/>
      <c r="AR265" s="2583"/>
      <c r="AS265" s="2583"/>
      <c r="AT265" s="2583"/>
      <c r="AU265" s="2583"/>
      <c r="AV265" s="2583"/>
      <c r="AW265" s="2583"/>
      <c r="AX265" s="2583"/>
      <c r="AY265" s="2583"/>
      <c r="AZ265" s="2583"/>
      <c r="BA265" s="2583"/>
      <c r="BB265" s="2583"/>
      <c r="BC265" s="2583"/>
      <c r="BD265" s="2583"/>
      <c r="BE265" s="2583"/>
      <c r="BF265" s="2583"/>
      <c r="BG265" s="2583"/>
      <c r="BH265" s="2583"/>
      <c r="BI265" s="2583"/>
      <c r="BJ265" s="2583"/>
      <c r="BK265" s="2583"/>
      <c r="BL265" s="2583"/>
      <c r="BM265" s="2583"/>
      <c r="BN265" s="2583"/>
      <c r="BO265" s="2583"/>
      <c r="BP265" s="2583"/>
      <c r="BQ265" s="2583"/>
      <c r="BR265" s="2583"/>
      <c r="BS265" s="2583"/>
      <c r="BT265" s="2583"/>
      <c r="BU265" s="2583"/>
      <c r="BV265" s="2583"/>
      <c r="BW265" s="2583"/>
      <c r="BX265" s="2583"/>
      <c r="BY265" s="2583"/>
      <c r="BZ265" s="2583"/>
      <c r="CA265" s="2583"/>
      <c r="CB265" s="2583"/>
      <c r="CC265" s="2583"/>
      <c r="CD265" s="2583"/>
      <c r="CE265" s="2583"/>
      <c r="CF265" s="2583"/>
      <c r="CG265" s="2583"/>
      <c r="CH265" s="2583"/>
      <c r="CI265" s="2583"/>
      <c r="CJ265" s="2583"/>
      <c r="CK265" s="2583"/>
      <c r="CL265" s="2583"/>
      <c r="CM265" s="2583"/>
      <c r="CN265" s="2583"/>
      <c r="CO265" s="2583"/>
      <c r="CP265" s="2583"/>
      <c r="CQ265" s="2583"/>
      <c r="CR265" s="2583"/>
      <c r="CS265" s="2583"/>
      <c r="CT265" s="2583"/>
      <c r="CU265" s="2583"/>
      <c r="CV265" s="2583"/>
      <c r="CW265" s="2583"/>
      <c r="CX265" s="2583"/>
      <c r="CY265" s="2583"/>
      <c r="CZ265" s="2583"/>
      <c r="DA265" s="2583"/>
      <c r="DB265" s="2583"/>
      <c r="DC265" s="2583"/>
      <c r="DD265" s="2583"/>
      <c r="DE265" s="2583"/>
      <c r="DF265" s="2583"/>
      <c r="DG265" s="2583"/>
      <c r="DH265" s="2583"/>
      <c r="DI265" s="2583"/>
      <c r="DJ265" s="2583"/>
      <c r="DK265" s="2583"/>
      <c r="DL265" s="2583"/>
      <c r="DM265" s="2583"/>
      <c r="DN265" s="2583"/>
      <c r="DO265" s="2583"/>
      <c r="DP265" s="2583"/>
      <c r="DQ265" s="2583"/>
      <c r="DR265" s="2583"/>
      <c r="DS265" s="2583"/>
      <c r="DT265" s="2583"/>
      <c r="DU265" s="2583"/>
      <c r="DV265" s="2583"/>
      <c r="DW265" s="2583"/>
      <c r="DX265" s="2583"/>
      <c r="DY265" s="2583"/>
      <c r="DZ265" s="2583"/>
      <c r="EA265" s="2583"/>
      <c r="EB265" s="2583"/>
      <c r="EC265" s="2583"/>
      <c r="ED265" s="2583"/>
      <c r="EE265" s="2583"/>
      <c r="EF265" s="2583"/>
      <c r="EG265" s="2583"/>
      <c r="EH265" s="2583"/>
      <c r="EI265" s="2583"/>
      <c r="EJ265" s="2583"/>
      <c r="EK265" s="2583"/>
      <c r="EL265" s="2583"/>
      <c r="EM265" s="2583"/>
      <c r="EN265" s="2583"/>
      <c r="EO265" s="2583"/>
      <c r="EP265" s="2583"/>
      <c r="EQ265" s="2583"/>
      <c r="ER265" s="2583"/>
      <c r="ES265" s="2583"/>
      <c r="ET265" s="2583"/>
      <c r="EU265" s="2583"/>
      <c r="EV265" s="2583"/>
      <c r="EW265" s="2583"/>
      <c r="EX265" s="2583"/>
      <c r="EY265" s="2583"/>
      <c r="EZ265" s="2583"/>
      <c r="FA265" s="2583"/>
      <c r="FB265" s="2583"/>
      <c r="FC265" s="2583"/>
      <c r="FD265" s="2583"/>
      <c r="FE265" s="2583"/>
      <c r="FF265" s="2583"/>
      <c r="FG265" s="2583"/>
      <c r="FH265" s="2583"/>
      <c r="FI265" s="2583"/>
      <c r="FJ265" s="2583"/>
      <c r="FK265" s="2583"/>
      <c r="FL265" s="2583"/>
      <c r="FM265" s="2583"/>
      <c r="FN265" s="2583"/>
      <c r="FO265" s="2583"/>
      <c r="FP265" s="2583"/>
      <c r="FQ265" s="2583"/>
      <c r="FR265" s="2583"/>
      <c r="FS265" s="2583"/>
      <c r="FT265" s="2583"/>
      <c r="FU265" s="2583"/>
      <c r="FV265" s="2583"/>
      <c r="FW265" s="2583"/>
      <c r="FX265" s="2583"/>
      <c r="FY265" s="2583"/>
      <c r="FZ265" s="2583"/>
      <c r="GA265" s="2583"/>
      <c r="GB265" s="2583"/>
      <c r="GC265" s="2583"/>
      <c r="GD265" s="2583"/>
      <c r="GE265" s="2583"/>
      <c r="GF265" s="2583"/>
      <c r="GG265" s="2583"/>
      <c r="GH265" s="2583"/>
      <c r="GI265" s="2583"/>
      <c r="GJ265" s="2583"/>
      <c r="GK265" s="2583"/>
      <c r="GL265" s="2583"/>
      <c r="GM265" s="2583"/>
      <c r="GN265" s="2583"/>
      <c r="GO265" s="2583"/>
      <c r="GP265" s="2583"/>
      <c r="GQ265" s="2583"/>
      <c r="GR265" s="2583"/>
      <c r="GS265" s="2583"/>
      <c r="GT265" s="2583"/>
      <c r="GU265" s="2583"/>
      <c r="GV265" s="2583"/>
      <c r="GW265" s="2583"/>
      <c r="GX265" s="2583"/>
      <c r="GY265" s="2583"/>
      <c r="GZ265" s="2583"/>
      <c r="HA265" s="2583"/>
      <c r="HB265" s="2583"/>
      <c r="HC265" s="2583"/>
      <c r="HD265" s="2583"/>
      <c r="HE265" s="2583"/>
      <c r="HF265" s="2583"/>
      <c r="HG265" s="2583"/>
      <c r="HH265" s="2583"/>
      <c r="HI265" s="2583"/>
      <c r="HJ265" s="2583"/>
      <c r="HK265" s="2583"/>
      <c r="HL265" s="2583"/>
      <c r="HM265" s="2583"/>
      <c r="HN265" s="2583"/>
      <c r="HO265" s="2583"/>
      <c r="HP265" s="2583"/>
      <c r="HQ265" s="2583"/>
      <c r="HR265" s="2583"/>
      <c r="HS265" s="2583"/>
      <c r="HT265" s="2583"/>
      <c r="HU265" s="2583"/>
      <c r="HV265" s="2583"/>
      <c r="HW265" s="2583"/>
      <c r="HX265" s="2583"/>
      <c r="HY265" s="2583"/>
      <c r="HZ265" s="2583"/>
      <c r="IA265" s="2583"/>
      <c r="IB265" s="2583"/>
      <c r="IC265" s="2583"/>
      <c r="ID265" s="2583"/>
      <c r="IE265" s="2583"/>
      <c r="IF265" s="2583"/>
      <c r="IG265" s="2583"/>
      <c r="IH265" s="2583"/>
      <c r="II265" s="2583"/>
      <c r="IJ265" s="2583"/>
      <c r="IK265" s="2583"/>
      <c r="IL265" s="2583"/>
      <c r="IM265" s="2583"/>
      <c r="IN265" s="2583"/>
      <c r="IO265" s="2583"/>
      <c r="IP265" s="2583"/>
      <c r="IQ265" s="2583"/>
      <c r="IR265" s="2583"/>
      <c r="IS265" s="2583"/>
      <c r="IT265" s="2583"/>
      <c r="IU265" s="2583"/>
      <c r="IV265" s="2583"/>
    </row>
    <row r="266" spans="3:256">
      <c r="C266" s="2584"/>
      <c r="D266" s="2584"/>
      <c r="E266" s="2584"/>
      <c r="F266" s="2584"/>
      <c r="G266" s="2584"/>
      <c r="H266" s="2584"/>
      <c r="AC266" s="2583"/>
      <c r="AD266" s="2583"/>
      <c r="AE266" s="2583"/>
      <c r="AF266" s="2583"/>
      <c r="AG266" s="2583"/>
      <c r="AH266" s="2583"/>
      <c r="AI266" s="2583"/>
      <c r="AJ266" s="2583"/>
      <c r="AK266" s="2583"/>
      <c r="AL266" s="2583"/>
      <c r="AM266" s="2583"/>
      <c r="AN266" s="2583"/>
      <c r="AO266" s="2583"/>
      <c r="AP266" s="2583"/>
      <c r="AQ266" s="2583"/>
      <c r="AR266" s="2583"/>
      <c r="AS266" s="2583"/>
      <c r="AT266" s="2583"/>
      <c r="AU266" s="2583"/>
      <c r="AV266" s="2583"/>
      <c r="AW266" s="2583"/>
      <c r="AX266" s="2583"/>
      <c r="AY266" s="2583"/>
      <c r="AZ266" s="2583"/>
      <c r="BA266" s="2583"/>
      <c r="BB266" s="2583"/>
      <c r="BC266" s="2583"/>
      <c r="BD266" s="2583"/>
      <c r="BE266" s="2583"/>
      <c r="BF266" s="2583"/>
      <c r="BG266" s="2583"/>
      <c r="BH266" s="2583"/>
      <c r="BI266" s="2583"/>
      <c r="BJ266" s="2583"/>
      <c r="BK266" s="2583"/>
      <c r="BL266" s="2583"/>
      <c r="BM266" s="2583"/>
      <c r="BN266" s="2583"/>
      <c r="BO266" s="2583"/>
      <c r="BP266" s="2583"/>
      <c r="BQ266" s="2583"/>
      <c r="BR266" s="2583"/>
      <c r="BS266" s="2583"/>
      <c r="BT266" s="2583"/>
      <c r="BU266" s="2583"/>
      <c r="BV266" s="2583"/>
      <c r="BW266" s="2583"/>
      <c r="BX266" s="2583"/>
      <c r="BY266" s="2583"/>
      <c r="BZ266" s="2583"/>
      <c r="CA266" s="2583"/>
      <c r="CB266" s="2583"/>
      <c r="CC266" s="2583"/>
      <c r="CD266" s="2583"/>
      <c r="CE266" s="2583"/>
      <c r="CF266" s="2583"/>
      <c r="CG266" s="2583"/>
      <c r="CH266" s="2583"/>
      <c r="CI266" s="2583"/>
      <c r="CJ266" s="2583"/>
      <c r="CK266" s="2583"/>
      <c r="CL266" s="2583"/>
      <c r="CM266" s="2583"/>
      <c r="CN266" s="2583"/>
      <c r="CO266" s="2583"/>
      <c r="CP266" s="2583"/>
      <c r="CQ266" s="2583"/>
      <c r="CR266" s="2583"/>
      <c r="CS266" s="2583"/>
      <c r="CT266" s="2583"/>
      <c r="CU266" s="2583"/>
      <c r="CV266" s="2583"/>
      <c r="CW266" s="2583"/>
      <c r="CX266" s="2583"/>
      <c r="CY266" s="2583"/>
      <c r="CZ266" s="2583"/>
      <c r="DA266" s="2583"/>
      <c r="DB266" s="2583"/>
      <c r="DC266" s="2583"/>
      <c r="DD266" s="2583"/>
      <c r="DE266" s="2583"/>
      <c r="DF266" s="2583"/>
      <c r="DG266" s="2583"/>
      <c r="DH266" s="2583"/>
      <c r="DI266" s="2583"/>
      <c r="DJ266" s="2583"/>
      <c r="DK266" s="2583"/>
      <c r="DL266" s="2583"/>
      <c r="DM266" s="2583"/>
      <c r="DN266" s="2583"/>
      <c r="DO266" s="2583"/>
      <c r="DP266" s="2583"/>
      <c r="DQ266" s="2583"/>
      <c r="DR266" s="2583"/>
      <c r="DS266" s="2583"/>
      <c r="DT266" s="2583"/>
      <c r="DU266" s="2583"/>
      <c r="DV266" s="2583"/>
      <c r="DW266" s="2583"/>
      <c r="DX266" s="2583"/>
      <c r="DY266" s="2583"/>
      <c r="DZ266" s="2583"/>
      <c r="EA266" s="2583"/>
      <c r="EB266" s="2583"/>
      <c r="EC266" s="2583"/>
      <c r="ED266" s="2583"/>
      <c r="EE266" s="2583"/>
      <c r="EF266" s="2583"/>
      <c r="EG266" s="2583"/>
      <c r="EH266" s="2583"/>
      <c r="EI266" s="2583"/>
      <c r="EJ266" s="2583"/>
      <c r="EK266" s="2583"/>
      <c r="EL266" s="2583"/>
      <c r="EM266" s="2583"/>
      <c r="EN266" s="2583"/>
      <c r="EO266" s="2583"/>
      <c r="EP266" s="2583"/>
      <c r="EQ266" s="2583"/>
      <c r="ER266" s="2583"/>
      <c r="ES266" s="2583"/>
      <c r="ET266" s="2583"/>
      <c r="EU266" s="2583"/>
      <c r="EV266" s="2583"/>
      <c r="EW266" s="2583"/>
      <c r="EX266" s="2583"/>
      <c r="EY266" s="2583"/>
      <c r="EZ266" s="2583"/>
      <c r="FA266" s="2583"/>
      <c r="FB266" s="2583"/>
      <c r="FC266" s="2583"/>
      <c r="FD266" s="2583"/>
      <c r="FE266" s="2583"/>
      <c r="FF266" s="2583"/>
      <c r="FG266" s="2583"/>
      <c r="FH266" s="2583"/>
      <c r="FI266" s="2583"/>
      <c r="FJ266" s="2583"/>
      <c r="FK266" s="2583"/>
      <c r="FL266" s="2583"/>
      <c r="FM266" s="2583"/>
      <c r="FN266" s="2583"/>
      <c r="FO266" s="2583"/>
      <c r="FP266" s="2583"/>
      <c r="FQ266" s="2583"/>
      <c r="FR266" s="2583"/>
      <c r="FS266" s="2583"/>
      <c r="FT266" s="2583"/>
      <c r="FU266" s="2583"/>
      <c r="FV266" s="2583"/>
      <c r="FW266" s="2583"/>
      <c r="FX266" s="2583"/>
      <c r="FY266" s="2583"/>
      <c r="FZ266" s="2583"/>
      <c r="GA266" s="2583"/>
      <c r="GB266" s="2583"/>
      <c r="GC266" s="2583"/>
      <c r="GD266" s="2583"/>
      <c r="GE266" s="2583"/>
      <c r="GF266" s="2583"/>
      <c r="GG266" s="2583"/>
      <c r="GH266" s="2583"/>
      <c r="GI266" s="2583"/>
      <c r="GJ266" s="2583"/>
      <c r="GK266" s="2583"/>
      <c r="GL266" s="2583"/>
      <c r="GM266" s="2583"/>
      <c r="GN266" s="2583"/>
      <c r="GO266" s="2583"/>
      <c r="GP266" s="2583"/>
      <c r="GQ266" s="2583"/>
      <c r="GR266" s="2583"/>
      <c r="GS266" s="2583"/>
      <c r="GT266" s="2583"/>
      <c r="GU266" s="2583"/>
      <c r="GV266" s="2583"/>
      <c r="GW266" s="2583"/>
      <c r="GX266" s="2583"/>
      <c r="GY266" s="2583"/>
      <c r="GZ266" s="2583"/>
      <c r="HA266" s="2583"/>
      <c r="HB266" s="2583"/>
      <c r="HC266" s="2583"/>
      <c r="HD266" s="2583"/>
      <c r="HE266" s="2583"/>
      <c r="HF266" s="2583"/>
      <c r="HG266" s="2583"/>
      <c r="HH266" s="2583"/>
      <c r="HI266" s="2583"/>
      <c r="HJ266" s="2583"/>
      <c r="HK266" s="2583"/>
      <c r="HL266" s="2583"/>
      <c r="HM266" s="2583"/>
      <c r="HN266" s="2583"/>
      <c r="HO266" s="2583"/>
      <c r="HP266" s="2583"/>
      <c r="HQ266" s="2583"/>
      <c r="HR266" s="2583"/>
      <c r="HS266" s="2583"/>
      <c r="HT266" s="2583"/>
      <c r="HU266" s="2583"/>
      <c r="HV266" s="2583"/>
      <c r="HW266" s="2583"/>
      <c r="HX266" s="2583"/>
      <c r="HY266" s="2583"/>
      <c r="HZ266" s="2583"/>
      <c r="IA266" s="2583"/>
      <c r="IB266" s="2583"/>
      <c r="IC266" s="2583"/>
      <c r="ID266" s="2583"/>
      <c r="IE266" s="2583"/>
      <c r="IF266" s="2583"/>
      <c r="IG266" s="2583"/>
      <c r="IH266" s="2583"/>
      <c r="II266" s="2583"/>
      <c r="IJ266" s="2583"/>
      <c r="IK266" s="2583"/>
      <c r="IL266" s="2583"/>
      <c r="IM266" s="2583"/>
      <c r="IN266" s="2583"/>
      <c r="IO266" s="2583"/>
      <c r="IP266" s="2583"/>
      <c r="IQ266" s="2583"/>
      <c r="IR266" s="2583"/>
      <c r="IS266" s="2583"/>
      <c r="IT266" s="2583"/>
      <c r="IU266" s="2583"/>
      <c r="IV266" s="2583"/>
    </row>
    <row r="267" spans="3:256">
      <c r="C267" s="2584"/>
      <c r="D267" s="2584"/>
      <c r="E267" s="2584"/>
      <c r="F267" s="2584"/>
      <c r="G267" s="2584"/>
      <c r="H267" s="2584"/>
      <c r="AC267" s="2583"/>
      <c r="AD267" s="2583"/>
      <c r="AE267" s="2583"/>
      <c r="AF267" s="2583"/>
      <c r="AG267" s="2583"/>
      <c r="AH267" s="2583"/>
      <c r="AI267" s="2583"/>
      <c r="AJ267" s="2583"/>
      <c r="AK267" s="2583"/>
      <c r="AL267" s="2583"/>
      <c r="AM267" s="2583"/>
      <c r="AN267" s="2583"/>
      <c r="AO267" s="2583"/>
      <c r="AP267" s="2583"/>
      <c r="AQ267" s="2583"/>
      <c r="AR267" s="2583"/>
      <c r="AS267" s="2583"/>
      <c r="AT267" s="2583"/>
      <c r="AU267" s="2583"/>
      <c r="AV267" s="2583"/>
      <c r="AW267" s="2583"/>
      <c r="AX267" s="2583"/>
      <c r="AY267" s="2583"/>
      <c r="AZ267" s="2583"/>
      <c r="BA267" s="2583"/>
      <c r="BB267" s="2583"/>
      <c r="BC267" s="2583"/>
      <c r="BD267" s="2583"/>
      <c r="BE267" s="2583"/>
      <c r="BF267" s="2583"/>
      <c r="BG267" s="2583"/>
      <c r="BH267" s="2583"/>
      <c r="BI267" s="2583"/>
      <c r="BJ267" s="2583"/>
      <c r="BK267" s="2583"/>
      <c r="BL267" s="2583"/>
      <c r="BM267" s="2583"/>
      <c r="BN267" s="2583"/>
      <c r="BO267" s="2583"/>
      <c r="BP267" s="2583"/>
      <c r="BQ267" s="2583"/>
      <c r="BR267" s="2583"/>
      <c r="BS267" s="2583"/>
      <c r="BT267" s="2583"/>
      <c r="BU267" s="2583"/>
      <c r="BV267" s="2583"/>
      <c r="BW267" s="2583"/>
      <c r="BX267" s="2583"/>
      <c r="BY267" s="2583"/>
      <c r="BZ267" s="2583"/>
      <c r="CA267" s="2583"/>
      <c r="CB267" s="2583"/>
      <c r="CC267" s="2583"/>
      <c r="CD267" s="2583"/>
      <c r="CE267" s="2583"/>
      <c r="CF267" s="2583"/>
      <c r="CG267" s="2583"/>
      <c r="CH267" s="2583"/>
      <c r="CI267" s="2583"/>
      <c r="CJ267" s="2583"/>
      <c r="CK267" s="2583"/>
      <c r="CL267" s="2583"/>
      <c r="CM267" s="2583"/>
      <c r="CN267" s="2583"/>
      <c r="CO267" s="2583"/>
      <c r="CP267" s="2583"/>
      <c r="CQ267" s="2583"/>
      <c r="CR267" s="2583"/>
      <c r="CS267" s="2583"/>
      <c r="CT267" s="2583"/>
      <c r="CU267" s="2583"/>
      <c r="CV267" s="2583"/>
      <c r="CW267" s="2583"/>
      <c r="CX267" s="2583"/>
      <c r="CY267" s="2583"/>
      <c r="CZ267" s="2583"/>
      <c r="DA267" s="2583"/>
      <c r="DB267" s="2583"/>
      <c r="DC267" s="2583"/>
      <c r="DD267" s="2583"/>
      <c r="DE267" s="2583"/>
      <c r="DF267" s="2583"/>
      <c r="DG267" s="2583"/>
      <c r="DH267" s="2583"/>
      <c r="DI267" s="2583"/>
      <c r="DJ267" s="2583"/>
      <c r="DK267" s="2583"/>
      <c r="DL267" s="2583"/>
      <c r="DM267" s="2583"/>
      <c r="DN267" s="2583"/>
      <c r="DO267" s="2583"/>
      <c r="DP267" s="2583"/>
      <c r="DQ267" s="2583"/>
      <c r="DR267" s="2583"/>
      <c r="DS267" s="2583"/>
      <c r="DT267" s="2583"/>
      <c r="DU267" s="2583"/>
      <c r="DV267" s="2583"/>
      <c r="DW267" s="2583"/>
      <c r="DX267" s="2583"/>
      <c r="DY267" s="2583"/>
      <c r="DZ267" s="2583"/>
      <c r="EA267" s="2583"/>
      <c r="EB267" s="2583"/>
      <c r="EC267" s="2583"/>
      <c r="ED267" s="2583"/>
      <c r="EE267" s="2583"/>
      <c r="EF267" s="2583"/>
      <c r="EG267" s="2583"/>
      <c r="EH267" s="2583"/>
      <c r="EI267" s="2583"/>
      <c r="EJ267" s="2583"/>
      <c r="EK267" s="2583"/>
      <c r="EL267" s="2583"/>
      <c r="EM267" s="2583"/>
      <c r="EN267" s="2583"/>
      <c r="EO267" s="2583"/>
      <c r="EP267" s="2583"/>
      <c r="EQ267" s="2583"/>
      <c r="ER267" s="2583"/>
      <c r="ES267" s="2583"/>
      <c r="ET267" s="2583"/>
      <c r="EU267" s="2583"/>
      <c r="EV267" s="2583"/>
      <c r="EW267" s="2583"/>
      <c r="EX267" s="2583"/>
      <c r="EY267" s="2583"/>
      <c r="EZ267" s="2583"/>
      <c r="FA267" s="2583"/>
      <c r="FB267" s="2583"/>
      <c r="FC267" s="2583"/>
      <c r="FD267" s="2583"/>
      <c r="FE267" s="2583"/>
      <c r="FF267" s="2583"/>
      <c r="FG267" s="2583"/>
      <c r="FH267" s="2583"/>
      <c r="FI267" s="2583"/>
      <c r="FJ267" s="2583"/>
      <c r="FK267" s="2583"/>
      <c r="FL267" s="2583"/>
      <c r="FM267" s="2583"/>
      <c r="FN267" s="2583"/>
      <c r="FO267" s="2583"/>
      <c r="FP267" s="2583"/>
      <c r="FQ267" s="2583"/>
      <c r="FR267" s="2583"/>
      <c r="FS267" s="2583"/>
      <c r="FT267" s="2583"/>
      <c r="FU267" s="2583"/>
      <c r="FV267" s="2583"/>
      <c r="FW267" s="2583"/>
      <c r="FX267" s="2583"/>
      <c r="FY267" s="2583"/>
      <c r="FZ267" s="2583"/>
      <c r="GA267" s="2583"/>
      <c r="GB267" s="2583"/>
      <c r="GC267" s="2583"/>
      <c r="GD267" s="2583"/>
      <c r="GE267" s="2583"/>
      <c r="GF267" s="2583"/>
      <c r="GG267" s="2583"/>
      <c r="GH267" s="2583"/>
      <c r="GI267" s="2583"/>
      <c r="GJ267" s="2583"/>
      <c r="GK267" s="2583"/>
      <c r="GL267" s="2583"/>
      <c r="GM267" s="2583"/>
      <c r="GN267" s="2583"/>
      <c r="GO267" s="2583"/>
      <c r="GP267" s="2583"/>
      <c r="GQ267" s="2583"/>
      <c r="GR267" s="2583"/>
      <c r="GS267" s="2583"/>
      <c r="GT267" s="2583"/>
      <c r="GU267" s="2583"/>
      <c r="GV267" s="2583"/>
      <c r="GW267" s="2583"/>
      <c r="GX267" s="2583"/>
      <c r="GY267" s="2583"/>
      <c r="GZ267" s="2583"/>
      <c r="HA267" s="2583"/>
      <c r="HB267" s="2583"/>
      <c r="HC267" s="2583"/>
      <c r="HD267" s="2583"/>
      <c r="HE267" s="2583"/>
      <c r="HF267" s="2583"/>
      <c r="HG267" s="2583"/>
      <c r="HH267" s="2583"/>
      <c r="HI267" s="2583"/>
      <c r="HJ267" s="2583"/>
      <c r="HK267" s="2583"/>
      <c r="HL267" s="2583"/>
      <c r="HM267" s="2583"/>
      <c r="HN267" s="2583"/>
      <c r="HO267" s="2583"/>
      <c r="HP267" s="2583"/>
      <c r="HQ267" s="2583"/>
      <c r="HR267" s="2583"/>
      <c r="HS267" s="2583"/>
      <c r="HT267" s="2583"/>
      <c r="HU267" s="2583"/>
      <c r="HV267" s="2583"/>
      <c r="HW267" s="2583"/>
      <c r="HX267" s="2583"/>
      <c r="HY267" s="2583"/>
      <c r="HZ267" s="2583"/>
      <c r="IA267" s="2583"/>
      <c r="IB267" s="2583"/>
      <c r="IC267" s="2583"/>
      <c r="ID267" s="2583"/>
      <c r="IE267" s="2583"/>
      <c r="IF267" s="2583"/>
      <c r="IG267" s="2583"/>
      <c r="IH267" s="2583"/>
      <c r="II267" s="2583"/>
      <c r="IJ267" s="2583"/>
      <c r="IK267" s="2583"/>
      <c r="IL267" s="2583"/>
      <c r="IM267" s="2583"/>
      <c r="IN267" s="2583"/>
      <c r="IO267" s="2583"/>
      <c r="IP267" s="2583"/>
      <c r="IQ267" s="2583"/>
      <c r="IR267" s="2583"/>
      <c r="IS267" s="2583"/>
      <c r="IT267" s="2583"/>
      <c r="IU267" s="2583"/>
      <c r="IV267" s="2583"/>
    </row>
    <row r="268" spans="3:256">
      <c r="C268" s="2584"/>
      <c r="D268" s="2584"/>
      <c r="E268" s="2584"/>
      <c r="F268" s="2584"/>
      <c r="G268" s="2584"/>
      <c r="H268" s="2584"/>
      <c r="AC268" s="2583"/>
      <c r="AD268" s="2583"/>
      <c r="AE268" s="2583"/>
      <c r="AF268" s="2583"/>
      <c r="AG268" s="2583"/>
      <c r="AH268" s="2583"/>
      <c r="AI268" s="2583"/>
      <c r="AJ268" s="2583"/>
      <c r="AK268" s="2583"/>
      <c r="AL268" s="2583"/>
      <c r="AM268" s="2583"/>
      <c r="AN268" s="2583"/>
      <c r="AO268" s="2583"/>
      <c r="AP268" s="2583"/>
      <c r="AQ268" s="2583"/>
      <c r="AR268" s="2583"/>
      <c r="AS268" s="2583"/>
      <c r="AT268" s="2583"/>
      <c r="AU268" s="2583"/>
      <c r="AV268" s="2583"/>
      <c r="AW268" s="2583"/>
      <c r="AX268" s="2583"/>
      <c r="AY268" s="2583"/>
      <c r="AZ268" s="2583"/>
      <c r="BA268" s="2583"/>
      <c r="BB268" s="2583"/>
      <c r="BC268" s="2583"/>
      <c r="BD268" s="2583"/>
      <c r="BE268" s="2583"/>
      <c r="BF268" s="2583"/>
      <c r="BG268" s="2583"/>
      <c r="BH268" s="2583"/>
      <c r="BI268" s="2583"/>
      <c r="BJ268" s="2583"/>
      <c r="BK268" s="2583"/>
      <c r="BL268" s="2583"/>
      <c r="BM268" s="2583"/>
      <c r="BN268" s="2583"/>
      <c r="BO268" s="2583"/>
      <c r="BP268" s="2583"/>
      <c r="BQ268" s="2583"/>
      <c r="BR268" s="2583"/>
      <c r="BS268" s="2583"/>
      <c r="BT268" s="2583"/>
      <c r="BU268" s="2583"/>
      <c r="BV268" s="2583"/>
      <c r="BW268" s="2583"/>
      <c r="BX268" s="2583"/>
      <c r="BY268" s="2583"/>
      <c r="BZ268" s="2583"/>
      <c r="CA268" s="2583"/>
      <c r="CB268" s="2583"/>
      <c r="CC268" s="2583"/>
      <c r="CD268" s="2583"/>
      <c r="CE268" s="2583"/>
      <c r="CF268" s="2583"/>
      <c r="CG268" s="2583"/>
      <c r="CH268" s="2583"/>
      <c r="CI268" s="2583"/>
      <c r="CJ268" s="2583"/>
      <c r="CK268" s="2583"/>
      <c r="CL268" s="2583"/>
      <c r="CM268" s="2583"/>
      <c r="CN268" s="2583"/>
      <c r="CO268" s="2583"/>
      <c r="CP268" s="2583"/>
      <c r="CQ268" s="2583"/>
      <c r="CR268" s="2583"/>
      <c r="CS268" s="2583"/>
      <c r="CT268" s="2583"/>
      <c r="CU268" s="2583"/>
      <c r="CV268" s="2583"/>
      <c r="CW268" s="2583"/>
      <c r="CX268" s="2583"/>
      <c r="CY268" s="2583"/>
      <c r="CZ268" s="2583"/>
      <c r="DA268" s="2583"/>
      <c r="DB268" s="2583"/>
      <c r="DC268" s="2583"/>
      <c r="DD268" s="2583"/>
      <c r="DE268" s="2583"/>
      <c r="DF268" s="2583"/>
      <c r="DG268" s="2583"/>
      <c r="DH268" s="2583"/>
      <c r="DI268" s="2583"/>
      <c r="DJ268" s="2583"/>
      <c r="DK268" s="2583"/>
      <c r="DL268" s="2583"/>
      <c r="DM268" s="2583"/>
      <c r="DN268" s="2583"/>
      <c r="DO268" s="2583"/>
      <c r="DP268" s="2583"/>
      <c r="DQ268" s="2583"/>
      <c r="DR268" s="2583"/>
      <c r="DS268" s="2583"/>
      <c r="DT268" s="2583"/>
      <c r="DU268" s="2583"/>
      <c r="DV268" s="2583"/>
      <c r="DW268" s="2583"/>
      <c r="DX268" s="2583"/>
      <c r="DY268" s="2583"/>
      <c r="DZ268" s="2583"/>
      <c r="EA268" s="2583"/>
      <c r="EB268" s="2583"/>
      <c r="EC268" s="2583"/>
      <c r="ED268" s="2583"/>
      <c r="EE268" s="2583"/>
      <c r="EF268" s="2583"/>
      <c r="EG268" s="2583"/>
      <c r="EH268" s="2583"/>
      <c r="EI268" s="2583"/>
      <c r="EJ268" s="2583"/>
      <c r="EK268" s="2583"/>
      <c r="EL268" s="2583"/>
      <c r="EM268" s="2583"/>
      <c r="EN268" s="2583"/>
      <c r="EO268" s="2583"/>
      <c r="EP268" s="2583"/>
      <c r="EQ268" s="2583"/>
      <c r="ER268" s="2583"/>
      <c r="ES268" s="2583"/>
      <c r="ET268" s="2583"/>
      <c r="EU268" s="2583"/>
      <c r="EV268" s="2583"/>
      <c r="EW268" s="2583"/>
      <c r="EX268" s="2583"/>
      <c r="EY268" s="2583"/>
      <c r="EZ268" s="2583"/>
      <c r="FA268" s="2583"/>
      <c r="FB268" s="2583"/>
      <c r="FC268" s="2583"/>
      <c r="FD268" s="2583"/>
      <c r="FE268" s="2583"/>
      <c r="FF268" s="2583"/>
      <c r="FG268" s="2583"/>
      <c r="FH268" s="2583"/>
      <c r="FI268" s="2583"/>
      <c r="FJ268" s="2583"/>
      <c r="FK268" s="2583"/>
      <c r="FL268" s="2583"/>
      <c r="FM268" s="2583"/>
      <c r="FN268" s="2583"/>
      <c r="FO268" s="2583"/>
      <c r="FP268" s="2583"/>
      <c r="FQ268" s="2583"/>
      <c r="FR268" s="2583"/>
      <c r="FS268" s="2583"/>
      <c r="FT268" s="2583"/>
      <c r="FU268" s="2583"/>
      <c r="FV268" s="2583"/>
      <c r="FW268" s="2583"/>
      <c r="FX268" s="2583"/>
      <c r="FY268" s="2583"/>
      <c r="FZ268" s="2583"/>
      <c r="GA268" s="2583"/>
      <c r="GB268" s="2583"/>
      <c r="GC268" s="2583"/>
      <c r="GD268" s="2583"/>
      <c r="GE268" s="2583"/>
      <c r="GF268" s="2583"/>
      <c r="GG268" s="2583"/>
      <c r="GH268" s="2583"/>
      <c r="GI268" s="2583"/>
      <c r="GJ268" s="2583"/>
      <c r="GK268" s="2583"/>
      <c r="GL268" s="2583"/>
      <c r="GM268" s="2583"/>
      <c r="GN268" s="2583"/>
      <c r="GO268" s="2583"/>
      <c r="GP268" s="2583"/>
      <c r="GQ268" s="2583"/>
      <c r="GR268" s="2583"/>
      <c r="GS268" s="2583"/>
      <c r="GT268" s="2583"/>
      <c r="GU268" s="2583"/>
      <c r="GV268" s="2583"/>
      <c r="GW268" s="2583"/>
      <c r="GX268" s="2583"/>
      <c r="GY268" s="2583"/>
      <c r="GZ268" s="2583"/>
      <c r="HA268" s="2583"/>
      <c r="HB268" s="2583"/>
      <c r="HC268" s="2583"/>
      <c r="HD268" s="2583"/>
      <c r="HE268" s="2583"/>
      <c r="HF268" s="2583"/>
      <c r="HG268" s="2583"/>
      <c r="HH268" s="2583"/>
      <c r="HI268" s="2583"/>
      <c r="HJ268" s="2583"/>
      <c r="HK268" s="2583"/>
      <c r="HL268" s="2583"/>
      <c r="HM268" s="2583"/>
      <c r="HN268" s="2583"/>
      <c r="HO268" s="2583"/>
      <c r="HP268" s="2583"/>
      <c r="HQ268" s="2583"/>
      <c r="HR268" s="2583"/>
      <c r="HS268" s="2583"/>
      <c r="HT268" s="2583"/>
      <c r="HU268" s="2583"/>
      <c r="HV268" s="2583"/>
      <c r="HW268" s="2583"/>
      <c r="HX268" s="2583"/>
      <c r="HY268" s="2583"/>
      <c r="HZ268" s="2583"/>
      <c r="IA268" s="2583"/>
      <c r="IB268" s="2583"/>
      <c r="IC268" s="2583"/>
      <c r="ID268" s="2583"/>
      <c r="IE268" s="2583"/>
      <c r="IF268" s="2583"/>
      <c r="IG268" s="2583"/>
      <c r="IH268" s="2583"/>
      <c r="II268" s="2583"/>
      <c r="IJ268" s="2583"/>
      <c r="IK268" s="2583"/>
      <c r="IL268" s="2583"/>
      <c r="IM268" s="2583"/>
      <c r="IN268" s="2583"/>
      <c r="IO268" s="2583"/>
      <c r="IP268" s="2583"/>
      <c r="IQ268" s="2583"/>
      <c r="IR268" s="2583"/>
      <c r="IS268" s="2583"/>
      <c r="IT268" s="2583"/>
      <c r="IU268" s="2583"/>
      <c r="IV268" s="2583"/>
    </row>
    <row r="269" spans="3:256">
      <c r="C269" s="2584"/>
      <c r="D269" s="2584"/>
      <c r="E269" s="2584"/>
      <c r="F269" s="2584"/>
      <c r="G269" s="2584"/>
      <c r="H269" s="2584"/>
      <c r="AC269" s="2583"/>
      <c r="AD269" s="2583"/>
      <c r="AE269" s="2583"/>
      <c r="AF269" s="2583"/>
      <c r="AG269" s="2583"/>
      <c r="AH269" s="2583"/>
      <c r="AI269" s="2583"/>
      <c r="AJ269" s="2583"/>
      <c r="AK269" s="2583"/>
      <c r="AL269" s="2583"/>
      <c r="AM269" s="2583"/>
      <c r="AN269" s="2583"/>
      <c r="AO269" s="2583"/>
      <c r="AP269" s="2583"/>
      <c r="AQ269" s="2583"/>
      <c r="AR269" s="2583"/>
      <c r="AS269" s="2583"/>
      <c r="AT269" s="2583"/>
      <c r="AU269" s="2583"/>
      <c r="AV269" s="2583"/>
      <c r="AW269" s="2583"/>
      <c r="AX269" s="2583"/>
      <c r="AY269" s="2583"/>
      <c r="AZ269" s="2583"/>
      <c r="BA269" s="2583"/>
      <c r="BB269" s="2583"/>
      <c r="BC269" s="2583"/>
      <c r="BD269" s="2583"/>
      <c r="BE269" s="2583"/>
      <c r="BF269" s="2583"/>
      <c r="BG269" s="2583"/>
      <c r="BH269" s="2583"/>
      <c r="BI269" s="2583"/>
      <c r="BJ269" s="2583"/>
      <c r="BK269" s="2583"/>
      <c r="BL269" s="2583"/>
      <c r="BM269" s="2583"/>
      <c r="BN269" s="2583"/>
      <c r="BO269" s="2583"/>
      <c r="BP269" s="2583"/>
      <c r="BQ269" s="2583"/>
      <c r="BR269" s="2583"/>
      <c r="BS269" s="2583"/>
      <c r="BT269" s="2583"/>
      <c r="BU269" s="2583"/>
      <c r="BV269" s="2583"/>
      <c r="BW269" s="2583"/>
      <c r="BX269" s="2583"/>
      <c r="BY269" s="2583"/>
      <c r="BZ269" s="2583"/>
      <c r="CA269" s="2583"/>
      <c r="CB269" s="2583"/>
      <c r="CC269" s="2583"/>
      <c r="CD269" s="2583"/>
      <c r="CE269" s="2583"/>
      <c r="CF269" s="2583"/>
      <c r="CG269" s="2583"/>
      <c r="CH269" s="2583"/>
      <c r="CI269" s="2583"/>
      <c r="CJ269" s="2583"/>
      <c r="CK269" s="2583"/>
      <c r="CL269" s="2583"/>
      <c r="CM269" s="2583"/>
      <c r="CN269" s="2583"/>
      <c r="CO269" s="2583"/>
      <c r="CP269" s="2583"/>
      <c r="CQ269" s="2583"/>
      <c r="CR269" s="2583"/>
      <c r="CS269" s="2583"/>
      <c r="CT269" s="2583"/>
      <c r="CU269" s="2583"/>
      <c r="CV269" s="2583"/>
      <c r="CW269" s="2583"/>
      <c r="CX269" s="2583"/>
      <c r="CY269" s="2583"/>
      <c r="CZ269" s="2583"/>
      <c r="DA269" s="2583"/>
      <c r="DB269" s="2583"/>
      <c r="DC269" s="2583"/>
      <c r="DD269" s="2583"/>
      <c r="DE269" s="2583"/>
      <c r="DF269" s="2583"/>
      <c r="DG269" s="2583"/>
      <c r="DH269" s="2583"/>
      <c r="DI269" s="2583"/>
      <c r="DJ269" s="2583"/>
      <c r="DK269" s="2583"/>
      <c r="DL269" s="2583"/>
      <c r="DM269" s="2583"/>
      <c r="DN269" s="2583"/>
      <c r="DO269" s="2583"/>
      <c r="DP269" s="2583"/>
      <c r="DQ269" s="2583"/>
      <c r="DR269" s="2583"/>
      <c r="DS269" s="2583"/>
      <c r="DT269" s="2583"/>
      <c r="DU269" s="2583"/>
      <c r="DV269" s="2583"/>
      <c r="DW269" s="2583"/>
      <c r="DX269" s="2583"/>
      <c r="DY269" s="2583"/>
      <c r="DZ269" s="2583"/>
      <c r="EA269" s="2583"/>
      <c r="EB269" s="2583"/>
      <c r="EC269" s="2583"/>
      <c r="ED269" s="2583"/>
      <c r="EE269" s="2583"/>
      <c r="EF269" s="2583"/>
      <c r="EG269" s="2583"/>
      <c r="EH269" s="2583"/>
      <c r="EI269" s="2583"/>
      <c r="EJ269" s="2583"/>
      <c r="EK269" s="2583"/>
      <c r="EL269" s="2583"/>
      <c r="EM269" s="2583"/>
      <c r="EN269" s="2583"/>
      <c r="EO269" s="2583"/>
      <c r="EP269" s="2583"/>
      <c r="EQ269" s="2583"/>
      <c r="ER269" s="2583"/>
      <c r="ES269" s="2583"/>
      <c r="ET269" s="2583"/>
      <c r="EU269" s="2583"/>
      <c r="EV269" s="2583"/>
      <c r="EW269" s="2583"/>
      <c r="EX269" s="2583"/>
      <c r="EY269" s="2583"/>
      <c r="EZ269" s="2583"/>
      <c r="FA269" s="2583"/>
      <c r="FB269" s="2583"/>
      <c r="FC269" s="2583"/>
      <c r="FD269" s="2583"/>
      <c r="FE269" s="2583"/>
      <c r="FF269" s="2583"/>
      <c r="FG269" s="2583"/>
      <c r="FH269" s="2583"/>
      <c r="FI269" s="2583"/>
      <c r="FJ269" s="2583"/>
      <c r="FK269" s="2583"/>
      <c r="FL269" s="2583"/>
      <c r="FM269" s="2583"/>
      <c r="FN269" s="2583"/>
      <c r="FO269" s="2583"/>
      <c r="FP269" s="2583"/>
      <c r="FQ269" s="2583"/>
      <c r="FR269" s="2583"/>
      <c r="FS269" s="2583"/>
      <c r="FT269" s="2583"/>
      <c r="FU269" s="2583"/>
      <c r="FV269" s="2583"/>
      <c r="FW269" s="2583"/>
      <c r="FX269" s="2583"/>
      <c r="FY269" s="2583"/>
      <c r="FZ269" s="2583"/>
      <c r="GA269" s="2583"/>
      <c r="GB269" s="2583"/>
      <c r="GC269" s="2583"/>
      <c r="GD269" s="2583"/>
      <c r="GE269" s="2583"/>
      <c r="GF269" s="2583"/>
      <c r="GG269" s="2583"/>
      <c r="GH269" s="2583"/>
      <c r="GI269" s="2583"/>
      <c r="GJ269" s="2583"/>
      <c r="GK269" s="2583"/>
      <c r="GL269" s="2583"/>
      <c r="GM269" s="2583"/>
      <c r="GN269" s="2583"/>
      <c r="GO269" s="2583"/>
      <c r="GP269" s="2583"/>
      <c r="GQ269" s="2583"/>
      <c r="GR269" s="2583"/>
      <c r="GS269" s="2583"/>
      <c r="GT269" s="2583"/>
      <c r="GU269" s="2583"/>
      <c r="GV269" s="2583"/>
      <c r="GW269" s="2583"/>
      <c r="GX269" s="2583"/>
      <c r="GY269" s="2583"/>
      <c r="GZ269" s="2583"/>
      <c r="HA269" s="2583"/>
      <c r="HB269" s="2583"/>
      <c r="HC269" s="2583"/>
      <c r="HD269" s="2583"/>
      <c r="HE269" s="2583"/>
      <c r="HF269" s="2583"/>
      <c r="HG269" s="2583"/>
      <c r="HH269" s="2583"/>
      <c r="HI269" s="2583"/>
      <c r="HJ269" s="2583"/>
      <c r="HK269" s="2583"/>
      <c r="HL269" s="2583"/>
      <c r="HM269" s="2583"/>
      <c r="HN269" s="2583"/>
      <c r="HO269" s="2583"/>
      <c r="HP269" s="2583"/>
      <c r="HQ269" s="2583"/>
      <c r="HR269" s="2583"/>
      <c r="HS269" s="2583"/>
      <c r="HT269" s="2583"/>
      <c r="HU269" s="2583"/>
      <c r="HV269" s="2583"/>
      <c r="HW269" s="2583"/>
      <c r="HX269" s="2583"/>
      <c r="HY269" s="2583"/>
      <c r="HZ269" s="2583"/>
      <c r="IA269" s="2583"/>
      <c r="IB269" s="2583"/>
      <c r="IC269" s="2583"/>
      <c r="ID269" s="2583"/>
      <c r="IE269" s="2583"/>
      <c r="IF269" s="2583"/>
      <c r="IG269" s="2583"/>
      <c r="IH269" s="2583"/>
      <c r="II269" s="2583"/>
      <c r="IJ269" s="2583"/>
      <c r="IK269" s="2583"/>
      <c r="IL269" s="2583"/>
      <c r="IM269" s="2583"/>
      <c r="IN269" s="2583"/>
      <c r="IO269" s="2583"/>
      <c r="IP269" s="2583"/>
      <c r="IQ269" s="2583"/>
      <c r="IR269" s="2583"/>
      <c r="IS269" s="2583"/>
      <c r="IT269" s="2583"/>
      <c r="IU269" s="2583"/>
      <c r="IV269" s="2583"/>
    </row>
    <row r="270" spans="3:256">
      <c r="C270" s="2584"/>
      <c r="D270" s="2584"/>
      <c r="E270" s="2584"/>
      <c r="F270" s="2584"/>
      <c r="G270" s="2584"/>
      <c r="H270" s="2584"/>
      <c r="AC270" s="2583"/>
      <c r="AD270" s="2583"/>
      <c r="AE270" s="2583"/>
      <c r="AF270" s="2583"/>
      <c r="AG270" s="2583"/>
      <c r="AH270" s="2583"/>
      <c r="AI270" s="2583"/>
      <c r="AJ270" s="2583"/>
      <c r="AK270" s="2583"/>
      <c r="AL270" s="2583"/>
      <c r="AM270" s="2583"/>
      <c r="AN270" s="2583"/>
      <c r="AO270" s="2583"/>
      <c r="AP270" s="2583"/>
      <c r="AQ270" s="2583"/>
      <c r="AR270" s="2583"/>
      <c r="AS270" s="2583"/>
      <c r="AT270" s="2583"/>
      <c r="AU270" s="2583"/>
      <c r="AV270" s="2583"/>
      <c r="AW270" s="2583"/>
      <c r="AX270" s="2583"/>
      <c r="AY270" s="2583"/>
      <c r="AZ270" s="2583"/>
      <c r="BA270" s="2583"/>
      <c r="BB270" s="2583"/>
      <c r="BC270" s="2583"/>
      <c r="BD270" s="2583"/>
      <c r="BE270" s="2583"/>
      <c r="BF270" s="2583"/>
      <c r="BG270" s="2583"/>
      <c r="BH270" s="2583"/>
      <c r="BI270" s="2583"/>
      <c r="BJ270" s="2583"/>
      <c r="BK270" s="2583"/>
      <c r="BL270" s="2583"/>
      <c r="BM270" s="2583"/>
      <c r="BN270" s="2583"/>
      <c r="BO270" s="2583"/>
      <c r="BP270" s="2583"/>
      <c r="BQ270" s="2583"/>
      <c r="BR270" s="2583"/>
      <c r="BS270" s="2583"/>
      <c r="BT270" s="2583"/>
      <c r="BU270" s="2583"/>
      <c r="BV270" s="2583"/>
      <c r="BW270" s="2583"/>
      <c r="BX270" s="2583"/>
      <c r="BY270" s="2583"/>
      <c r="BZ270" s="2583"/>
      <c r="CA270" s="2583"/>
      <c r="CB270" s="2583"/>
      <c r="CC270" s="2583"/>
      <c r="CD270" s="2583"/>
      <c r="CE270" s="2583"/>
      <c r="CF270" s="2583"/>
      <c r="CG270" s="2583"/>
      <c r="CH270" s="2583"/>
      <c r="CI270" s="2583"/>
      <c r="CJ270" s="2583"/>
      <c r="CK270" s="2583"/>
      <c r="CL270" s="2583"/>
      <c r="CM270" s="2583"/>
      <c r="CN270" s="2583"/>
      <c r="CO270" s="2583"/>
      <c r="CP270" s="2583"/>
      <c r="CQ270" s="2583"/>
      <c r="CR270" s="2583"/>
      <c r="CS270" s="2583"/>
      <c r="CT270" s="2583"/>
      <c r="CU270" s="2583"/>
      <c r="CV270" s="2583"/>
      <c r="CW270" s="2583"/>
      <c r="CX270" s="2583"/>
      <c r="CY270" s="2583"/>
      <c r="CZ270" s="2583"/>
      <c r="DA270" s="2583"/>
      <c r="DB270" s="2583"/>
      <c r="DC270" s="2583"/>
      <c r="DD270" s="2583"/>
      <c r="DE270" s="2583"/>
      <c r="DF270" s="2583"/>
      <c r="DG270" s="2583"/>
      <c r="DH270" s="2583"/>
      <c r="DI270" s="2583"/>
      <c r="DJ270" s="2583"/>
      <c r="DK270" s="2583"/>
      <c r="DL270" s="2583"/>
      <c r="DM270" s="2583"/>
      <c r="DN270" s="2583"/>
      <c r="DO270" s="2583"/>
      <c r="DP270" s="2583"/>
      <c r="DQ270" s="2583"/>
      <c r="DR270" s="2583"/>
      <c r="DS270" s="2583"/>
      <c r="DT270" s="2583"/>
      <c r="DU270" s="2583"/>
      <c r="DV270" s="2583"/>
      <c r="DW270" s="2583"/>
      <c r="DX270" s="2583"/>
      <c r="DY270" s="2583"/>
      <c r="DZ270" s="2583"/>
      <c r="EA270" s="2583"/>
      <c r="EB270" s="2583"/>
      <c r="EC270" s="2583"/>
      <c r="ED270" s="2583"/>
      <c r="EE270" s="2583"/>
      <c r="EF270" s="2583"/>
      <c r="EG270" s="2583"/>
      <c r="EH270" s="2583"/>
      <c r="EI270" s="2583"/>
      <c r="EJ270" s="2583"/>
      <c r="EK270" s="2583"/>
      <c r="EL270" s="2583"/>
      <c r="EM270" s="2583"/>
      <c r="EN270" s="2583"/>
      <c r="EO270" s="2583"/>
      <c r="EP270" s="2583"/>
      <c r="EQ270" s="2583"/>
      <c r="ER270" s="2583"/>
      <c r="ES270" s="2583"/>
      <c r="ET270" s="2583"/>
      <c r="EU270" s="2583"/>
      <c r="EV270" s="2583"/>
      <c r="EW270" s="2583"/>
      <c r="EX270" s="2583"/>
      <c r="EY270" s="2583"/>
      <c r="EZ270" s="2583"/>
      <c r="FA270" s="2583"/>
      <c r="FB270" s="2583"/>
      <c r="FC270" s="2583"/>
      <c r="FD270" s="2583"/>
      <c r="FE270" s="2583"/>
      <c r="FF270" s="2583"/>
      <c r="FG270" s="2583"/>
      <c r="FH270" s="2583"/>
      <c r="FI270" s="2583"/>
      <c r="FJ270" s="2583"/>
      <c r="FK270" s="2583"/>
      <c r="FL270" s="2583"/>
      <c r="FM270" s="2583"/>
      <c r="FN270" s="2583"/>
      <c r="FO270" s="2583"/>
      <c r="FP270" s="2583"/>
      <c r="FQ270" s="2583"/>
      <c r="FR270" s="2583"/>
      <c r="FS270" s="2583"/>
      <c r="FT270" s="2583"/>
      <c r="FU270" s="2583"/>
      <c r="FV270" s="2583"/>
      <c r="FW270" s="2583"/>
      <c r="FX270" s="2583"/>
      <c r="FY270" s="2583"/>
      <c r="FZ270" s="2583"/>
      <c r="GA270" s="2583"/>
      <c r="GB270" s="2583"/>
      <c r="GC270" s="2583"/>
      <c r="GD270" s="2583"/>
      <c r="GE270" s="2583"/>
      <c r="GF270" s="2583"/>
      <c r="GG270" s="2583"/>
      <c r="GH270" s="2583"/>
      <c r="GI270" s="2583"/>
      <c r="GJ270" s="2583"/>
      <c r="GK270" s="2583"/>
      <c r="GL270" s="2583"/>
      <c r="GM270" s="2583"/>
      <c r="GN270" s="2583"/>
      <c r="GO270" s="2583"/>
      <c r="GP270" s="2583"/>
      <c r="GQ270" s="2583"/>
      <c r="GR270" s="2583"/>
      <c r="GS270" s="2583"/>
      <c r="GT270" s="2583"/>
      <c r="GU270" s="2583"/>
      <c r="GV270" s="2583"/>
      <c r="GW270" s="2583"/>
      <c r="GX270" s="2583"/>
      <c r="GY270" s="2583"/>
      <c r="GZ270" s="2583"/>
      <c r="HA270" s="2583"/>
      <c r="HB270" s="2583"/>
      <c r="HC270" s="2583"/>
      <c r="HD270" s="2583"/>
      <c r="HE270" s="2583"/>
      <c r="HF270" s="2583"/>
      <c r="HG270" s="2583"/>
      <c r="HH270" s="2583"/>
      <c r="HI270" s="2583"/>
      <c r="HJ270" s="2583"/>
      <c r="HK270" s="2583"/>
      <c r="HL270" s="2583"/>
      <c r="HM270" s="2583"/>
      <c r="HN270" s="2583"/>
      <c r="HO270" s="2583"/>
      <c r="HP270" s="2583"/>
      <c r="HQ270" s="2583"/>
      <c r="HR270" s="2583"/>
      <c r="HS270" s="2583"/>
      <c r="HT270" s="2583"/>
      <c r="HU270" s="2583"/>
      <c r="HV270" s="2583"/>
      <c r="HW270" s="2583"/>
      <c r="HX270" s="2583"/>
      <c r="HY270" s="2583"/>
      <c r="HZ270" s="2583"/>
      <c r="IA270" s="2583"/>
      <c r="IB270" s="2583"/>
      <c r="IC270" s="2583"/>
      <c r="ID270" s="2583"/>
      <c r="IE270" s="2583"/>
      <c r="IF270" s="2583"/>
      <c r="IG270" s="2583"/>
      <c r="IH270" s="2583"/>
      <c r="II270" s="2583"/>
      <c r="IJ270" s="2583"/>
      <c r="IK270" s="2583"/>
      <c r="IL270" s="2583"/>
      <c r="IM270" s="2583"/>
      <c r="IN270" s="2583"/>
      <c r="IO270" s="2583"/>
      <c r="IP270" s="2583"/>
      <c r="IQ270" s="2583"/>
      <c r="IR270" s="2583"/>
      <c r="IS270" s="2583"/>
      <c r="IT270" s="2583"/>
      <c r="IU270" s="2583"/>
      <c r="IV270" s="2583"/>
    </row>
    <row r="271" spans="3:256">
      <c r="C271" s="2584"/>
      <c r="D271" s="2584"/>
      <c r="E271" s="2584"/>
      <c r="F271" s="2584"/>
      <c r="G271" s="2584"/>
      <c r="H271" s="2584"/>
      <c r="AC271" s="2583"/>
      <c r="AD271" s="2583"/>
      <c r="AE271" s="2583"/>
      <c r="AF271" s="2583"/>
      <c r="AG271" s="2583"/>
      <c r="AH271" s="2583"/>
      <c r="AI271" s="2583"/>
      <c r="AJ271" s="2583"/>
      <c r="AK271" s="2583"/>
      <c r="AL271" s="2583"/>
      <c r="AM271" s="2583"/>
      <c r="AN271" s="2583"/>
      <c r="AO271" s="2583"/>
      <c r="AP271" s="2583"/>
      <c r="AQ271" s="2583"/>
      <c r="AR271" s="2583"/>
      <c r="AS271" s="2583"/>
      <c r="AT271" s="2583"/>
      <c r="AU271" s="2583"/>
      <c r="AV271" s="2583"/>
      <c r="AW271" s="2583"/>
      <c r="AX271" s="2583"/>
      <c r="AY271" s="2583"/>
      <c r="AZ271" s="2583"/>
      <c r="BA271" s="2583"/>
      <c r="BB271" s="2583"/>
      <c r="BC271" s="2583"/>
      <c r="BD271" s="2583"/>
      <c r="BE271" s="2583"/>
      <c r="BF271" s="2583"/>
      <c r="BG271" s="2583"/>
      <c r="BH271" s="2583"/>
      <c r="BI271" s="2583"/>
      <c r="BJ271" s="2583"/>
      <c r="BK271" s="2583"/>
      <c r="BL271" s="2583"/>
      <c r="BM271" s="2583"/>
      <c r="BN271" s="2583"/>
      <c r="BO271" s="2583"/>
      <c r="BP271" s="2583"/>
      <c r="BQ271" s="2583"/>
      <c r="BR271" s="2583"/>
      <c r="BS271" s="2583"/>
      <c r="BT271" s="2583"/>
      <c r="BU271" s="2583"/>
      <c r="BV271" s="2583"/>
      <c r="BW271" s="2583"/>
      <c r="BX271" s="2583"/>
      <c r="BY271" s="2583"/>
      <c r="BZ271" s="2583"/>
      <c r="CA271" s="2583"/>
      <c r="CB271" s="2583"/>
      <c r="CC271" s="2583"/>
      <c r="CD271" s="2583"/>
      <c r="CE271" s="2583"/>
      <c r="CF271" s="2583"/>
      <c r="CG271" s="2583"/>
      <c r="CH271" s="2583"/>
      <c r="CI271" s="2583"/>
      <c r="CJ271" s="2583"/>
      <c r="CK271" s="2583"/>
      <c r="CL271" s="2583"/>
      <c r="CM271" s="2583"/>
      <c r="CN271" s="2583"/>
      <c r="CO271" s="2583"/>
      <c r="CP271" s="2583"/>
      <c r="CQ271" s="2583"/>
      <c r="CR271" s="2583"/>
      <c r="CS271" s="2583"/>
      <c r="CT271" s="2583"/>
      <c r="CU271" s="2583"/>
      <c r="CV271" s="2583"/>
      <c r="CW271" s="2583"/>
      <c r="CX271" s="2583"/>
      <c r="CY271" s="2583"/>
      <c r="CZ271" s="2583"/>
      <c r="DA271" s="2583"/>
      <c r="DB271" s="2583"/>
      <c r="DC271" s="2583"/>
      <c r="DD271" s="2583"/>
      <c r="DE271" s="2583"/>
      <c r="DF271" s="2583"/>
      <c r="DG271" s="2583"/>
      <c r="DH271" s="2583"/>
      <c r="DI271" s="2583"/>
      <c r="DJ271" s="2583"/>
      <c r="DK271" s="2583"/>
      <c r="DL271" s="2583"/>
      <c r="DM271" s="2583"/>
      <c r="DN271" s="2583"/>
      <c r="DO271" s="2583"/>
      <c r="DP271" s="2583"/>
      <c r="DQ271" s="2583"/>
      <c r="DR271" s="2583"/>
      <c r="DS271" s="2583"/>
      <c r="DT271" s="2583"/>
      <c r="DU271" s="2583"/>
      <c r="DV271" s="2583"/>
      <c r="DW271" s="2583"/>
      <c r="DX271" s="2583"/>
      <c r="DY271" s="2583"/>
      <c r="DZ271" s="2583"/>
      <c r="EA271" s="2583"/>
      <c r="EB271" s="2583"/>
      <c r="EC271" s="2583"/>
      <c r="ED271" s="2583"/>
      <c r="EE271" s="2583"/>
      <c r="EF271" s="2583"/>
      <c r="EG271" s="2583"/>
      <c r="EH271" s="2583"/>
      <c r="EI271" s="2583"/>
      <c r="EJ271" s="2583"/>
      <c r="EK271" s="2583"/>
      <c r="EL271" s="2583"/>
      <c r="EM271" s="2583"/>
      <c r="EN271" s="2583"/>
      <c r="EO271" s="2583"/>
      <c r="EP271" s="2583"/>
      <c r="EQ271" s="2583"/>
      <c r="ER271" s="2583"/>
      <c r="ES271" s="2583"/>
      <c r="ET271" s="2583"/>
      <c r="EU271" s="2583"/>
      <c r="EV271" s="2583"/>
      <c r="EW271" s="2583"/>
      <c r="EX271" s="2583"/>
      <c r="EY271" s="2583"/>
      <c r="EZ271" s="2583"/>
      <c r="FA271" s="2583"/>
      <c r="FB271" s="2583"/>
      <c r="FC271" s="2583"/>
      <c r="FD271" s="2583"/>
      <c r="FE271" s="2583"/>
      <c r="FF271" s="2583"/>
      <c r="FG271" s="2583"/>
      <c r="FH271" s="2583"/>
      <c r="FI271" s="2583"/>
      <c r="FJ271" s="2583"/>
      <c r="FK271" s="2583"/>
      <c r="FL271" s="2583"/>
      <c r="FM271" s="2583"/>
      <c r="FN271" s="2583"/>
      <c r="FO271" s="2583"/>
      <c r="FP271" s="2583"/>
      <c r="FQ271" s="2583"/>
      <c r="FR271" s="2583"/>
      <c r="FS271" s="2583"/>
      <c r="FT271" s="2583"/>
      <c r="FU271" s="2583"/>
      <c r="FV271" s="2583"/>
      <c r="FW271" s="2583"/>
      <c r="FX271" s="2583"/>
      <c r="FY271" s="2583"/>
      <c r="FZ271" s="2583"/>
      <c r="GA271" s="2583"/>
      <c r="GB271" s="2583"/>
      <c r="GC271" s="2583"/>
      <c r="GD271" s="2583"/>
      <c r="GE271" s="2583"/>
      <c r="GF271" s="2583"/>
      <c r="GG271" s="2583"/>
      <c r="GH271" s="2583"/>
      <c r="GI271" s="2583"/>
      <c r="GJ271" s="2583"/>
      <c r="GK271" s="2583"/>
      <c r="GL271" s="2583"/>
      <c r="GM271" s="2583"/>
      <c r="GN271" s="2583"/>
      <c r="GO271" s="2583"/>
      <c r="GP271" s="2583"/>
      <c r="GQ271" s="2583"/>
      <c r="GR271" s="2583"/>
      <c r="GS271" s="2583"/>
      <c r="GT271" s="2583"/>
      <c r="GU271" s="2583"/>
      <c r="GV271" s="2583"/>
      <c r="GW271" s="2583"/>
      <c r="GX271" s="2583"/>
      <c r="GY271" s="2583"/>
      <c r="GZ271" s="2583"/>
      <c r="HA271" s="2583"/>
      <c r="HB271" s="2583"/>
      <c r="HC271" s="2583"/>
      <c r="HD271" s="2583"/>
      <c r="HE271" s="2583"/>
      <c r="HF271" s="2583"/>
      <c r="HG271" s="2583"/>
      <c r="HH271" s="2583"/>
      <c r="HI271" s="2583"/>
      <c r="HJ271" s="2583"/>
      <c r="HK271" s="2583"/>
      <c r="HL271" s="2583"/>
      <c r="HM271" s="2583"/>
      <c r="HN271" s="2583"/>
      <c r="HO271" s="2583"/>
      <c r="HP271" s="2583"/>
      <c r="HQ271" s="2583"/>
      <c r="HR271" s="2583"/>
      <c r="HS271" s="2583"/>
      <c r="HT271" s="2583"/>
      <c r="HU271" s="2583"/>
      <c r="HV271" s="2583"/>
      <c r="HW271" s="2583"/>
      <c r="HX271" s="2583"/>
      <c r="HY271" s="2583"/>
      <c r="HZ271" s="2583"/>
      <c r="IA271" s="2583"/>
      <c r="IB271" s="2583"/>
      <c r="IC271" s="2583"/>
      <c r="ID271" s="2583"/>
      <c r="IE271" s="2583"/>
      <c r="IF271" s="2583"/>
      <c r="IG271" s="2583"/>
      <c r="IH271" s="2583"/>
      <c r="II271" s="2583"/>
      <c r="IJ271" s="2583"/>
      <c r="IK271" s="2583"/>
      <c r="IL271" s="2583"/>
      <c r="IM271" s="2583"/>
      <c r="IN271" s="2583"/>
      <c r="IO271" s="2583"/>
      <c r="IP271" s="2583"/>
      <c r="IQ271" s="2583"/>
      <c r="IR271" s="2583"/>
      <c r="IS271" s="2583"/>
      <c r="IT271" s="2583"/>
      <c r="IU271" s="2583"/>
      <c r="IV271" s="2583"/>
    </row>
    <row r="272" spans="3:256">
      <c r="C272" s="2584"/>
      <c r="D272" s="2584"/>
      <c r="E272" s="2584"/>
      <c r="F272" s="2584"/>
      <c r="G272" s="2584"/>
      <c r="H272" s="2584"/>
      <c r="AC272" s="2583"/>
      <c r="AD272" s="2583"/>
      <c r="AE272" s="2583"/>
      <c r="AF272" s="2583"/>
      <c r="AG272" s="2583"/>
      <c r="AH272" s="2583"/>
      <c r="AI272" s="2583"/>
      <c r="AJ272" s="2583"/>
      <c r="AK272" s="2583"/>
      <c r="AL272" s="2583"/>
      <c r="AM272" s="2583"/>
      <c r="AN272" s="2583"/>
      <c r="AO272" s="2583"/>
      <c r="AP272" s="2583"/>
      <c r="AQ272" s="2583"/>
      <c r="AR272" s="2583"/>
      <c r="AS272" s="2583"/>
      <c r="AT272" s="2583"/>
      <c r="AU272" s="2583"/>
      <c r="AV272" s="2583"/>
      <c r="AW272" s="2583"/>
      <c r="AX272" s="2583"/>
      <c r="AY272" s="2583"/>
      <c r="AZ272" s="2583"/>
      <c r="BA272" s="2583"/>
      <c r="BB272" s="2583"/>
      <c r="BC272" s="2583"/>
      <c r="BD272" s="2583"/>
      <c r="BE272" s="2583"/>
      <c r="BF272" s="2583"/>
      <c r="BG272" s="2583"/>
      <c r="BH272" s="2583"/>
      <c r="BI272" s="2583"/>
      <c r="BJ272" s="2583"/>
      <c r="BK272" s="2583"/>
      <c r="BL272" s="2583"/>
      <c r="BM272" s="2583"/>
      <c r="BN272" s="2583"/>
      <c r="BO272" s="2583"/>
      <c r="BP272" s="2583"/>
      <c r="BQ272" s="2583"/>
      <c r="BR272" s="2583"/>
      <c r="BS272" s="2583"/>
      <c r="BT272" s="2583"/>
      <c r="BU272" s="2583"/>
      <c r="BV272" s="2583"/>
      <c r="BW272" s="2583"/>
      <c r="BX272" s="2583"/>
      <c r="BY272" s="2583"/>
      <c r="BZ272" s="2583"/>
      <c r="CA272" s="2583"/>
      <c r="CB272" s="2583"/>
      <c r="CC272" s="2583"/>
      <c r="CD272" s="2583"/>
      <c r="CE272" s="2583"/>
      <c r="CF272" s="2583"/>
      <c r="CG272" s="2583"/>
      <c r="CH272" s="2583"/>
      <c r="CI272" s="2583"/>
      <c r="CJ272" s="2583"/>
      <c r="CK272" s="2583"/>
      <c r="CL272" s="2583"/>
      <c r="CM272" s="2583"/>
      <c r="CN272" s="2583"/>
      <c r="CO272" s="2583"/>
      <c r="CP272" s="2583"/>
      <c r="CQ272" s="2583"/>
      <c r="CR272" s="2583"/>
      <c r="CS272" s="2583"/>
      <c r="CT272" s="2583"/>
      <c r="CU272" s="2583"/>
      <c r="CV272" s="2583"/>
      <c r="CW272" s="2583"/>
      <c r="CX272" s="2583"/>
      <c r="CY272" s="2583"/>
      <c r="CZ272" s="2583"/>
      <c r="DA272" s="2583"/>
      <c r="DB272" s="2583"/>
      <c r="DC272" s="2583"/>
      <c r="DD272" s="2583"/>
      <c r="DE272" s="2583"/>
      <c r="DF272" s="2583"/>
      <c r="DG272" s="2583"/>
      <c r="DH272" s="2583"/>
      <c r="DI272" s="2583"/>
      <c r="DJ272" s="2583"/>
      <c r="DK272" s="2583"/>
      <c r="DL272" s="2583"/>
      <c r="DM272" s="2583"/>
      <c r="DN272" s="2583"/>
      <c r="DO272" s="2583"/>
      <c r="DP272" s="2583"/>
      <c r="DQ272" s="2583"/>
      <c r="DR272" s="2583"/>
      <c r="DS272" s="2583"/>
      <c r="DT272" s="2583"/>
      <c r="DU272" s="2583"/>
      <c r="DV272" s="2583"/>
      <c r="DW272" s="2583"/>
      <c r="DX272" s="2583"/>
      <c r="DY272" s="2583"/>
      <c r="DZ272" s="2583"/>
      <c r="EA272" s="2583"/>
      <c r="EB272" s="2583"/>
      <c r="EC272" s="2583"/>
      <c r="ED272" s="2583"/>
      <c r="EE272" s="2583"/>
      <c r="EF272" s="2583"/>
      <c r="EG272" s="2583"/>
      <c r="EH272" s="2583"/>
      <c r="EI272" s="2583"/>
      <c r="EJ272" s="2583"/>
      <c r="EK272" s="2583"/>
      <c r="EL272" s="2583"/>
      <c r="EM272" s="2583"/>
      <c r="EN272" s="2583"/>
      <c r="EO272" s="2583"/>
      <c r="EP272" s="2583"/>
      <c r="EQ272" s="2583"/>
      <c r="ER272" s="2583"/>
      <c r="ES272" s="2583"/>
      <c r="ET272" s="2583"/>
      <c r="EU272" s="2583"/>
      <c r="EV272" s="2583"/>
      <c r="EW272" s="2583"/>
      <c r="EX272" s="2583"/>
      <c r="EY272" s="2583"/>
      <c r="EZ272" s="2583"/>
      <c r="FA272" s="2583"/>
      <c r="FB272" s="2583"/>
      <c r="FC272" s="2583"/>
      <c r="FD272" s="2583"/>
      <c r="FE272" s="2583"/>
      <c r="FF272" s="2583"/>
      <c r="FG272" s="2583"/>
      <c r="FH272" s="2583"/>
      <c r="FI272" s="2583"/>
      <c r="FJ272" s="2583"/>
      <c r="FK272" s="2583"/>
      <c r="FL272" s="2583"/>
      <c r="FM272" s="2583"/>
      <c r="FN272" s="2583"/>
      <c r="FO272" s="2583"/>
      <c r="FP272" s="2583"/>
      <c r="FQ272" s="2583"/>
      <c r="FR272" s="2583"/>
      <c r="FS272" s="2583"/>
      <c r="FT272" s="2583"/>
      <c r="FU272" s="2583"/>
      <c r="FV272" s="2583"/>
      <c r="FW272" s="2583"/>
      <c r="FX272" s="2583"/>
      <c r="FY272" s="2583"/>
      <c r="FZ272" s="2583"/>
      <c r="GA272" s="2583"/>
      <c r="GB272" s="2583"/>
      <c r="GC272" s="2583"/>
      <c r="GD272" s="2583"/>
      <c r="GE272" s="2583"/>
      <c r="GF272" s="2583"/>
      <c r="GG272" s="2583"/>
      <c r="GH272" s="2583"/>
      <c r="GI272" s="2583"/>
      <c r="GJ272" s="2583"/>
      <c r="GK272" s="2583"/>
      <c r="GL272" s="2583"/>
      <c r="GM272" s="2583"/>
      <c r="GN272" s="2583"/>
      <c r="GO272" s="2583"/>
      <c r="GP272" s="2583"/>
      <c r="GQ272" s="2583"/>
      <c r="GR272" s="2583"/>
      <c r="GS272" s="2583"/>
      <c r="GT272" s="2583"/>
      <c r="GU272" s="2583"/>
      <c r="GV272" s="2583"/>
      <c r="GW272" s="2583"/>
      <c r="GX272" s="2583"/>
      <c r="GY272" s="2583"/>
      <c r="GZ272" s="2583"/>
      <c r="HA272" s="2583"/>
      <c r="HB272" s="2583"/>
      <c r="HC272" s="2583"/>
      <c r="HD272" s="2583"/>
      <c r="HE272" s="2583"/>
      <c r="HF272" s="2583"/>
      <c r="HG272" s="2583"/>
      <c r="HH272" s="2583"/>
      <c r="HI272" s="2583"/>
      <c r="HJ272" s="2583"/>
      <c r="HK272" s="2583"/>
      <c r="HL272" s="2583"/>
      <c r="HM272" s="2583"/>
      <c r="HN272" s="2583"/>
      <c r="HO272" s="2583"/>
      <c r="HP272" s="2583"/>
      <c r="HQ272" s="2583"/>
      <c r="HR272" s="2583"/>
      <c r="HS272" s="2583"/>
      <c r="HT272" s="2583"/>
      <c r="HU272" s="2583"/>
      <c r="HV272" s="2583"/>
      <c r="HW272" s="2583"/>
      <c r="HX272" s="2583"/>
      <c r="HY272" s="2583"/>
      <c r="HZ272" s="2583"/>
      <c r="IA272" s="2583"/>
      <c r="IB272" s="2583"/>
      <c r="IC272" s="2583"/>
      <c r="ID272" s="2583"/>
      <c r="IE272" s="2583"/>
      <c r="IF272" s="2583"/>
      <c r="IG272" s="2583"/>
      <c r="IH272" s="2583"/>
      <c r="II272" s="2583"/>
      <c r="IJ272" s="2583"/>
      <c r="IK272" s="2583"/>
      <c r="IL272" s="2583"/>
      <c r="IM272" s="2583"/>
      <c r="IN272" s="2583"/>
      <c r="IO272" s="2583"/>
      <c r="IP272" s="2583"/>
      <c r="IQ272" s="2583"/>
      <c r="IR272" s="2583"/>
      <c r="IS272" s="2583"/>
      <c r="IT272" s="2583"/>
      <c r="IU272" s="2583"/>
      <c r="IV272" s="2583"/>
    </row>
    <row r="273" spans="3:256">
      <c r="C273" s="2584"/>
      <c r="D273" s="2584"/>
      <c r="E273" s="2584"/>
      <c r="F273" s="2584"/>
      <c r="G273" s="2584"/>
      <c r="H273" s="2584"/>
      <c r="AC273" s="2583"/>
      <c r="AD273" s="2583"/>
      <c r="AE273" s="2583"/>
      <c r="AF273" s="2583"/>
      <c r="AG273" s="2583"/>
      <c r="AH273" s="2583"/>
      <c r="AI273" s="2583"/>
      <c r="AJ273" s="2583"/>
      <c r="AK273" s="2583"/>
      <c r="AL273" s="2583"/>
      <c r="AM273" s="2583"/>
      <c r="AN273" s="2583"/>
      <c r="AO273" s="2583"/>
      <c r="AP273" s="2583"/>
      <c r="AQ273" s="2583"/>
      <c r="AR273" s="2583"/>
      <c r="AS273" s="2583"/>
      <c r="AT273" s="2583"/>
      <c r="AU273" s="2583"/>
      <c r="AV273" s="2583"/>
      <c r="AW273" s="2583"/>
      <c r="AX273" s="2583"/>
      <c r="AY273" s="2583"/>
      <c r="AZ273" s="2583"/>
      <c r="BA273" s="2583"/>
      <c r="BB273" s="2583"/>
      <c r="BC273" s="2583"/>
      <c r="BD273" s="2583"/>
      <c r="BE273" s="2583"/>
      <c r="BF273" s="2583"/>
      <c r="BG273" s="2583"/>
      <c r="BH273" s="2583"/>
      <c r="BI273" s="2583"/>
      <c r="BJ273" s="2583"/>
      <c r="BK273" s="2583"/>
      <c r="BL273" s="2583"/>
      <c r="BM273" s="2583"/>
      <c r="BN273" s="2583"/>
      <c r="BO273" s="2583"/>
      <c r="BP273" s="2583"/>
      <c r="BQ273" s="2583"/>
      <c r="BR273" s="2583"/>
      <c r="BS273" s="2583"/>
      <c r="BT273" s="2583"/>
      <c r="BU273" s="2583"/>
      <c r="BV273" s="2583"/>
      <c r="BW273" s="2583"/>
      <c r="BX273" s="2583"/>
      <c r="BY273" s="2583"/>
      <c r="BZ273" s="2583"/>
      <c r="CA273" s="2583"/>
      <c r="CB273" s="2583"/>
      <c r="CC273" s="2583"/>
      <c r="CD273" s="2583"/>
      <c r="CE273" s="2583"/>
      <c r="CF273" s="2583"/>
      <c r="CG273" s="2583"/>
      <c r="CH273" s="2583"/>
      <c r="CI273" s="2583"/>
      <c r="CJ273" s="2583"/>
      <c r="CK273" s="2583"/>
      <c r="CL273" s="2583"/>
      <c r="CM273" s="2583"/>
      <c r="CN273" s="2583"/>
      <c r="CO273" s="2583"/>
      <c r="CP273" s="2583"/>
      <c r="CQ273" s="2583"/>
      <c r="CR273" s="2583"/>
      <c r="CS273" s="2583"/>
      <c r="CT273" s="2583"/>
      <c r="CU273" s="2583"/>
      <c r="CV273" s="2583"/>
      <c r="CW273" s="2583"/>
      <c r="CX273" s="2583"/>
      <c r="CY273" s="2583"/>
      <c r="CZ273" s="2583"/>
      <c r="DA273" s="2583"/>
      <c r="DB273" s="2583"/>
      <c r="DC273" s="2583"/>
      <c r="DD273" s="2583"/>
      <c r="DE273" s="2583"/>
      <c r="DF273" s="2583"/>
      <c r="DG273" s="2583"/>
      <c r="DH273" s="2583"/>
      <c r="DI273" s="2583"/>
      <c r="DJ273" s="2583"/>
      <c r="DK273" s="2583"/>
      <c r="DL273" s="2583"/>
      <c r="DM273" s="2583"/>
      <c r="DN273" s="2583"/>
      <c r="DO273" s="2583"/>
      <c r="DP273" s="2583"/>
      <c r="DQ273" s="2583"/>
      <c r="DR273" s="2583"/>
      <c r="DS273" s="2583"/>
      <c r="DT273" s="2583"/>
      <c r="DU273" s="2583"/>
      <c r="DV273" s="2583"/>
      <c r="DW273" s="2583"/>
      <c r="DX273" s="2583"/>
      <c r="DY273" s="2583"/>
      <c r="DZ273" s="2583"/>
      <c r="EA273" s="2583"/>
      <c r="EB273" s="2583"/>
      <c r="EC273" s="2583"/>
      <c r="ED273" s="2583"/>
      <c r="EE273" s="2583"/>
      <c r="EF273" s="2583"/>
      <c r="EG273" s="2583"/>
      <c r="EH273" s="2583"/>
      <c r="EI273" s="2583"/>
      <c r="EJ273" s="2583"/>
      <c r="EK273" s="2583"/>
      <c r="EL273" s="2583"/>
      <c r="EM273" s="2583"/>
      <c r="EN273" s="2583"/>
      <c r="EO273" s="2583"/>
      <c r="EP273" s="2583"/>
      <c r="EQ273" s="2583"/>
      <c r="ER273" s="2583"/>
      <c r="ES273" s="2583"/>
      <c r="ET273" s="2583"/>
      <c r="EU273" s="2583"/>
      <c r="EV273" s="2583"/>
      <c r="EW273" s="2583"/>
      <c r="EX273" s="2583"/>
      <c r="EY273" s="2583"/>
      <c r="EZ273" s="2583"/>
      <c r="FA273" s="2583"/>
      <c r="FB273" s="2583"/>
      <c r="FC273" s="2583"/>
      <c r="FD273" s="2583"/>
      <c r="FE273" s="2583"/>
      <c r="FF273" s="2583"/>
      <c r="FG273" s="2583"/>
      <c r="FH273" s="2583"/>
      <c r="FI273" s="2583"/>
      <c r="FJ273" s="2583"/>
      <c r="FK273" s="2583"/>
      <c r="FL273" s="2583"/>
      <c r="FM273" s="2583"/>
      <c r="FN273" s="2583"/>
      <c r="FO273" s="2583"/>
      <c r="FP273" s="2583"/>
      <c r="FQ273" s="2583"/>
      <c r="FR273" s="2583"/>
      <c r="FS273" s="2583"/>
      <c r="FT273" s="2583"/>
      <c r="FU273" s="2583"/>
      <c r="FV273" s="2583"/>
      <c r="FW273" s="2583"/>
      <c r="FX273" s="2583"/>
      <c r="FY273" s="2583"/>
      <c r="FZ273" s="2583"/>
      <c r="GA273" s="2583"/>
      <c r="GB273" s="2583"/>
      <c r="GC273" s="2583"/>
      <c r="GD273" s="2583"/>
      <c r="GE273" s="2583"/>
      <c r="GF273" s="2583"/>
      <c r="GG273" s="2583"/>
      <c r="GH273" s="2583"/>
      <c r="GI273" s="2583"/>
      <c r="GJ273" s="2583"/>
      <c r="GK273" s="2583"/>
      <c r="GL273" s="2583"/>
      <c r="GM273" s="2583"/>
      <c r="GN273" s="2583"/>
      <c r="GO273" s="2583"/>
      <c r="GP273" s="2583"/>
      <c r="GQ273" s="2583"/>
      <c r="GR273" s="2583"/>
      <c r="GS273" s="2583"/>
      <c r="GT273" s="2583"/>
      <c r="GU273" s="2583"/>
      <c r="GV273" s="2583"/>
      <c r="GW273" s="2583"/>
      <c r="GX273" s="2583"/>
      <c r="GY273" s="2583"/>
      <c r="GZ273" s="2583"/>
      <c r="HA273" s="2583"/>
      <c r="HB273" s="2583"/>
      <c r="HC273" s="2583"/>
      <c r="HD273" s="2583"/>
      <c r="HE273" s="2583"/>
      <c r="HF273" s="2583"/>
      <c r="HG273" s="2583"/>
      <c r="HH273" s="2583"/>
      <c r="HI273" s="2583"/>
      <c r="HJ273" s="2583"/>
      <c r="HK273" s="2583"/>
      <c r="HL273" s="2583"/>
      <c r="HM273" s="2583"/>
      <c r="HN273" s="2583"/>
      <c r="HO273" s="2583"/>
      <c r="HP273" s="2583"/>
      <c r="HQ273" s="2583"/>
      <c r="HR273" s="2583"/>
      <c r="HS273" s="2583"/>
      <c r="HT273" s="2583"/>
      <c r="HU273" s="2583"/>
      <c r="HV273" s="2583"/>
      <c r="HW273" s="2583"/>
      <c r="HX273" s="2583"/>
      <c r="HY273" s="2583"/>
      <c r="HZ273" s="2583"/>
      <c r="IA273" s="2583"/>
      <c r="IB273" s="2583"/>
      <c r="IC273" s="2583"/>
      <c r="ID273" s="2583"/>
      <c r="IE273" s="2583"/>
      <c r="IF273" s="2583"/>
      <c r="IG273" s="2583"/>
      <c r="IH273" s="2583"/>
      <c r="II273" s="2583"/>
      <c r="IJ273" s="2583"/>
      <c r="IK273" s="2583"/>
      <c r="IL273" s="2583"/>
      <c r="IM273" s="2583"/>
      <c r="IN273" s="2583"/>
      <c r="IO273" s="2583"/>
      <c r="IP273" s="2583"/>
      <c r="IQ273" s="2583"/>
      <c r="IR273" s="2583"/>
      <c r="IS273" s="2583"/>
      <c r="IT273" s="2583"/>
      <c r="IU273" s="2583"/>
      <c r="IV273" s="2583"/>
    </row>
    <row r="274" spans="3:256">
      <c r="C274" s="2584"/>
      <c r="D274" s="2584"/>
      <c r="E274" s="2584"/>
      <c r="F274" s="2584"/>
      <c r="G274" s="2584"/>
      <c r="H274" s="2584"/>
      <c r="AC274" s="2583"/>
      <c r="AD274" s="2583"/>
      <c r="AE274" s="2583"/>
      <c r="AF274" s="2583"/>
      <c r="AG274" s="2583"/>
      <c r="AH274" s="2583"/>
      <c r="AI274" s="2583"/>
      <c r="AJ274" s="2583"/>
      <c r="AK274" s="2583"/>
      <c r="AL274" s="2583"/>
      <c r="AM274" s="2583"/>
      <c r="AN274" s="2583"/>
      <c r="AO274" s="2583"/>
      <c r="AP274" s="2583"/>
      <c r="AQ274" s="2583"/>
      <c r="AR274" s="2583"/>
      <c r="AS274" s="2583"/>
      <c r="AT274" s="2583"/>
      <c r="AU274" s="2583"/>
      <c r="AV274" s="2583"/>
      <c r="AW274" s="2583"/>
      <c r="AX274" s="2583"/>
      <c r="AY274" s="2583"/>
      <c r="AZ274" s="2583"/>
      <c r="BA274" s="2583"/>
      <c r="BB274" s="2583"/>
      <c r="BC274" s="2583"/>
      <c r="BD274" s="2583"/>
      <c r="BE274" s="2583"/>
      <c r="BF274" s="2583"/>
      <c r="BG274" s="2583"/>
      <c r="BH274" s="2583"/>
      <c r="BI274" s="2583"/>
      <c r="BJ274" s="2583"/>
      <c r="BK274" s="2583"/>
      <c r="BL274" s="2583"/>
      <c r="BM274" s="2583"/>
      <c r="BN274" s="2583"/>
      <c r="BO274" s="2583"/>
      <c r="BP274" s="2583"/>
      <c r="BQ274" s="2583"/>
      <c r="BR274" s="2583"/>
      <c r="BS274" s="2583"/>
      <c r="BT274" s="2583"/>
      <c r="BU274" s="2583"/>
      <c r="BV274" s="2583"/>
      <c r="BW274" s="2583"/>
      <c r="BX274" s="2583"/>
      <c r="BY274" s="2583"/>
      <c r="BZ274" s="2583"/>
      <c r="CA274" s="2583"/>
      <c r="CB274" s="2583"/>
      <c r="CC274" s="2583"/>
      <c r="CD274" s="2583"/>
      <c r="CE274" s="2583"/>
      <c r="CF274" s="2583"/>
      <c r="CG274" s="2583"/>
      <c r="CH274" s="2583"/>
      <c r="CI274" s="2583"/>
      <c r="CJ274" s="2583"/>
      <c r="CK274" s="2583"/>
      <c r="CL274" s="2583"/>
      <c r="CM274" s="2583"/>
      <c r="CN274" s="2583"/>
      <c r="CO274" s="2583"/>
      <c r="CP274" s="2583"/>
      <c r="CQ274" s="2583"/>
      <c r="CR274" s="2583"/>
      <c r="CS274" s="2583"/>
      <c r="CT274" s="2583"/>
      <c r="CU274" s="2583"/>
      <c r="CV274" s="2583"/>
      <c r="CW274" s="2583"/>
      <c r="CX274" s="2583"/>
      <c r="CY274" s="2583"/>
      <c r="CZ274" s="2583"/>
      <c r="DA274" s="2583"/>
      <c r="DB274" s="2583"/>
      <c r="DC274" s="2583"/>
      <c r="DD274" s="2583"/>
      <c r="DE274" s="2583"/>
      <c r="DF274" s="2583"/>
      <c r="DG274" s="2583"/>
      <c r="DH274" s="2583"/>
      <c r="DI274" s="2583"/>
      <c r="DJ274" s="2583"/>
      <c r="DK274" s="2583"/>
      <c r="DL274" s="2583"/>
      <c r="DM274" s="2583"/>
      <c r="DN274" s="2583"/>
      <c r="DO274" s="2583"/>
      <c r="DP274" s="2583"/>
      <c r="DQ274" s="2583"/>
      <c r="DR274" s="2583"/>
      <c r="DS274" s="2583"/>
      <c r="DT274" s="2583"/>
      <c r="DU274" s="2583"/>
      <c r="DV274" s="2583"/>
      <c r="DW274" s="2583"/>
      <c r="DX274" s="2583"/>
      <c r="DY274" s="2583"/>
      <c r="DZ274" s="2583"/>
      <c r="EA274" s="2583"/>
      <c r="EB274" s="2583"/>
      <c r="EC274" s="2583"/>
      <c r="ED274" s="2583"/>
      <c r="EE274" s="2583"/>
      <c r="EF274" s="2583"/>
      <c r="EG274" s="2583"/>
      <c r="EH274" s="2583"/>
      <c r="EI274" s="2583"/>
      <c r="EJ274" s="2583"/>
      <c r="EK274" s="2583"/>
      <c r="EL274" s="2583"/>
      <c r="EM274" s="2583"/>
      <c r="EN274" s="2583"/>
      <c r="EO274" s="2583"/>
      <c r="EP274" s="2583"/>
      <c r="EQ274" s="2583"/>
      <c r="ER274" s="2583"/>
      <c r="ES274" s="2583"/>
      <c r="ET274" s="2583"/>
      <c r="EU274" s="2583"/>
      <c r="EV274" s="2583"/>
      <c r="EW274" s="2583"/>
      <c r="EX274" s="2583"/>
      <c r="EY274" s="2583"/>
      <c r="EZ274" s="2583"/>
      <c r="FA274" s="2583"/>
      <c r="FB274" s="2583"/>
      <c r="FC274" s="2583"/>
      <c r="FD274" s="2583"/>
      <c r="FE274" s="2583"/>
      <c r="FF274" s="2583"/>
      <c r="FG274" s="2583"/>
      <c r="FH274" s="2583"/>
      <c r="FI274" s="2583"/>
      <c r="FJ274" s="2583"/>
      <c r="FK274" s="2583"/>
      <c r="FL274" s="2583"/>
      <c r="FM274" s="2583"/>
      <c r="FN274" s="2583"/>
      <c r="FO274" s="2583"/>
      <c r="FP274" s="2583"/>
      <c r="FQ274" s="2583"/>
      <c r="FR274" s="2583"/>
      <c r="FS274" s="2583"/>
      <c r="FT274" s="2583"/>
      <c r="FU274" s="2583"/>
      <c r="FV274" s="2583"/>
      <c r="FW274" s="2583"/>
      <c r="FX274" s="2583"/>
      <c r="FY274" s="2583"/>
      <c r="FZ274" s="2583"/>
      <c r="GA274" s="2583"/>
      <c r="GB274" s="2583"/>
      <c r="GC274" s="2583"/>
      <c r="GD274" s="2583"/>
      <c r="GE274" s="2583"/>
      <c r="GF274" s="2583"/>
      <c r="GG274" s="2583"/>
      <c r="GH274" s="2583"/>
      <c r="GI274" s="2583"/>
      <c r="GJ274" s="2583"/>
      <c r="GK274" s="2583"/>
      <c r="GL274" s="2583"/>
      <c r="GM274" s="2583"/>
      <c r="GN274" s="2583"/>
      <c r="GO274" s="2583"/>
      <c r="GP274" s="2583"/>
      <c r="GQ274" s="2583"/>
      <c r="GR274" s="2583"/>
      <c r="GS274" s="2583"/>
      <c r="GT274" s="2583"/>
      <c r="GU274" s="2583"/>
      <c r="GV274" s="2583"/>
      <c r="GW274" s="2583"/>
      <c r="GX274" s="2583"/>
      <c r="GY274" s="2583"/>
      <c r="GZ274" s="2583"/>
      <c r="HA274" s="2583"/>
      <c r="HB274" s="2583"/>
      <c r="HC274" s="2583"/>
      <c r="HD274" s="2583"/>
      <c r="HE274" s="2583"/>
      <c r="HF274" s="2583"/>
      <c r="HG274" s="2583"/>
      <c r="HH274" s="2583"/>
      <c r="HI274" s="2583"/>
      <c r="HJ274" s="2583"/>
      <c r="HK274" s="2583"/>
      <c r="HL274" s="2583"/>
      <c r="HM274" s="2583"/>
      <c r="HN274" s="2583"/>
      <c r="HO274" s="2583"/>
      <c r="HP274" s="2583"/>
      <c r="HQ274" s="2583"/>
      <c r="HR274" s="2583"/>
      <c r="HS274" s="2583"/>
      <c r="HT274" s="2583"/>
      <c r="HU274" s="2583"/>
      <c r="HV274" s="2583"/>
      <c r="HW274" s="2583"/>
      <c r="HX274" s="2583"/>
      <c r="HY274" s="2583"/>
      <c r="HZ274" s="2583"/>
      <c r="IA274" s="2583"/>
      <c r="IB274" s="2583"/>
      <c r="IC274" s="2583"/>
      <c r="ID274" s="2583"/>
      <c r="IE274" s="2583"/>
      <c r="IF274" s="2583"/>
      <c r="IG274" s="2583"/>
      <c r="IH274" s="2583"/>
      <c r="II274" s="2583"/>
      <c r="IJ274" s="2583"/>
      <c r="IK274" s="2583"/>
      <c r="IL274" s="2583"/>
      <c r="IM274" s="2583"/>
      <c r="IN274" s="2583"/>
      <c r="IO274" s="2583"/>
      <c r="IP274" s="2583"/>
      <c r="IQ274" s="2583"/>
      <c r="IR274" s="2583"/>
      <c r="IS274" s="2583"/>
      <c r="IT274" s="2583"/>
      <c r="IU274" s="2583"/>
      <c r="IV274" s="2583"/>
    </row>
    <row r="275" spans="3:256">
      <c r="C275" s="2584"/>
      <c r="D275" s="2584"/>
      <c r="E275" s="2584"/>
      <c r="F275" s="2584"/>
      <c r="G275" s="2584"/>
      <c r="H275" s="2584"/>
      <c r="AC275" s="2583"/>
      <c r="AD275" s="2583"/>
      <c r="AE275" s="2583"/>
      <c r="AF275" s="2583"/>
      <c r="AG275" s="2583"/>
      <c r="AH275" s="2583"/>
      <c r="AI275" s="2583"/>
      <c r="AJ275" s="2583"/>
      <c r="AK275" s="2583"/>
      <c r="AL275" s="2583"/>
      <c r="AM275" s="2583"/>
      <c r="AN275" s="2583"/>
      <c r="AO275" s="2583"/>
      <c r="AP275" s="2583"/>
      <c r="AQ275" s="2583"/>
      <c r="AR275" s="2583"/>
      <c r="AS275" s="2583"/>
      <c r="AT275" s="2583"/>
      <c r="AU275" s="2583"/>
      <c r="AV275" s="2583"/>
      <c r="AW275" s="2583"/>
      <c r="AX275" s="2583"/>
      <c r="AY275" s="2583"/>
      <c r="AZ275" s="2583"/>
      <c r="BA275" s="2583"/>
      <c r="BB275" s="2583"/>
      <c r="BC275" s="2583"/>
      <c r="BD275" s="2583"/>
      <c r="BE275" s="2583"/>
      <c r="BF275" s="2583"/>
      <c r="BG275" s="2583"/>
      <c r="BH275" s="2583"/>
      <c r="BI275" s="2583"/>
      <c r="BJ275" s="2583"/>
      <c r="BK275" s="2583"/>
      <c r="BL275" s="2583"/>
      <c r="BM275" s="2583"/>
      <c r="BN275" s="2583"/>
      <c r="BO275" s="2583"/>
      <c r="BP275" s="2583"/>
      <c r="BQ275" s="2583"/>
      <c r="BR275" s="2583"/>
      <c r="BS275" s="2583"/>
      <c r="BT275" s="2583"/>
      <c r="BU275" s="2583"/>
      <c r="BV275" s="2583"/>
      <c r="BW275" s="2583"/>
      <c r="BX275" s="2583"/>
      <c r="BY275" s="2583"/>
      <c r="BZ275" s="2583"/>
      <c r="CA275" s="2583"/>
      <c r="CB275" s="2583"/>
      <c r="CC275" s="2583"/>
      <c r="CD275" s="2583"/>
      <c r="CE275" s="2583"/>
      <c r="CF275" s="2583"/>
      <c r="CG275" s="2583"/>
      <c r="CH275" s="2583"/>
      <c r="CI275" s="2583"/>
      <c r="CJ275" s="2583"/>
      <c r="CK275" s="2583"/>
      <c r="CL275" s="2583"/>
      <c r="CM275" s="2583"/>
      <c r="CN275" s="2583"/>
      <c r="CO275" s="2583"/>
      <c r="CP275" s="2583"/>
      <c r="CQ275" s="2583"/>
      <c r="CR275" s="2583"/>
      <c r="CS275" s="2583"/>
      <c r="CT275" s="2583"/>
      <c r="CU275" s="2583"/>
      <c r="CV275" s="2583"/>
      <c r="CW275" s="2583"/>
      <c r="CX275" s="2583"/>
      <c r="CY275" s="2583"/>
      <c r="CZ275" s="2583"/>
      <c r="DA275" s="2583"/>
      <c r="DB275" s="2583"/>
      <c r="DC275" s="2583"/>
      <c r="DD275" s="2583"/>
      <c r="DE275" s="2583"/>
      <c r="DF275" s="2583"/>
      <c r="DG275" s="2583"/>
      <c r="DH275" s="2583"/>
      <c r="DI275" s="2583"/>
      <c r="DJ275" s="2583"/>
      <c r="DK275" s="2583"/>
      <c r="DL275" s="2583"/>
      <c r="DM275" s="2583"/>
      <c r="DN275" s="2583"/>
      <c r="DO275" s="2583"/>
      <c r="DP275" s="2583"/>
      <c r="DQ275" s="2583"/>
      <c r="DR275" s="2583"/>
      <c r="DS275" s="2583"/>
      <c r="DT275" s="2583"/>
      <c r="DU275" s="2583"/>
      <c r="DV275" s="2583"/>
      <c r="DW275" s="2583"/>
      <c r="DX275" s="2583"/>
      <c r="DY275" s="2583"/>
      <c r="DZ275" s="2583"/>
      <c r="EA275" s="2583"/>
      <c r="EB275" s="2583"/>
      <c r="EC275" s="2583"/>
      <c r="ED275" s="2583"/>
      <c r="EE275" s="2583"/>
      <c r="EF275" s="2583"/>
      <c r="EG275" s="2583"/>
      <c r="EH275" s="2583"/>
      <c r="EI275" s="2583"/>
      <c r="EJ275" s="2583"/>
      <c r="EK275" s="2583"/>
      <c r="EL275" s="2583"/>
      <c r="EM275" s="2583"/>
      <c r="EN275" s="2583"/>
      <c r="EO275" s="2583"/>
      <c r="EP275" s="2583"/>
      <c r="EQ275" s="2583"/>
      <c r="ER275" s="2583"/>
      <c r="ES275" s="2583"/>
      <c r="ET275" s="2583"/>
      <c r="EU275" s="2583"/>
      <c r="EV275" s="2583"/>
      <c r="EW275" s="2583"/>
      <c r="EX275" s="2583"/>
      <c r="EY275" s="2583"/>
      <c r="EZ275" s="2583"/>
      <c r="FA275" s="2583"/>
      <c r="FB275" s="2583"/>
      <c r="FC275" s="2583"/>
      <c r="FD275" s="2583"/>
      <c r="FE275" s="2583"/>
      <c r="FF275" s="2583"/>
      <c r="FG275" s="2583"/>
      <c r="FH275" s="2583"/>
      <c r="FI275" s="2583"/>
      <c r="FJ275" s="2583"/>
      <c r="FK275" s="2583"/>
      <c r="FL275" s="2583"/>
      <c r="FM275" s="2583"/>
      <c r="FN275" s="2583"/>
      <c r="FO275" s="2583"/>
      <c r="FP275" s="2583"/>
      <c r="FQ275" s="2583"/>
      <c r="FR275" s="2583"/>
      <c r="FS275" s="2583"/>
      <c r="FT275" s="2583"/>
      <c r="FU275" s="2583"/>
      <c r="FV275" s="2583"/>
      <c r="FW275" s="2583"/>
      <c r="FX275" s="2583"/>
      <c r="FY275" s="2583"/>
      <c r="FZ275" s="2583"/>
      <c r="GA275" s="2583"/>
      <c r="GB275" s="2583"/>
      <c r="GC275" s="2583"/>
      <c r="GD275" s="2583"/>
      <c r="GE275" s="2583"/>
      <c r="GF275" s="2583"/>
      <c r="GG275" s="2583"/>
      <c r="GH275" s="2583"/>
      <c r="GI275" s="2583"/>
      <c r="GJ275" s="2583"/>
      <c r="GK275" s="2583"/>
      <c r="GL275" s="2583"/>
      <c r="GM275" s="2583"/>
      <c r="GN275" s="2583"/>
      <c r="GO275" s="2583"/>
      <c r="GP275" s="2583"/>
      <c r="GQ275" s="2583"/>
      <c r="GR275" s="2583"/>
      <c r="GS275" s="2583"/>
      <c r="GT275" s="2583"/>
      <c r="GU275" s="2583"/>
      <c r="GV275" s="2583"/>
      <c r="GW275" s="2583"/>
      <c r="GX275" s="2583"/>
      <c r="GY275" s="2583"/>
      <c r="GZ275" s="2583"/>
      <c r="HA275" s="2583"/>
      <c r="HB275" s="2583"/>
      <c r="HC275" s="2583"/>
      <c r="HD275" s="2583"/>
      <c r="HE275" s="2583"/>
      <c r="HF275" s="2583"/>
      <c r="HG275" s="2583"/>
      <c r="HH275" s="2583"/>
      <c r="HI275" s="2583"/>
      <c r="HJ275" s="2583"/>
      <c r="HK275" s="2583"/>
      <c r="HL275" s="2583"/>
      <c r="HM275" s="2583"/>
      <c r="HN275" s="2583"/>
      <c r="HO275" s="2583"/>
      <c r="HP275" s="2583"/>
      <c r="HQ275" s="2583"/>
      <c r="HR275" s="2583"/>
      <c r="HS275" s="2583"/>
      <c r="HT275" s="2583"/>
      <c r="HU275" s="2583"/>
      <c r="HV275" s="2583"/>
      <c r="HW275" s="2583"/>
      <c r="HX275" s="2583"/>
      <c r="HY275" s="2583"/>
      <c r="HZ275" s="2583"/>
      <c r="IA275" s="2583"/>
      <c r="IB275" s="2583"/>
      <c r="IC275" s="2583"/>
      <c r="ID275" s="2583"/>
      <c r="IE275" s="2583"/>
      <c r="IF275" s="2583"/>
      <c r="IG275" s="2583"/>
      <c r="IH275" s="2583"/>
      <c r="II275" s="2583"/>
      <c r="IJ275" s="2583"/>
      <c r="IK275" s="2583"/>
      <c r="IL275" s="2583"/>
      <c r="IM275" s="2583"/>
      <c r="IN275" s="2583"/>
      <c r="IO275" s="2583"/>
      <c r="IP275" s="2583"/>
      <c r="IQ275" s="2583"/>
      <c r="IR275" s="2583"/>
      <c r="IS275" s="2583"/>
      <c r="IT275" s="2583"/>
      <c r="IU275" s="2583"/>
      <c r="IV275" s="2583"/>
    </row>
    <row r="276" spans="3:256">
      <c r="C276" s="2584"/>
      <c r="D276" s="2584"/>
      <c r="E276" s="2584"/>
      <c r="F276" s="2584"/>
      <c r="G276" s="2584"/>
      <c r="H276" s="2584"/>
      <c r="AC276" s="2583"/>
      <c r="AD276" s="2583"/>
      <c r="AE276" s="2583"/>
      <c r="AF276" s="2583"/>
      <c r="AG276" s="2583"/>
      <c r="AH276" s="2583"/>
      <c r="AI276" s="2583"/>
      <c r="AJ276" s="2583"/>
      <c r="AK276" s="2583"/>
      <c r="AL276" s="2583"/>
      <c r="AM276" s="2583"/>
      <c r="AN276" s="2583"/>
      <c r="AO276" s="2583"/>
      <c r="AP276" s="2583"/>
      <c r="AQ276" s="2583"/>
      <c r="AR276" s="2583"/>
      <c r="AS276" s="2583"/>
      <c r="AT276" s="2583"/>
      <c r="AU276" s="2583"/>
      <c r="AV276" s="2583"/>
      <c r="AW276" s="2583"/>
      <c r="AX276" s="2583"/>
      <c r="AY276" s="2583"/>
      <c r="AZ276" s="2583"/>
      <c r="BA276" s="2583"/>
      <c r="BB276" s="2583"/>
      <c r="BC276" s="2583"/>
      <c r="BD276" s="2583"/>
      <c r="BE276" s="2583"/>
      <c r="BF276" s="2583"/>
      <c r="BG276" s="2583"/>
      <c r="BH276" s="2583"/>
      <c r="BI276" s="2583"/>
      <c r="BJ276" s="2583"/>
      <c r="BK276" s="2583"/>
      <c r="BL276" s="2583"/>
      <c r="BM276" s="2583"/>
      <c r="BN276" s="2583"/>
      <c r="BO276" s="2583"/>
      <c r="BP276" s="2583"/>
      <c r="BQ276" s="2583"/>
      <c r="BR276" s="2583"/>
      <c r="BS276" s="2583"/>
      <c r="BT276" s="2583"/>
      <c r="BU276" s="2583"/>
      <c r="BV276" s="2583"/>
      <c r="BW276" s="2583"/>
      <c r="BX276" s="2583"/>
      <c r="BY276" s="2583"/>
      <c r="BZ276" s="2583"/>
      <c r="CA276" s="2583"/>
      <c r="CB276" s="2583"/>
      <c r="CC276" s="2583"/>
      <c r="CD276" s="2583"/>
      <c r="CE276" s="2583"/>
      <c r="CF276" s="2583"/>
      <c r="CG276" s="2583"/>
      <c r="CH276" s="2583"/>
      <c r="CI276" s="2583"/>
      <c r="CJ276" s="2583"/>
      <c r="CK276" s="2583"/>
      <c r="CL276" s="2583"/>
      <c r="CM276" s="2583"/>
      <c r="CN276" s="2583"/>
      <c r="CO276" s="2583"/>
      <c r="CP276" s="2583"/>
      <c r="CQ276" s="2583"/>
      <c r="CR276" s="2583"/>
      <c r="CS276" s="2583"/>
      <c r="CT276" s="2583"/>
      <c r="CU276" s="2583"/>
      <c r="CV276" s="2583"/>
      <c r="CW276" s="2583"/>
      <c r="CX276" s="2583"/>
      <c r="CY276" s="2583"/>
      <c r="CZ276" s="2583"/>
      <c r="DA276" s="2583"/>
      <c r="DB276" s="2583"/>
      <c r="DC276" s="2583"/>
      <c r="DD276" s="2583"/>
      <c r="DE276" s="2583"/>
      <c r="DF276" s="2583"/>
      <c r="DG276" s="2583"/>
      <c r="DH276" s="2583"/>
      <c r="DI276" s="2583"/>
      <c r="DJ276" s="2583"/>
      <c r="DK276" s="2583"/>
      <c r="DL276" s="2583"/>
      <c r="DM276" s="2583"/>
      <c r="DN276" s="2583"/>
      <c r="DO276" s="2583"/>
      <c r="DP276" s="2583"/>
      <c r="DQ276" s="2583"/>
      <c r="DR276" s="2583"/>
      <c r="DS276" s="2583"/>
      <c r="DT276" s="2583"/>
      <c r="DU276" s="2583"/>
      <c r="DV276" s="2583"/>
      <c r="DW276" s="2583"/>
      <c r="DX276" s="2583"/>
      <c r="DY276" s="2583"/>
      <c r="DZ276" s="2583"/>
      <c r="EA276" s="2583"/>
      <c r="EB276" s="2583"/>
      <c r="EC276" s="2583"/>
      <c r="ED276" s="2583"/>
      <c r="EE276" s="2583"/>
      <c r="EF276" s="2583"/>
      <c r="EG276" s="2583"/>
      <c r="EH276" s="2583"/>
      <c r="EI276" s="2583"/>
      <c r="EJ276" s="2583"/>
      <c r="EK276" s="2583"/>
      <c r="EL276" s="2583"/>
      <c r="EM276" s="2583"/>
      <c r="EN276" s="2583"/>
      <c r="EO276" s="2583"/>
      <c r="EP276" s="2583"/>
      <c r="EQ276" s="2583"/>
      <c r="ER276" s="2583"/>
      <c r="ES276" s="2583"/>
      <c r="ET276" s="2583"/>
      <c r="EU276" s="2583"/>
      <c r="EV276" s="2583"/>
      <c r="EW276" s="2583"/>
      <c r="EX276" s="2583"/>
      <c r="EY276" s="2583"/>
      <c r="EZ276" s="2583"/>
      <c r="FA276" s="2583"/>
      <c r="FB276" s="2583"/>
      <c r="FC276" s="2583"/>
      <c r="FD276" s="2583"/>
      <c r="FE276" s="2583"/>
      <c r="FF276" s="2583"/>
      <c r="FG276" s="2583"/>
      <c r="FH276" s="2583"/>
      <c r="FI276" s="2583"/>
      <c r="FJ276" s="2583"/>
      <c r="FK276" s="2583"/>
      <c r="FL276" s="2583"/>
      <c r="FM276" s="2583"/>
      <c r="FN276" s="2583"/>
      <c r="FO276" s="2583"/>
      <c r="FP276" s="2583"/>
      <c r="FQ276" s="2583"/>
      <c r="FR276" s="2583"/>
      <c r="FS276" s="2583"/>
      <c r="FT276" s="2583"/>
      <c r="FU276" s="2583"/>
      <c r="FV276" s="2583"/>
      <c r="FW276" s="2583"/>
      <c r="FX276" s="2583"/>
      <c r="FY276" s="2583"/>
      <c r="FZ276" s="2583"/>
      <c r="GA276" s="2583"/>
      <c r="GB276" s="2583"/>
      <c r="GC276" s="2583"/>
      <c r="GD276" s="2583"/>
      <c r="GE276" s="2583"/>
      <c r="GF276" s="2583"/>
      <c r="GG276" s="2583"/>
      <c r="GH276" s="2583"/>
      <c r="GI276" s="2583"/>
      <c r="GJ276" s="2583"/>
      <c r="GK276" s="2583"/>
      <c r="GL276" s="2583"/>
      <c r="GM276" s="2583"/>
      <c r="GN276" s="2583"/>
      <c r="GO276" s="2583"/>
      <c r="GP276" s="2583"/>
      <c r="GQ276" s="2583"/>
      <c r="GR276" s="2583"/>
      <c r="GS276" s="2583"/>
      <c r="GT276" s="2583"/>
      <c r="GU276" s="2583"/>
      <c r="GV276" s="2583"/>
      <c r="GW276" s="2583"/>
      <c r="GX276" s="2583"/>
      <c r="GY276" s="2583"/>
      <c r="GZ276" s="2583"/>
      <c r="HA276" s="2583"/>
      <c r="HB276" s="2583"/>
      <c r="HC276" s="2583"/>
      <c r="HD276" s="2583"/>
      <c r="HE276" s="2583"/>
      <c r="HF276" s="2583"/>
      <c r="HG276" s="2583"/>
      <c r="HH276" s="2583"/>
      <c r="HI276" s="2583"/>
      <c r="HJ276" s="2583"/>
      <c r="HK276" s="2583"/>
      <c r="HL276" s="2583"/>
      <c r="HM276" s="2583"/>
      <c r="HN276" s="2583"/>
      <c r="HO276" s="2583"/>
      <c r="HP276" s="2583"/>
      <c r="HQ276" s="2583"/>
      <c r="HR276" s="2583"/>
      <c r="HS276" s="2583"/>
      <c r="HT276" s="2583"/>
      <c r="HU276" s="2583"/>
      <c r="HV276" s="2583"/>
      <c r="HW276" s="2583"/>
      <c r="HX276" s="2583"/>
      <c r="HY276" s="2583"/>
      <c r="HZ276" s="2583"/>
      <c r="IA276" s="2583"/>
      <c r="IB276" s="2583"/>
      <c r="IC276" s="2583"/>
      <c r="ID276" s="2583"/>
      <c r="IE276" s="2583"/>
      <c r="IF276" s="2583"/>
      <c r="IG276" s="2583"/>
      <c r="IH276" s="2583"/>
      <c r="II276" s="2583"/>
      <c r="IJ276" s="2583"/>
      <c r="IK276" s="2583"/>
      <c r="IL276" s="2583"/>
      <c r="IM276" s="2583"/>
      <c r="IN276" s="2583"/>
      <c r="IO276" s="2583"/>
      <c r="IP276" s="2583"/>
      <c r="IQ276" s="2583"/>
      <c r="IR276" s="2583"/>
      <c r="IS276" s="2583"/>
      <c r="IT276" s="2583"/>
      <c r="IU276" s="2583"/>
      <c r="IV276" s="2583"/>
    </row>
    <row r="277" spans="3:256">
      <c r="C277" s="2584"/>
      <c r="D277" s="2584"/>
      <c r="E277" s="2584"/>
      <c r="F277" s="2584"/>
      <c r="G277" s="2584"/>
      <c r="H277" s="2584"/>
      <c r="AC277" s="2583"/>
      <c r="AD277" s="2583"/>
      <c r="AE277" s="2583"/>
      <c r="AF277" s="2583"/>
      <c r="AG277" s="2583"/>
      <c r="AH277" s="2583"/>
      <c r="AI277" s="2583"/>
      <c r="AJ277" s="2583"/>
      <c r="AK277" s="2583"/>
      <c r="AL277" s="2583"/>
      <c r="AM277" s="2583"/>
      <c r="AN277" s="2583"/>
      <c r="AO277" s="2583"/>
      <c r="AP277" s="2583"/>
      <c r="AQ277" s="2583"/>
      <c r="AR277" s="2583"/>
      <c r="AS277" s="2583"/>
      <c r="AT277" s="2583"/>
      <c r="AU277" s="2583"/>
      <c r="AV277" s="2583"/>
      <c r="AW277" s="2583"/>
      <c r="AX277" s="2583"/>
      <c r="AY277" s="2583"/>
      <c r="AZ277" s="2583"/>
      <c r="BA277" s="2583"/>
      <c r="BB277" s="2583"/>
      <c r="BC277" s="2583"/>
      <c r="BD277" s="2583"/>
      <c r="BE277" s="2583"/>
      <c r="BF277" s="2583"/>
      <c r="BG277" s="2583"/>
      <c r="BH277" s="2583"/>
      <c r="BI277" s="2583"/>
      <c r="BJ277" s="2583"/>
      <c r="BK277" s="2583"/>
      <c r="BL277" s="2583"/>
      <c r="BM277" s="2583"/>
      <c r="BN277" s="2583"/>
      <c r="BO277" s="2583"/>
      <c r="BP277" s="2583"/>
      <c r="BQ277" s="2583"/>
      <c r="BR277" s="2583"/>
      <c r="BS277" s="2583"/>
      <c r="BT277" s="2583"/>
      <c r="BU277" s="2583"/>
      <c r="BV277" s="2583"/>
      <c r="BW277" s="2583"/>
      <c r="BX277" s="2583"/>
      <c r="BY277" s="2583"/>
      <c r="BZ277" s="2583"/>
      <c r="CA277" s="2583"/>
      <c r="CB277" s="2583"/>
      <c r="CC277" s="2583"/>
      <c r="CD277" s="2583"/>
      <c r="CE277" s="2583"/>
      <c r="CF277" s="2583"/>
      <c r="CG277" s="2583"/>
      <c r="CH277" s="2583"/>
      <c r="CI277" s="2583"/>
      <c r="CJ277" s="2583"/>
      <c r="CK277" s="2583"/>
      <c r="CL277" s="2583"/>
      <c r="CM277" s="2583"/>
      <c r="CN277" s="2583"/>
      <c r="CO277" s="2583"/>
      <c r="CP277" s="2583"/>
      <c r="CQ277" s="2583"/>
      <c r="CR277" s="2583"/>
      <c r="CS277" s="2583"/>
      <c r="CT277" s="2583"/>
      <c r="CU277" s="2583"/>
      <c r="CV277" s="2583"/>
      <c r="CW277" s="2583"/>
      <c r="CX277" s="2583"/>
      <c r="CY277" s="2583"/>
      <c r="CZ277" s="2583"/>
      <c r="DA277" s="2583"/>
      <c r="DB277" s="2583"/>
      <c r="DC277" s="2583"/>
      <c r="DD277" s="2583"/>
      <c r="DE277" s="2583"/>
      <c r="DF277" s="2583"/>
      <c r="DG277" s="2583"/>
      <c r="DH277" s="2583"/>
      <c r="DI277" s="2583"/>
      <c r="DJ277" s="2583"/>
      <c r="DK277" s="2583"/>
      <c r="DL277" s="2583"/>
      <c r="DM277" s="2583"/>
      <c r="DN277" s="2583"/>
      <c r="DO277" s="2583"/>
      <c r="DP277" s="2583"/>
      <c r="DQ277" s="2583"/>
      <c r="DR277" s="2583"/>
      <c r="DS277" s="2583"/>
      <c r="DT277" s="2583"/>
      <c r="DU277" s="2583"/>
      <c r="DV277" s="2583"/>
      <c r="DW277" s="2583"/>
      <c r="DX277" s="2583"/>
      <c r="DY277" s="2583"/>
      <c r="DZ277" s="2583"/>
      <c r="EA277" s="2583"/>
      <c r="EB277" s="2583"/>
      <c r="EC277" s="2583"/>
      <c r="ED277" s="2583"/>
      <c r="EE277" s="2583"/>
      <c r="EF277" s="2583"/>
      <c r="EG277" s="2583"/>
      <c r="EH277" s="2583"/>
      <c r="EI277" s="2583"/>
      <c r="EJ277" s="2583"/>
      <c r="EK277" s="2583"/>
      <c r="EL277" s="2583"/>
      <c r="EM277" s="2583"/>
      <c r="EN277" s="2583"/>
      <c r="EO277" s="2583"/>
      <c r="EP277" s="2583"/>
      <c r="EQ277" s="2583"/>
      <c r="ER277" s="2583"/>
      <c r="ES277" s="2583"/>
      <c r="ET277" s="2583"/>
      <c r="EU277" s="2583"/>
      <c r="EV277" s="2583"/>
      <c r="EW277" s="2583"/>
      <c r="EX277" s="2583"/>
      <c r="EY277" s="2583"/>
      <c r="EZ277" s="2583"/>
      <c r="FA277" s="2583"/>
      <c r="FB277" s="2583"/>
      <c r="FC277" s="2583"/>
      <c r="FD277" s="2583"/>
      <c r="FE277" s="2583"/>
      <c r="FF277" s="2583"/>
      <c r="FG277" s="2583"/>
      <c r="FH277" s="2583"/>
      <c r="FI277" s="2583"/>
      <c r="FJ277" s="2583"/>
      <c r="FK277" s="2583"/>
      <c r="FL277" s="2583"/>
      <c r="FM277" s="2583"/>
      <c r="FN277" s="2583"/>
      <c r="FO277" s="2583"/>
      <c r="FP277" s="2583"/>
      <c r="FQ277" s="2583"/>
      <c r="FR277" s="2583"/>
      <c r="FS277" s="2583"/>
      <c r="FT277" s="2583"/>
      <c r="FU277" s="2583"/>
      <c r="FV277" s="2583"/>
      <c r="FW277" s="2583"/>
      <c r="FX277" s="2583"/>
      <c r="FY277" s="2583"/>
      <c r="FZ277" s="2583"/>
      <c r="GA277" s="2583"/>
      <c r="GB277" s="2583"/>
      <c r="GC277" s="2583"/>
      <c r="GD277" s="2583"/>
      <c r="GE277" s="2583"/>
      <c r="GF277" s="2583"/>
      <c r="GG277" s="2583"/>
      <c r="GH277" s="2583"/>
      <c r="GI277" s="2583"/>
      <c r="GJ277" s="2583"/>
      <c r="GK277" s="2583"/>
      <c r="GL277" s="2583"/>
      <c r="GM277" s="2583"/>
      <c r="GN277" s="2583"/>
      <c r="GO277" s="2583"/>
      <c r="GP277" s="2583"/>
      <c r="GQ277" s="2583"/>
      <c r="GR277" s="2583"/>
      <c r="GS277" s="2583"/>
      <c r="GT277" s="2583"/>
      <c r="GU277" s="2583"/>
      <c r="GV277" s="2583"/>
      <c r="GW277" s="2583"/>
      <c r="GX277" s="2583"/>
      <c r="GY277" s="2583"/>
      <c r="GZ277" s="2583"/>
      <c r="HA277" s="2583"/>
      <c r="HB277" s="2583"/>
      <c r="HC277" s="2583"/>
      <c r="HD277" s="2583"/>
      <c r="HE277" s="2583"/>
      <c r="HF277" s="2583"/>
      <c r="HG277" s="2583"/>
      <c r="HH277" s="2583"/>
      <c r="HI277" s="2583"/>
      <c r="HJ277" s="2583"/>
      <c r="HK277" s="2583"/>
      <c r="HL277" s="2583"/>
      <c r="HM277" s="2583"/>
      <c r="HN277" s="2583"/>
      <c r="HO277" s="2583"/>
      <c r="HP277" s="2583"/>
      <c r="HQ277" s="2583"/>
      <c r="HR277" s="2583"/>
      <c r="HS277" s="2583"/>
      <c r="HT277" s="2583"/>
      <c r="HU277" s="2583"/>
      <c r="HV277" s="2583"/>
      <c r="HW277" s="2583"/>
      <c r="HX277" s="2583"/>
      <c r="HY277" s="2583"/>
      <c r="HZ277" s="2583"/>
      <c r="IA277" s="2583"/>
      <c r="IB277" s="2583"/>
      <c r="IC277" s="2583"/>
      <c r="ID277" s="2583"/>
      <c r="IE277" s="2583"/>
      <c r="IF277" s="2583"/>
      <c r="IG277" s="2583"/>
      <c r="IH277" s="2583"/>
      <c r="II277" s="2583"/>
      <c r="IJ277" s="2583"/>
      <c r="IK277" s="2583"/>
      <c r="IL277" s="2583"/>
      <c r="IM277" s="2583"/>
      <c r="IN277" s="2583"/>
      <c r="IO277" s="2583"/>
      <c r="IP277" s="2583"/>
      <c r="IQ277" s="2583"/>
      <c r="IR277" s="2583"/>
      <c r="IS277" s="2583"/>
      <c r="IT277" s="2583"/>
      <c r="IU277" s="2583"/>
      <c r="IV277" s="2583"/>
    </row>
    <row r="278" spans="3:256">
      <c r="C278" s="2584"/>
      <c r="D278" s="2584"/>
      <c r="E278" s="2584"/>
      <c r="F278" s="2584"/>
      <c r="G278" s="2584"/>
      <c r="H278" s="2584"/>
      <c r="AC278" s="2583"/>
      <c r="AD278" s="2583"/>
      <c r="AE278" s="2583"/>
      <c r="AF278" s="2583"/>
      <c r="AG278" s="2583"/>
      <c r="AH278" s="2583"/>
      <c r="AI278" s="2583"/>
      <c r="AJ278" s="2583"/>
      <c r="AK278" s="2583"/>
      <c r="AL278" s="2583"/>
      <c r="AM278" s="2583"/>
      <c r="AN278" s="2583"/>
      <c r="AO278" s="2583"/>
      <c r="AP278" s="2583"/>
      <c r="AQ278" s="2583"/>
      <c r="AR278" s="2583"/>
      <c r="AS278" s="2583"/>
      <c r="AT278" s="2583"/>
      <c r="AU278" s="2583"/>
      <c r="AV278" s="2583"/>
      <c r="AW278" s="2583"/>
      <c r="AX278" s="2583"/>
      <c r="AY278" s="2583"/>
      <c r="AZ278" s="2583"/>
      <c r="BA278" s="2583"/>
      <c r="BB278" s="2583"/>
      <c r="BC278" s="2583"/>
      <c r="BD278" s="2583"/>
      <c r="BE278" s="2583"/>
      <c r="BF278" s="2583"/>
      <c r="BG278" s="2583"/>
      <c r="BH278" s="2583"/>
      <c r="BI278" s="2583"/>
      <c r="BJ278" s="2583"/>
      <c r="BK278" s="2583"/>
      <c r="BL278" s="2583"/>
      <c r="BM278" s="2583"/>
      <c r="BN278" s="2583"/>
      <c r="BO278" s="2583"/>
      <c r="BP278" s="2583"/>
      <c r="BQ278" s="2583"/>
      <c r="BR278" s="2583"/>
      <c r="BS278" s="2583"/>
      <c r="BT278" s="2583"/>
      <c r="BU278" s="2583"/>
      <c r="BV278" s="2583"/>
      <c r="BW278" s="2583"/>
      <c r="BX278" s="2583"/>
      <c r="BY278" s="2583"/>
      <c r="BZ278" s="2583"/>
      <c r="CA278" s="2583"/>
      <c r="CB278" s="2583"/>
      <c r="CC278" s="2583"/>
      <c r="CD278" s="2583"/>
      <c r="CE278" s="2583"/>
      <c r="CF278" s="2583"/>
      <c r="CG278" s="2583"/>
      <c r="CH278" s="2583"/>
      <c r="CI278" s="2583"/>
      <c r="CJ278" s="2583"/>
      <c r="CK278" s="2583"/>
      <c r="CL278" s="2583"/>
      <c r="CM278" s="2583"/>
      <c r="CN278" s="2583"/>
      <c r="CO278" s="2583"/>
      <c r="CP278" s="2583"/>
      <c r="CQ278" s="2583"/>
      <c r="CR278" s="2583"/>
      <c r="CS278" s="2583"/>
      <c r="CT278" s="2583"/>
      <c r="CU278" s="2583"/>
      <c r="CV278" s="2583"/>
      <c r="CW278" s="2583"/>
      <c r="CX278" s="2583"/>
      <c r="CY278" s="2583"/>
      <c r="CZ278" s="2583"/>
      <c r="DA278" s="2583"/>
      <c r="DB278" s="2583"/>
      <c r="DC278" s="2583"/>
      <c r="DD278" s="2583"/>
      <c r="DE278" s="2583"/>
      <c r="DF278" s="2583"/>
      <c r="DG278" s="2583"/>
      <c r="DH278" s="2583"/>
      <c r="DI278" s="2583"/>
      <c r="DJ278" s="2583"/>
      <c r="DK278" s="2583"/>
      <c r="DL278" s="2583"/>
      <c r="DM278" s="2583"/>
      <c r="DN278" s="2583"/>
      <c r="DO278" s="2583"/>
      <c r="DP278" s="2583"/>
      <c r="DQ278" s="2583"/>
      <c r="DR278" s="2583"/>
      <c r="DS278" s="2583"/>
      <c r="DT278" s="2583"/>
      <c r="DU278" s="2583"/>
      <c r="DV278" s="2583"/>
      <c r="DW278" s="2583"/>
      <c r="DX278" s="2583"/>
      <c r="DY278" s="2583"/>
      <c r="DZ278" s="2583"/>
      <c r="EA278" s="2583"/>
      <c r="EB278" s="2583"/>
      <c r="EC278" s="2583"/>
      <c r="ED278" s="2583"/>
      <c r="EE278" s="2583"/>
      <c r="EF278" s="2583"/>
      <c r="EG278" s="2583"/>
      <c r="EH278" s="2583"/>
      <c r="EI278" s="2583"/>
      <c r="EJ278" s="2583"/>
      <c r="EK278" s="2583"/>
      <c r="EL278" s="2583"/>
      <c r="EM278" s="2583"/>
      <c r="EN278" s="2583"/>
      <c r="EO278" s="2583"/>
      <c r="EP278" s="2583"/>
      <c r="EQ278" s="2583"/>
      <c r="ER278" s="2583"/>
      <c r="ES278" s="2583"/>
      <c r="ET278" s="2583"/>
      <c r="EU278" s="2583"/>
      <c r="EV278" s="2583"/>
      <c r="EW278" s="2583"/>
      <c r="EX278" s="2583"/>
      <c r="EY278" s="2583"/>
      <c r="EZ278" s="2583"/>
      <c r="FA278" s="2583"/>
      <c r="FB278" s="2583"/>
      <c r="FC278" s="2583"/>
      <c r="FD278" s="2583"/>
      <c r="FE278" s="2583"/>
      <c r="FF278" s="2583"/>
      <c r="FG278" s="2583"/>
      <c r="FH278" s="2583"/>
      <c r="FI278" s="2583"/>
      <c r="FJ278" s="2583"/>
      <c r="FK278" s="2583"/>
      <c r="FL278" s="2583"/>
      <c r="FM278" s="2583"/>
      <c r="FN278" s="2583"/>
      <c r="FO278" s="2583"/>
      <c r="FP278" s="2583"/>
      <c r="FQ278" s="2583"/>
      <c r="FR278" s="2583"/>
      <c r="FS278" s="2583"/>
      <c r="FT278" s="2583"/>
      <c r="FU278" s="2583"/>
      <c r="FV278" s="2583"/>
      <c r="FW278" s="2583"/>
      <c r="FX278" s="2583"/>
      <c r="FY278" s="2583"/>
      <c r="FZ278" s="2583"/>
      <c r="GA278" s="2583"/>
      <c r="GB278" s="2583"/>
      <c r="GC278" s="2583"/>
      <c r="GD278" s="2583"/>
      <c r="GE278" s="2583"/>
      <c r="GF278" s="2583"/>
      <c r="GG278" s="2583"/>
      <c r="GH278" s="2583"/>
      <c r="GI278" s="2583"/>
      <c r="GJ278" s="2583"/>
      <c r="GK278" s="2583"/>
      <c r="GL278" s="2583"/>
      <c r="GM278" s="2583"/>
      <c r="GN278" s="2583"/>
      <c r="GO278" s="2583"/>
      <c r="GP278" s="2583"/>
      <c r="GQ278" s="2583"/>
      <c r="GR278" s="2583"/>
      <c r="GS278" s="2583"/>
      <c r="GT278" s="2583"/>
      <c r="GU278" s="2583"/>
      <c r="GV278" s="2583"/>
      <c r="GW278" s="2583"/>
      <c r="GX278" s="2583"/>
      <c r="GY278" s="2583"/>
      <c r="GZ278" s="2583"/>
      <c r="HA278" s="2583"/>
      <c r="HB278" s="2583"/>
      <c r="HC278" s="2583"/>
      <c r="HD278" s="2583"/>
      <c r="HE278" s="2583"/>
      <c r="HF278" s="2583"/>
      <c r="HG278" s="2583"/>
      <c r="HH278" s="2583"/>
      <c r="HI278" s="2583"/>
      <c r="HJ278" s="2583"/>
      <c r="HK278" s="2583"/>
      <c r="HL278" s="2583"/>
      <c r="HM278" s="2583"/>
      <c r="HN278" s="2583"/>
      <c r="HO278" s="2583"/>
      <c r="HP278" s="2583"/>
      <c r="HQ278" s="2583"/>
      <c r="HR278" s="2583"/>
      <c r="HS278" s="2583"/>
      <c r="HT278" s="2583"/>
      <c r="HU278" s="2583"/>
      <c r="HV278" s="2583"/>
      <c r="HW278" s="2583"/>
      <c r="HX278" s="2583"/>
      <c r="HY278" s="2583"/>
      <c r="HZ278" s="2583"/>
      <c r="IA278" s="2583"/>
      <c r="IB278" s="2583"/>
      <c r="IC278" s="2583"/>
      <c r="ID278" s="2583"/>
      <c r="IE278" s="2583"/>
      <c r="IF278" s="2583"/>
      <c r="IG278" s="2583"/>
      <c r="IH278" s="2583"/>
      <c r="II278" s="2583"/>
      <c r="IJ278" s="2583"/>
      <c r="IK278" s="2583"/>
      <c r="IL278" s="2583"/>
      <c r="IM278" s="2583"/>
      <c r="IN278" s="2583"/>
      <c r="IO278" s="2583"/>
      <c r="IP278" s="2583"/>
      <c r="IQ278" s="2583"/>
      <c r="IR278" s="2583"/>
      <c r="IS278" s="2583"/>
      <c r="IT278" s="2583"/>
      <c r="IU278" s="2583"/>
      <c r="IV278" s="2583"/>
    </row>
    <row r="279" spans="3:256">
      <c r="C279" s="2584"/>
      <c r="D279" s="2584"/>
      <c r="E279" s="2584"/>
      <c r="F279" s="2584"/>
      <c r="G279" s="2584"/>
      <c r="H279" s="2584"/>
      <c r="AC279" s="2583"/>
      <c r="AD279" s="2583"/>
      <c r="AE279" s="2583"/>
      <c r="AF279" s="2583"/>
      <c r="AG279" s="2583"/>
      <c r="AH279" s="2583"/>
      <c r="AI279" s="2583"/>
      <c r="AJ279" s="2583"/>
      <c r="AK279" s="2583"/>
      <c r="AL279" s="2583"/>
      <c r="AM279" s="2583"/>
      <c r="AN279" s="2583"/>
      <c r="AO279" s="2583"/>
      <c r="AP279" s="2583"/>
      <c r="AQ279" s="2583"/>
      <c r="AR279" s="2583"/>
      <c r="AS279" s="2583"/>
      <c r="AT279" s="2583"/>
      <c r="AU279" s="2583"/>
      <c r="AV279" s="2583"/>
      <c r="AW279" s="2583"/>
      <c r="AX279" s="2583"/>
      <c r="AY279" s="2583"/>
      <c r="AZ279" s="2583"/>
      <c r="BA279" s="2583"/>
      <c r="BB279" s="2583"/>
      <c r="BC279" s="2583"/>
      <c r="BD279" s="2583"/>
      <c r="BE279" s="2583"/>
      <c r="BF279" s="2583"/>
      <c r="BG279" s="2583"/>
      <c r="BH279" s="2583"/>
      <c r="BI279" s="2583"/>
      <c r="BJ279" s="2583"/>
      <c r="BK279" s="2583"/>
      <c r="BL279" s="2583"/>
      <c r="BM279" s="2583"/>
      <c r="BN279" s="2583"/>
      <c r="BO279" s="2583"/>
      <c r="BP279" s="2583"/>
      <c r="BQ279" s="2583"/>
      <c r="BR279" s="2583"/>
      <c r="BS279" s="2583"/>
      <c r="BT279" s="2583"/>
      <c r="BU279" s="2583"/>
      <c r="BV279" s="2583"/>
      <c r="BW279" s="2583"/>
      <c r="BX279" s="2583"/>
      <c r="BY279" s="2583"/>
      <c r="BZ279" s="2583"/>
      <c r="CA279" s="2583"/>
      <c r="CB279" s="2583"/>
      <c r="CC279" s="2583"/>
      <c r="CD279" s="2583"/>
      <c r="CE279" s="2583"/>
      <c r="CF279" s="2583"/>
      <c r="CG279" s="2583"/>
      <c r="CH279" s="2583"/>
      <c r="CI279" s="2583"/>
      <c r="CJ279" s="2583"/>
      <c r="CK279" s="2583"/>
      <c r="CL279" s="2583"/>
      <c r="CM279" s="2583"/>
      <c r="CN279" s="2583"/>
      <c r="CO279" s="2583"/>
      <c r="CP279" s="2583"/>
      <c r="CQ279" s="2583"/>
      <c r="CR279" s="2583"/>
      <c r="CS279" s="2583"/>
      <c r="CT279" s="2583"/>
      <c r="CU279" s="2583"/>
      <c r="CV279" s="2583"/>
      <c r="CW279" s="2583"/>
      <c r="CX279" s="2583"/>
      <c r="CY279" s="2583"/>
      <c r="CZ279" s="2583"/>
      <c r="DA279" s="2583"/>
      <c r="DB279" s="2583"/>
      <c r="DC279" s="2583"/>
      <c r="DD279" s="2583"/>
      <c r="DE279" s="2583"/>
      <c r="DF279" s="2583"/>
      <c r="DG279" s="2583"/>
      <c r="DH279" s="2583"/>
      <c r="DI279" s="2583"/>
      <c r="DJ279" s="2583"/>
      <c r="DK279" s="2583"/>
      <c r="DL279" s="2583"/>
      <c r="DM279" s="2583"/>
      <c r="DN279" s="2583"/>
      <c r="DO279" s="2583"/>
      <c r="DP279" s="2583"/>
      <c r="DQ279" s="2583"/>
      <c r="DR279" s="2583"/>
      <c r="DS279" s="2583"/>
      <c r="DT279" s="2583"/>
      <c r="DU279" s="2583"/>
      <c r="DV279" s="2583"/>
      <c r="DW279" s="2583"/>
      <c r="DX279" s="2583"/>
      <c r="DY279" s="2583"/>
      <c r="DZ279" s="2583"/>
      <c r="EA279" s="2583"/>
      <c r="EB279" s="2583"/>
      <c r="EC279" s="2583"/>
      <c r="ED279" s="2583"/>
      <c r="EE279" s="2583"/>
      <c r="EF279" s="2583"/>
      <c r="EG279" s="2583"/>
      <c r="EH279" s="2583"/>
      <c r="EI279" s="2583"/>
      <c r="EJ279" s="2583"/>
      <c r="EK279" s="2583"/>
      <c r="EL279" s="2583"/>
      <c r="EM279" s="2583"/>
      <c r="EN279" s="2583"/>
      <c r="EO279" s="2583"/>
      <c r="EP279" s="2583"/>
      <c r="EQ279" s="2583"/>
      <c r="ER279" s="2583"/>
      <c r="ES279" s="2583"/>
      <c r="ET279" s="2583"/>
      <c r="EU279" s="2583"/>
      <c r="EV279" s="2583"/>
      <c r="EW279" s="2583"/>
      <c r="EX279" s="2583"/>
      <c r="EY279" s="2583"/>
      <c r="EZ279" s="2583"/>
      <c r="FA279" s="2583"/>
      <c r="FB279" s="2583"/>
      <c r="FC279" s="2583"/>
      <c r="FD279" s="2583"/>
      <c r="FE279" s="2583"/>
      <c r="FF279" s="2583"/>
      <c r="FG279" s="2583"/>
      <c r="FH279" s="2583"/>
      <c r="FI279" s="2583"/>
      <c r="FJ279" s="2583"/>
      <c r="FK279" s="2583"/>
      <c r="FL279" s="2583"/>
      <c r="FM279" s="2583"/>
      <c r="FN279" s="2583"/>
      <c r="FO279" s="2583"/>
      <c r="FP279" s="2583"/>
      <c r="FQ279" s="2583"/>
      <c r="FR279" s="2583"/>
      <c r="FS279" s="2583"/>
      <c r="FT279" s="2583"/>
      <c r="FU279" s="2583"/>
      <c r="FV279" s="2583"/>
      <c r="FW279" s="2583"/>
      <c r="FX279" s="2583"/>
      <c r="FY279" s="2583"/>
      <c r="FZ279" s="2583"/>
      <c r="GA279" s="2583"/>
      <c r="GB279" s="2583"/>
      <c r="GC279" s="2583"/>
      <c r="GD279" s="2583"/>
      <c r="GE279" s="2583"/>
      <c r="GF279" s="2583"/>
      <c r="GG279" s="2583"/>
      <c r="GH279" s="2583"/>
      <c r="GI279" s="2583"/>
      <c r="GJ279" s="2583"/>
      <c r="GK279" s="2583"/>
      <c r="GL279" s="2583"/>
      <c r="GM279" s="2583"/>
      <c r="GN279" s="2583"/>
      <c r="GO279" s="2583"/>
      <c r="GP279" s="2583"/>
      <c r="GQ279" s="2583"/>
      <c r="GR279" s="2583"/>
      <c r="GS279" s="2583"/>
      <c r="GT279" s="2583"/>
      <c r="GU279" s="2583"/>
      <c r="GV279" s="2583"/>
      <c r="GW279" s="2583"/>
      <c r="GX279" s="2583"/>
      <c r="GY279" s="2583"/>
      <c r="GZ279" s="2583"/>
      <c r="HA279" s="2583"/>
      <c r="HB279" s="2583"/>
      <c r="HC279" s="2583"/>
      <c r="HD279" s="2583"/>
      <c r="HE279" s="2583"/>
      <c r="HF279" s="2583"/>
      <c r="HG279" s="2583"/>
      <c r="HH279" s="2583"/>
      <c r="HI279" s="2583"/>
      <c r="HJ279" s="2583"/>
      <c r="HK279" s="2583"/>
      <c r="HL279" s="2583"/>
      <c r="HM279" s="2583"/>
      <c r="HN279" s="2583"/>
      <c r="HO279" s="2583"/>
      <c r="HP279" s="2583"/>
      <c r="HQ279" s="2583"/>
      <c r="HR279" s="2583"/>
      <c r="HS279" s="2583"/>
      <c r="HT279" s="2583"/>
      <c r="HU279" s="2583"/>
      <c r="HV279" s="2583"/>
      <c r="HW279" s="2583"/>
      <c r="HX279" s="2583"/>
      <c r="HY279" s="2583"/>
      <c r="HZ279" s="2583"/>
      <c r="IA279" s="2583"/>
      <c r="IB279" s="2583"/>
      <c r="IC279" s="2583"/>
      <c r="ID279" s="2583"/>
      <c r="IE279" s="2583"/>
      <c r="IF279" s="2583"/>
      <c r="IG279" s="2583"/>
      <c r="IH279" s="2583"/>
      <c r="II279" s="2583"/>
      <c r="IJ279" s="2583"/>
      <c r="IK279" s="2583"/>
      <c r="IL279" s="2583"/>
      <c r="IM279" s="2583"/>
      <c r="IN279" s="2583"/>
      <c r="IO279" s="2583"/>
      <c r="IP279" s="2583"/>
      <c r="IQ279" s="2583"/>
      <c r="IR279" s="2583"/>
      <c r="IS279" s="2583"/>
      <c r="IT279" s="2583"/>
      <c r="IU279" s="2583"/>
      <c r="IV279" s="2583"/>
    </row>
    <row r="280" spans="3:256">
      <c r="C280" s="2584"/>
      <c r="D280" s="2584"/>
      <c r="E280" s="2584"/>
      <c r="F280" s="2584"/>
      <c r="G280" s="2584"/>
      <c r="H280" s="2584"/>
      <c r="AC280" s="2583"/>
      <c r="AD280" s="2583"/>
      <c r="AE280" s="2583"/>
      <c r="AF280" s="2583"/>
      <c r="AG280" s="2583"/>
      <c r="AH280" s="2583"/>
      <c r="AI280" s="2583"/>
      <c r="AJ280" s="2583"/>
      <c r="AK280" s="2583"/>
      <c r="AL280" s="2583"/>
      <c r="AM280" s="2583"/>
      <c r="AN280" s="2583"/>
      <c r="AO280" s="2583"/>
      <c r="AP280" s="2583"/>
      <c r="AQ280" s="2583"/>
      <c r="AR280" s="2583"/>
      <c r="AS280" s="2583"/>
      <c r="AT280" s="2583"/>
      <c r="AU280" s="2583"/>
      <c r="AV280" s="2583"/>
      <c r="AW280" s="2583"/>
      <c r="AX280" s="2583"/>
      <c r="AY280" s="2583"/>
      <c r="AZ280" s="2583"/>
      <c r="BA280" s="2583"/>
      <c r="BB280" s="2583"/>
      <c r="BC280" s="2583"/>
      <c r="BD280" s="2583"/>
      <c r="BE280" s="2583"/>
      <c r="BF280" s="2583"/>
      <c r="BG280" s="2583"/>
      <c r="BH280" s="2583"/>
      <c r="BI280" s="2583"/>
      <c r="BJ280" s="2583"/>
      <c r="BK280" s="2583"/>
      <c r="BL280" s="2583"/>
      <c r="BM280" s="2583"/>
      <c r="BN280" s="2583"/>
      <c r="BO280" s="2583"/>
      <c r="BP280" s="2583"/>
      <c r="BQ280" s="2583"/>
      <c r="BR280" s="2583"/>
      <c r="BS280" s="2583"/>
      <c r="BT280" s="2583"/>
      <c r="BU280" s="2583"/>
      <c r="BV280" s="2583"/>
      <c r="BW280" s="2583"/>
      <c r="BX280" s="2583"/>
      <c r="BY280" s="2583"/>
      <c r="BZ280" s="2583"/>
      <c r="CA280" s="2583"/>
      <c r="CB280" s="2583"/>
      <c r="CC280" s="2583"/>
      <c r="CD280" s="2583"/>
      <c r="CE280" s="2583"/>
      <c r="CF280" s="2583"/>
      <c r="CG280" s="2583"/>
      <c r="CH280" s="2583"/>
      <c r="CI280" s="2583"/>
      <c r="CJ280" s="2583"/>
      <c r="CK280" s="2583"/>
      <c r="CL280" s="2583"/>
      <c r="CM280" s="2583"/>
      <c r="CN280" s="2583"/>
      <c r="CO280" s="2583"/>
      <c r="CP280" s="2583"/>
      <c r="CQ280" s="2583"/>
      <c r="CR280" s="2583"/>
      <c r="CS280" s="2583"/>
      <c r="CT280" s="2583"/>
      <c r="CU280" s="2583"/>
      <c r="CV280" s="2583"/>
      <c r="CW280" s="2583"/>
      <c r="CX280" s="2583"/>
      <c r="CY280" s="2583"/>
      <c r="CZ280" s="2583"/>
      <c r="DA280" s="2583"/>
      <c r="DB280" s="2583"/>
      <c r="DC280" s="2583"/>
      <c r="DD280" s="2583"/>
      <c r="DE280" s="2583"/>
      <c r="DF280" s="2583"/>
      <c r="DG280" s="2583"/>
      <c r="DH280" s="2583"/>
      <c r="DI280" s="2583"/>
      <c r="DJ280" s="2583"/>
      <c r="DK280" s="2583"/>
      <c r="DL280" s="2583"/>
      <c r="DM280" s="2583"/>
      <c r="DN280" s="2583"/>
      <c r="DO280" s="2583"/>
      <c r="DP280" s="2583"/>
      <c r="DQ280" s="2583"/>
      <c r="DR280" s="2583"/>
      <c r="DS280" s="2583"/>
      <c r="DT280" s="2583"/>
      <c r="DU280" s="2583"/>
      <c r="DV280" s="2583"/>
      <c r="DW280" s="2583"/>
      <c r="DX280" s="2583"/>
      <c r="DY280" s="2583"/>
      <c r="DZ280" s="2583"/>
      <c r="EA280" s="2583"/>
      <c r="EB280" s="2583"/>
      <c r="EC280" s="2583"/>
      <c r="ED280" s="2583"/>
      <c r="EE280" s="2583"/>
      <c r="EF280" s="2583"/>
      <c r="EG280" s="2583"/>
      <c r="EH280" s="2583"/>
      <c r="EI280" s="2583"/>
      <c r="EJ280" s="2583"/>
      <c r="EK280" s="2583"/>
      <c r="EL280" s="2583"/>
      <c r="EM280" s="2583"/>
      <c r="EN280" s="2583"/>
      <c r="EO280" s="2583"/>
      <c r="EP280" s="2583"/>
      <c r="EQ280" s="2583"/>
      <c r="ER280" s="2583"/>
      <c r="ES280" s="2583"/>
      <c r="ET280" s="2583"/>
      <c r="EU280" s="2583"/>
      <c r="EV280" s="2583"/>
      <c r="EW280" s="2583"/>
      <c r="EX280" s="2583"/>
      <c r="EY280" s="2583"/>
      <c r="EZ280" s="2583"/>
      <c r="FA280" s="2583"/>
      <c r="FB280" s="2583"/>
      <c r="FC280" s="2583"/>
      <c r="FD280" s="2583"/>
      <c r="FE280" s="2583"/>
      <c r="FF280" s="2583"/>
      <c r="FG280" s="2583"/>
      <c r="FH280" s="2583"/>
      <c r="FI280" s="2583"/>
      <c r="FJ280" s="2583"/>
      <c r="FK280" s="2583"/>
      <c r="FL280" s="2583"/>
      <c r="FM280" s="2583"/>
      <c r="FN280" s="2583"/>
      <c r="FO280" s="2583"/>
      <c r="FP280" s="2583"/>
      <c r="FQ280" s="2583"/>
      <c r="FR280" s="2583"/>
      <c r="FS280" s="2583"/>
      <c r="FT280" s="2583"/>
      <c r="FU280" s="2583"/>
      <c r="FV280" s="2583"/>
      <c r="FW280" s="2583"/>
      <c r="FX280" s="2583"/>
      <c r="FY280" s="2583"/>
      <c r="FZ280" s="2583"/>
      <c r="GA280" s="2583"/>
      <c r="GB280" s="2583"/>
      <c r="GC280" s="2583"/>
      <c r="GD280" s="2583"/>
      <c r="GE280" s="2583"/>
      <c r="GF280" s="2583"/>
      <c r="GG280" s="2583"/>
      <c r="GH280" s="2583"/>
      <c r="GI280" s="2583"/>
      <c r="GJ280" s="2583"/>
      <c r="GK280" s="2583"/>
      <c r="GL280" s="2583"/>
      <c r="GM280" s="2583"/>
      <c r="GN280" s="2583"/>
      <c r="GO280" s="2583"/>
      <c r="GP280" s="2583"/>
      <c r="GQ280" s="2583"/>
      <c r="GR280" s="2583"/>
      <c r="GS280" s="2583"/>
      <c r="GT280" s="2583"/>
      <c r="GU280" s="2583"/>
      <c r="GV280" s="2583"/>
      <c r="GW280" s="2583"/>
      <c r="GX280" s="2583"/>
      <c r="GY280" s="2583"/>
      <c r="GZ280" s="2583"/>
      <c r="HA280" s="2583"/>
      <c r="HB280" s="2583"/>
      <c r="HC280" s="2583"/>
      <c r="HD280" s="2583"/>
      <c r="HE280" s="2583"/>
      <c r="HF280" s="2583"/>
      <c r="HG280" s="2583"/>
      <c r="HH280" s="2583"/>
      <c r="HI280" s="2583"/>
      <c r="HJ280" s="2583"/>
      <c r="HK280" s="2583"/>
      <c r="HL280" s="2583"/>
      <c r="HM280" s="2583"/>
      <c r="HN280" s="2583"/>
      <c r="HO280" s="2583"/>
      <c r="HP280" s="2583"/>
      <c r="HQ280" s="2583"/>
      <c r="HR280" s="2583"/>
      <c r="HS280" s="2583"/>
      <c r="HT280" s="2583"/>
      <c r="HU280" s="2583"/>
      <c r="HV280" s="2583"/>
      <c r="HW280" s="2583"/>
      <c r="HX280" s="2583"/>
      <c r="HY280" s="2583"/>
      <c r="HZ280" s="2583"/>
      <c r="IA280" s="2583"/>
      <c r="IB280" s="2583"/>
      <c r="IC280" s="2583"/>
      <c r="ID280" s="2583"/>
      <c r="IE280" s="2583"/>
      <c r="IF280" s="2583"/>
      <c r="IG280" s="2583"/>
      <c r="IH280" s="2583"/>
      <c r="II280" s="2583"/>
      <c r="IJ280" s="2583"/>
      <c r="IK280" s="2583"/>
      <c r="IL280" s="2583"/>
      <c r="IM280" s="2583"/>
      <c r="IN280" s="2583"/>
      <c r="IO280" s="2583"/>
      <c r="IP280" s="2583"/>
      <c r="IQ280" s="2583"/>
      <c r="IR280" s="2583"/>
      <c r="IS280" s="2583"/>
      <c r="IT280" s="2583"/>
      <c r="IU280" s="2583"/>
      <c r="IV280" s="2583"/>
    </row>
    <row r="281" spans="3:256">
      <c r="C281" s="2584"/>
      <c r="D281" s="2584"/>
      <c r="E281" s="2584"/>
      <c r="F281" s="2584"/>
      <c r="G281" s="2584"/>
      <c r="H281" s="2584"/>
      <c r="AC281" s="2583"/>
      <c r="AD281" s="2583"/>
      <c r="AE281" s="2583"/>
      <c r="AF281" s="2583"/>
      <c r="AG281" s="2583"/>
      <c r="AH281" s="2583"/>
      <c r="AI281" s="2583"/>
      <c r="AJ281" s="2583"/>
      <c r="AK281" s="2583"/>
      <c r="AL281" s="2583"/>
      <c r="AM281" s="2583"/>
      <c r="AN281" s="2583"/>
      <c r="AO281" s="2583"/>
      <c r="AP281" s="2583"/>
      <c r="AQ281" s="2583"/>
      <c r="AR281" s="2583"/>
      <c r="AS281" s="2583"/>
      <c r="AT281" s="2583"/>
      <c r="AU281" s="2583"/>
      <c r="AV281" s="2583"/>
      <c r="AW281" s="2583"/>
      <c r="AX281" s="2583"/>
      <c r="AY281" s="2583"/>
      <c r="AZ281" s="2583"/>
      <c r="BA281" s="2583"/>
      <c r="BB281" s="2583"/>
      <c r="BC281" s="2583"/>
      <c r="BD281" s="2583"/>
      <c r="BE281" s="2583"/>
      <c r="BF281" s="2583"/>
      <c r="BG281" s="2583"/>
      <c r="BH281" s="2583"/>
      <c r="BI281" s="2583"/>
      <c r="BJ281" s="2583"/>
      <c r="BK281" s="2583"/>
      <c r="BL281" s="2583"/>
      <c r="BM281" s="2583"/>
      <c r="BN281" s="2583"/>
      <c r="BO281" s="2583"/>
      <c r="BP281" s="2583"/>
      <c r="BQ281" s="2583"/>
      <c r="BR281" s="2583"/>
      <c r="BS281" s="2583"/>
      <c r="BT281" s="2583"/>
      <c r="BU281" s="2583"/>
      <c r="BV281" s="2583"/>
      <c r="BW281" s="2583"/>
      <c r="BX281" s="2583"/>
      <c r="BY281" s="2583"/>
      <c r="BZ281" s="2583"/>
      <c r="CA281" s="2583"/>
      <c r="CB281" s="2583"/>
      <c r="CC281" s="2583"/>
      <c r="CD281" s="2583"/>
      <c r="CE281" s="2583"/>
      <c r="CF281" s="2583"/>
      <c r="CG281" s="2583"/>
      <c r="CH281" s="2583"/>
      <c r="CI281" s="2583"/>
      <c r="CJ281" s="2583"/>
      <c r="CK281" s="2583"/>
      <c r="CL281" s="2583"/>
      <c r="CM281" s="2583"/>
      <c r="CN281" s="2583"/>
      <c r="CO281" s="2583"/>
      <c r="CP281" s="2583"/>
      <c r="CQ281" s="2583"/>
      <c r="CR281" s="2583"/>
      <c r="CS281" s="2583"/>
      <c r="CT281" s="2583"/>
      <c r="CU281" s="2583"/>
      <c r="CV281" s="2583"/>
      <c r="CW281" s="2583"/>
      <c r="CX281" s="2583"/>
      <c r="CY281" s="2583"/>
      <c r="CZ281" s="2583"/>
      <c r="DA281" s="2583"/>
      <c r="DB281" s="2583"/>
      <c r="DC281" s="2583"/>
      <c r="DD281" s="2583"/>
      <c r="DE281" s="2583"/>
      <c r="DF281" s="2583"/>
      <c r="DG281" s="2583"/>
      <c r="DH281" s="2583"/>
      <c r="DI281" s="2583"/>
      <c r="DJ281" s="2583"/>
      <c r="DK281" s="2583"/>
      <c r="DL281" s="2583"/>
      <c r="DM281" s="2583"/>
      <c r="DN281" s="2583"/>
      <c r="DO281" s="2583"/>
      <c r="DP281" s="2583"/>
      <c r="DQ281" s="2583"/>
      <c r="DR281" s="2583"/>
      <c r="DS281" s="2583"/>
      <c r="DT281" s="2583"/>
      <c r="DU281" s="2583"/>
      <c r="DV281" s="2583"/>
      <c r="DW281" s="2583"/>
      <c r="DX281" s="2583"/>
      <c r="DY281" s="2583"/>
      <c r="DZ281" s="2583"/>
      <c r="EA281" s="2583"/>
      <c r="EB281" s="2583"/>
      <c r="EC281" s="2583"/>
      <c r="ED281" s="2583"/>
      <c r="EE281" s="2583"/>
      <c r="EF281" s="2583"/>
      <c r="EG281" s="2583"/>
      <c r="EH281" s="2583"/>
      <c r="EI281" s="2583"/>
      <c r="EJ281" s="2583"/>
      <c r="EK281" s="2583"/>
      <c r="EL281" s="2583"/>
      <c r="EM281" s="2583"/>
      <c r="EN281" s="2583"/>
      <c r="EO281" s="2583"/>
      <c r="EP281" s="2583"/>
      <c r="EQ281" s="2583"/>
      <c r="ER281" s="2583"/>
      <c r="ES281" s="2583"/>
      <c r="ET281" s="2583"/>
      <c r="EU281" s="2583"/>
      <c r="EV281" s="2583"/>
      <c r="EW281" s="2583"/>
      <c r="EX281" s="2583"/>
      <c r="EY281" s="2583"/>
      <c r="EZ281" s="2583"/>
      <c r="FA281" s="2583"/>
      <c r="FB281" s="2583"/>
      <c r="FC281" s="2583"/>
      <c r="FD281" s="2583"/>
      <c r="FE281" s="2583"/>
      <c r="FF281" s="2583"/>
      <c r="FG281" s="2583"/>
      <c r="FH281" s="2583"/>
      <c r="FI281" s="2583"/>
      <c r="FJ281" s="2583"/>
      <c r="FK281" s="2583"/>
      <c r="FL281" s="2583"/>
      <c r="FM281" s="2583"/>
      <c r="FN281" s="2583"/>
      <c r="FO281" s="2583"/>
      <c r="FP281" s="2583"/>
      <c r="FQ281" s="2583"/>
      <c r="FR281" s="2583"/>
      <c r="FS281" s="2583"/>
      <c r="FT281" s="2583"/>
      <c r="FU281" s="2583"/>
      <c r="FV281" s="2583"/>
      <c r="FW281" s="2583"/>
      <c r="FX281" s="2583"/>
      <c r="FY281" s="2583"/>
      <c r="FZ281" s="2583"/>
      <c r="GA281" s="2583"/>
      <c r="GB281" s="2583"/>
      <c r="GC281" s="2583"/>
      <c r="GD281" s="2583"/>
      <c r="GE281" s="2583"/>
      <c r="GF281" s="2583"/>
      <c r="GG281" s="2583"/>
      <c r="GH281" s="2583"/>
      <c r="GI281" s="2583"/>
      <c r="GJ281" s="2583"/>
      <c r="GK281" s="2583"/>
      <c r="GL281" s="2583"/>
      <c r="GM281" s="2583"/>
      <c r="GN281" s="2583"/>
      <c r="GO281" s="2583"/>
      <c r="GP281" s="2583"/>
      <c r="GQ281" s="2583"/>
      <c r="GR281" s="2583"/>
      <c r="GS281" s="2583"/>
      <c r="GT281" s="2583"/>
      <c r="GU281" s="2583"/>
      <c r="GV281" s="2583"/>
      <c r="GW281" s="2583"/>
      <c r="GX281" s="2583"/>
      <c r="GY281" s="2583"/>
      <c r="GZ281" s="2583"/>
      <c r="HA281" s="2583"/>
      <c r="HB281" s="2583"/>
      <c r="HC281" s="2583"/>
      <c r="HD281" s="2583"/>
      <c r="HE281" s="2583"/>
      <c r="HF281" s="2583"/>
      <c r="HG281" s="2583"/>
      <c r="HH281" s="2583"/>
      <c r="HI281" s="2583"/>
      <c r="HJ281" s="2583"/>
      <c r="HK281" s="2583"/>
      <c r="HL281" s="2583"/>
      <c r="HM281" s="2583"/>
      <c r="HN281" s="2583"/>
      <c r="HO281" s="2583"/>
      <c r="HP281" s="2583"/>
      <c r="HQ281" s="2583"/>
      <c r="HR281" s="2583"/>
      <c r="HS281" s="2583"/>
      <c r="HT281" s="2583"/>
      <c r="HU281" s="2583"/>
      <c r="HV281" s="2583"/>
      <c r="HW281" s="2583"/>
      <c r="HX281" s="2583"/>
      <c r="HY281" s="2583"/>
      <c r="HZ281" s="2583"/>
      <c r="IA281" s="2583"/>
      <c r="IB281" s="2583"/>
      <c r="IC281" s="2583"/>
      <c r="ID281" s="2583"/>
      <c r="IE281" s="2583"/>
      <c r="IF281" s="2583"/>
      <c r="IG281" s="2583"/>
      <c r="IH281" s="2583"/>
      <c r="II281" s="2583"/>
      <c r="IJ281" s="2583"/>
      <c r="IK281" s="2583"/>
      <c r="IL281" s="2583"/>
      <c r="IM281" s="2583"/>
      <c r="IN281" s="2583"/>
      <c r="IO281" s="2583"/>
      <c r="IP281" s="2583"/>
      <c r="IQ281" s="2583"/>
      <c r="IR281" s="2583"/>
      <c r="IS281" s="2583"/>
      <c r="IT281" s="2583"/>
      <c r="IU281" s="2583"/>
      <c r="IV281" s="2583"/>
    </row>
    <row r="282" spans="3:256">
      <c r="C282" s="2584"/>
      <c r="D282" s="2584"/>
      <c r="E282" s="2584"/>
      <c r="F282" s="2584"/>
      <c r="G282" s="2584"/>
      <c r="H282" s="2584"/>
      <c r="AC282" s="2583"/>
      <c r="AD282" s="2583"/>
      <c r="AE282" s="2583"/>
      <c r="AF282" s="2583"/>
      <c r="AG282" s="2583"/>
      <c r="AH282" s="2583"/>
      <c r="AI282" s="2583"/>
      <c r="AJ282" s="2583"/>
      <c r="AK282" s="2583"/>
      <c r="AL282" s="2583"/>
      <c r="AM282" s="2583"/>
      <c r="AN282" s="2583"/>
      <c r="AO282" s="2583"/>
      <c r="AP282" s="2583"/>
      <c r="AQ282" s="2583"/>
      <c r="AR282" s="2583"/>
      <c r="AS282" s="2583"/>
      <c r="AT282" s="2583"/>
      <c r="AU282" s="2583"/>
      <c r="AV282" s="2583"/>
      <c r="AW282" s="2583"/>
      <c r="AX282" s="2583"/>
      <c r="AY282" s="2583"/>
      <c r="AZ282" s="2583"/>
      <c r="BA282" s="2583"/>
      <c r="BB282" s="2583"/>
      <c r="BC282" s="2583"/>
      <c r="BD282" s="2583"/>
      <c r="BE282" s="2583"/>
      <c r="BF282" s="2583"/>
      <c r="BG282" s="2583"/>
      <c r="BH282" s="2583"/>
      <c r="BI282" s="2583"/>
      <c r="BJ282" s="2583"/>
      <c r="BK282" s="2583"/>
      <c r="BL282" s="2583"/>
      <c r="BM282" s="2583"/>
      <c r="BN282" s="2583"/>
      <c r="BO282" s="2583"/>
      <c r="BP282" s="2583"/>
      <c r="BQ282" s="2583"/>
      <c r="BR282" s="2583"/>
      <c r="BS282" s="2583"/>
      <c r="BT282" s="2583"/>
      <c r="BU282" s="2583"/>
      <c r="BV282" s="2583"/>
      <c r="BW282" s="2583"/>
      <c r="BX282" s="2583"/>
      <c r="BY282" s="2583"/>
      <c r="BZ282" s="2583"/>
      <c r="CA282" s="2583"/>
      <c r="CB282" s="2583"/>
      <c r="CC282" s="2583"/>
      <c r="CD282" s="2583"/>
      <c r="CE282" s="2583"/>
      <c r="CF282" s="2583"/>
      <c r="CG282" s="2583"/>
      <c r="CH282" s="2583"/>
      <c r="CI282" s="2583"/>
      <c r="CJ282" s="2583"/>
      <c r="CK282" s="2583"/>
      <c r="CL282" s="2583"/>
      <c r="CM282" s="2583"/>
      <c r="CN282" s="2583"/>
      <c r="CO282" s="2583"/>
      <c r="CP282" s="2583"/>
      <c r="CQ282" s="2583"/>
      <c r="CR282" s="2583"/>
      <c r="CS282" s="2583"/>
      <c r="CT282" s="2583"/>
      <c r="CU282" s="2583"/>
      <c r="CV282" s="2583"/>
      <c r="CW282" s="2583"/>
      <c r="CX282" s="2583"/>
      <c r="CY282" s="2583"/>
      <c r="CZ282" s="2583"/>
      <c r="DA282" s="2583"/>
      <c r="DB282" s="2583"/>
      <c r="DC282" s="2583"/>
      <c r="DD282" s="2583"/>
      <c r="DE282" s="2583"/>
      <c r="DF282" s="2583"/>
      <c r="DG282" s="2583"/>
      <c r="DH282" s="2583"/>
      <c r="DI282" s="2583"/>
      <c r="DJ282" s="2583"/>
      <c r="DK282" s="2583"/>
      <c r="DL282" s="2583"/>
      <c r="DM282" s="2583"/>
      <c r="DN282" s="2583"/>
      <c r="DO282" s="2583"/>
      <c r="DP282" s="2583"/>
      <c r="DQ282" s="2583"/>
      <c r="DR282" s="2583"/>
      <c r="DS282" s="2583"/>
      <c r="DT282" s="2583"/>
      <c r="DU282" s="2583"/>
      <c r="DV282" s="2583"/>
      <c r="DW282" s="2583"/>
      <c r="DX282" s="2583"/>
      <c r="DY282" s="2583"/>
      <c r="DZ282" s="2583"/>
      <c r="EA282" s="2583"/>
      <c r="EB282" s="2583"/>
      <c r="EC282" s="2583"/>
      <c r="ED282" s="2583"/>
      <c r="EE282" s="2583"/>
      <c r="EF282" s="2583"/>
      <c r="EG282" s="2583"/>
      <c r="EH282" s="2583"/>
      <c r="EI282" s="2583"/>
      <c r="EJ282" s="2583"/>
      <c r="EK282" s="2583"/>
      <c r="EL282" s="2583"/>
      <c r="EM282" s="2583"/>
      <c r="EN282" s="2583"/>
      <c r="EO282" s="2583"/>
      <c r="EP282" s="2583"/>
      <c r="EQ282" s="2583"/>
      <c r="ER282" s="2583"/>
      <c r="ES282" s="2583"/>
      <c r="ET282" s="2583"/>
      <c r="EU282" s="2583"/>
      <c r="EV282" s="2583"/>
      <c r="EW282" s="2583"/>
      <c r="EX282" s="2583"/>
      <c r="EY282" s="2583"/>
      <c r="EZ282" s="2583"/>
      <c r="FA282" s="2583"/>
      <c r="FB282" s="2583"/>
      <c r="FC282" s="2583"/>
      <c r="FD282" s="2583"/>
      <c r="FE282" s="2583"/>
      <c r="FF282" s="2583"/>
      <c r="FG282" s="2583"/>
      <c r="FH282" s="2583"/>
      <c r="FI282" s="2583"/>
      <c r="FJ282" s="2583"/>
      <c r="FK282" s="2583"/>
      <c r="FL282" s="2583"/>
      <c r="FM282" s="2583"/>
      <c r="FN282" s="2583"/>
      <c r="FO282" s="2583"/>
      <c r="FP282" s="2583"/>
      <c r="FQ282" s="2583"/>
      <c r="FR282" s="2583"/>
      <c r="FS282" s="2583"/>
      <c r="FT282" s="2583"/>
      <c r="FU282" s="2583"/>
      <c r="FV282" s="2583"/>
      <c r="FW282" s="2583"/>
      <c r="FX282" s="2583"/>
      <c r="FY282" s="2583"/>
      <c r="FZ282" s="2583"/>
      <c r="GA282" s="2583"/>
      <c r="GB282" s="2583"/>
      <c r="GC282" s="2583"/>
      <c r="GD282" s="2583"/>
      <c r="GE282" s="2583"/>
      <c r="GF282" s="2583"/>
      <c r="GG282" s="2583"/>
      <c r="GH282" s="2583"/>
      <c r="GI282" s="2583"/>
      <c r="GJ282" s="2583"/>
      <c r="GK282" s="2583"/>
      <c r="GL282" s="2583"/>
      <c r="GM282" s="2583"/>
      <c r="GN282" s="2583"/>
      <c r="GO282" s="2583"/>
      <c r="GP282" s="2583"/>
      <c r="GQ282" s="2583"/>
      <c r="GR282" s="2583"/>
      <c r="GS282" s="2583"/>
      <c r="GT282" s="2583"/>
      <c r="GU282" s="2583"/>
      <c r="GV282" s="2583"/>
      <c r="GW282" s="2583"/>
      <c r="GX282" s="2583"/>
      <c r="GY282" s="2583"/>
      <c r="GZ282" s="2583"/>
      <c r="HA282" s="2583"/>
      <c r="HB282" s="2583"/>
      <c r="HC282" s="2583"/>
      <c r="HD282" s="2583"/>
      <c r="HE282" s="2583"/>
      <c r="HF282" s="2583"/>
      <c r="HG282" s="2583"/>
      <c r="HH282" s="2583"/>
      <c r="HI282" s="2583"/>
      <c r="HJ282" s="2583"/>
      <c r="HK282" s="2583"/>
      <c r="HL282" s="2583"/>
      <c r="HM282" s="2583"/>
      <c r="HN282" s="2583"/>
      <c r="HO282" s="2583"/>
      <c r="HP282" s="2583"/>
      <c r="HQ282" s="2583"/>
      <c r="HR282" s="2583"/>
      <c r="HS282" s="2583"/>
      <c r="HT282" s="2583"/>
      <c r="HU282" s="2583"/>
      <c r="HV282" s="2583"/>
      <c r="HW282" s="2583"/>
      <c r="HX282" s="2583"/>
      <c r="HY282" s="2583"/>
      <c r="HZ282" s="2583"/>
      <c r="IA282" s="2583"/>
      <c r="IB282" s="2583"/>
      <c r="IC282" s="2583"/>
      <c r="ID282" s="2583"/>
      <c r="IE282" s="2583"/>
      <c r="IF282" s="2583"/>
      <c r="IG282" s="2583"/>
      <c r="IH282" s="2583"/>
      <c r="II282" s="2583"/>
      <c r="IJ282" s="2583"/>
      <c r="IK282" s="2583"/>
      <c r="IL282" s="2583"/>
      <c r="IM282" s="2583"/>
      <c r="IN282" s="2583"/>
      <c r="IO282" s="2583"/>
      <c r="IP282" s="2583"/>
      <c r="IQ282" s="2583"/>
      <c r="IR282" s="2583"/>
      <c r="IS282" s="2583"/>
      <c r="IT282" s="2583"/>
      <c r="IU282" s="2583"/>
      <c r="IV282" s="2583"/>
    </row>
    <row r="283" spans="3:256">
      <c r="C283" s="2584"/>
      <c r="D283" s="2584"/>
      <c r="E283" s="2584"/>
      <c r="F283" s="2584"/>
      <c r="G283" s="2584"/>
      <c r="H283" s="2584"/>
      <c r="AC283" s="2583"/>
      <c r="AD283" s="2583"/>
      <c r="AE283" s="2583"/>
      <c r="AF283" s="2583"/>
      <c r="AG283" s="2583"/>
      <c r="AH283" s="2583"/>
      <c r="AI283" s="2583"/>
      <c r="AJ283" s="2583"/>
      <c r="AK283" s="2583"/>
      <c r="AL283" s="2583"/>
      <c r="AM283" s="2583"/>
      <c r="AN283" s="2583"/>
      <c r="AO283" s="2583"/>
      <c r="AP283" s="2583"/>
      <c r="AQ283" s="2583"/>
      <c r="AR283" s="2583"/>
      <c r="AS283" s="2583"/>
      <c r="AT283" s="2583"/>
      <c r="AU283" s="2583"/>
      <c r="AV283" s="2583"/>
      <c r="AW283" s="2583"/>
      <c r="AX283" s="2583"/>
      <c r="AY283" s="2583"/>
      <c r="AZ283" s="2583"/>
      <c r="BA283" s="2583"/>
      <c r="BB283" s="2583"/>
      <c r="BC283" s="2583"/>
      <c r="BD283" s="2583"/>
      <c r="BE283" s="2583"/>
      <c r="BF283" s="2583"/>
      <c r="BG283" s="2583"/>
      <c r="BH283" s="2583"/>
      <c r="BI283" s="2583"/>
      <c r="BJ283" s="2583"/>
      <c r="BK283" s="2583"/>
      <c r="BL283" s="2583"/>
      <c r="BM283" s="2583"/>
      <c r="BN283" s="2583"/>
      <c r="BO283" s="2583"/>
      <c r="BP283" s="2583"/>
      <c r="BQ283" s="2583"/>
      <c r="BR283" s="2583"/>
      <c r="BS283" s="2583"/>
      <c r="BT283" s="2583"/>
      <c r="BU283" s="2583"/>
      <c r="BV283" s="2583"/>
      <c r="BW283" s="2583"/>
      <c r="BX283" s="2583"/>
      <c r="BY283" s="2583"/>
      <c r="BZ283" s="2583"/>
      <c r="CA283" s="2583"/>
      <c r="CB283" s="2583"/>
      <c r="CC283" s="2583"/>
      <c r="CD283" s="2583"/>
      <c r="CE283" s="2583"/>
      <c r="CF283" s="2583"/>
      <c r="CG283" s="2583"/>
      <c r="CH283" s="2583"/>
      <c r="CI283" s="2583"/>
      <c r="CJ283" s="2583"/>
      <c r="CK283" s="2583"/>
      <c r="CL283" s="2583"/>
      <c r="CM283" s="2583"/>
      <c r="CN283" s="2583"/>
      <c r="CO283" s="2583"/>
      <c r="CP283" s="2583"/>
      <c r="CQ283" s="2583"/>
      <c r="CR283" s="2583"/>
      <c r="CS283" s="2583"/>
      <c r="CT283" s="2583"/>
      <c r="CU283" s="2583"/>
      <c r="CV283" s="2583"/>
      <c r="CW283" s="2583"/>
      <c r="CX283" s="2583"/>
      <c r="CY283" s="2583"/>
      <c r="CZ283" s="2583"/>
      <c r="DA283" s="2583"/>
      <c r="DB283" s="2583"/>
      <c r="DC283" s="2583"/>
      <c r="DD283" s="2583"/>
      <c r="DE283" s="2583"/>
      <c r="DF283" s="2583"/>
      <c r="DG283" s="2583"/>
      <c r="DH283" s="2583"/>
      <c r="DI283" s="2583"/>
      <c r="DJ283" s="2583"/>
      <c r="DK283" s="2583"/>
      <c r="DL283" s="2583"/>
      <c r="DM283" s="2583"/>
      <c r="DN283" s="2583"/>
      <c r="DO283" s="2583"/>
      <c r="DP283" s="2583"/>
      <c r="DQ283" s="2583"/>
      <c r="DR283" s="2583"/>
      <c r="DS283" s="2583"/>
      <c r="DT283" s="2583"/>
      <c r="DU283" s="2583"/>
      <c r="DV283" s="2583"/>
      <c r="DW283" s="2583"/>
      <c r="DX283" s="2583"/>
      <c r="DY283" s="2583"/>
      <c r="DZ283" s="2583"/>
      <c r="EA283" s="2583"/>
      <c r="EB283" s="2583"/>
      <c r="EC283" s="2583"/>
      <c r="ED283" s="2583"/>
      <c r="EE283" s="2583"/>
      <c r="EF283" s="2583"/>
      <c r="EG283" s="2583"/>
      <c r="EH283" s="2583"/>
      <c r="EI283" s="2583"/>
      <c r="EJ283" s="2583"/>
      <c r="EK283" s="2583"/>
      <c r="EL283" s="2583"/>
      <c r="EM283" s="2583"/>
      <c r="EN283" s="2583"/>
      <c r="EO283" s="2583"/>
      <c r="EP283" s="2583"/>
      <c r="EQ283" s="2583"/>
      <c r="ER283" s="2583"/>
      <c r="ES283" s="2583"/>
      <c r="ET283" s="2583"/>
      <c r="EU283" s="2583"/>
      <c r="EV283" s="2583"/>
      <c r="EW283" s="2583"/>
      <c r="EX283" s="2583"/>
      <c r="EY283" s="2583"/>
      <c r="EZ283" s="2583"/>
      <c r="FA283" s="2583"/>
      <c r="FB283" s="2583"/>
      <c r="FC283" s="2583"/>
      <c r="FD283" s="2583"/>
      <c r="FE283" s="2583"/>
      <c r="FF283" s="2583"/>
      <c r="FG283" s="2583"/>
      <c r="FH283" s="2583"/>
      <c r="FI283" s="2583"/>
      <c r="FJ283" s="2583"/>
      <c r="FK283" s="2583"/>
      <c r="FL283" s="2583"/>
      <c r="FM283" s="2583"/>
      <c r="FN283" s="2583"/>
      <c r="FO283" s="2583"/>
      <c r="FP283" s="2583"/>
      <c r="FQ283" s="2583"/>
      <c r="FR283" s="2583"/>
      <c r="FS283" s="2583"/>
      <c r="FT283" s="2583"/>
      <c r="FU283" s="2583"/>
      <c r="FV283" s="2583"/>
      <c r="FW283" s="2583"/>
      <c r="FX283" s="2583"/>
      <c r="FY283" s="2583"/>
      <c r="FZ283" s="2583"/>
      <c r="GA283" s="2583"/>
      <c r="GB283" s="2583"/>
      <c r="GC283" s="2583"/>
      <c r="GD283" s="2583"/>
      <c r="GE283" s="2583"/>
      <c r="GF283" s="2583"/>
      <c r="GG283" s="2583"/>
      <c r="GH283" s="2583"/>
      <c r="GI283" s="2583"/>
      <c r="GJ283" s="2583"/>
      <c r="GK283" s="2583"/>
      <c r="GL283" s="2583"/>
      <c r="GM283" s="2583"/>
      <c r="GN283" s="2583"/>
      <c r="GO283" s="2583"/>
      <c r="GP283" s="2583"/>
      <c r="GQ283" s="2583"/>
      <c r="GR283" s="2583"/>
      <c r="GS283" s="2583"/>
      <c r="GT283" s="2583"/>
      <c r="GU283" s="2583"/>
      <c r="GV283" s="2583"/>
      <c r="GW283" s="2583"/>
      <c r="GX283" s="2583"/>
      <c r="GY283" s="2583"/>
      <c r="GZ283" s="2583"/>
      <c r="HA283" s="2583"/>
      <c r="HB283" s="2583"/>
      <c r="HC283" s="2583"/>
      <c r="HD283" s="2583"/>
      <c r="HE283" s="2583"/>
      <c r="HF283" s="2583"/>
      <c r="HG283" s="2583"/>
      <c r="HH283" s="2583"/>
      <c r="HI283" s="2583"/>
      <c r="HJ283" s="2583"/>
      <c r="HK283" s="2583"/>
      <c r="HL283" s="2583"/>
      <c r="HM283" s="2583"/>
      <c r="HN283" s="2583"/>
      <c r="HO283" s="2583"/>
      <c r="HP283" s="2583"/>
      <c r="HQ283" s="2583"/>
      <c r="HR283" s="2583"/>
      <c r="HS283" s="2583"/>
      <c r="HT283" s="2583"/>
      <c r="HU283" s="2583"/>
      <c r="HV283" s="2583"/>
      <c r="HW283" s="2583"/>
      <c r="HX283" s="2583"/>
      <c r="HY283" s="2583"/>
      <c r="HZ283" s="2583"/>
      <c r="IA283" s="2583"/>
      <c r="IB283" s="2583"/>
      <c r="IC283" s="2583"/>
      <c r="ID283" s="2583"/>
      <c r="IE283" s="2583"/>
      <c r="IF283" s="2583"/>
      <c r="IG283" s="2583"/>
      <c r="IH283" s="2583"/>
      <c r="II283" s="2583"/>
      <c r="IJ283" s="2583"/>
      <c r="IK283" s="2583"/>
      <c r="IL283" s="2583"/>
      <c r="IM283" s="2583"/>
      <c r="IN283" s="2583"/>
      <c r="IO283" s="2583"/>
      <c r="IP283" s="2583"/>
      <c r="IQ283" s="2583"/>
      <c r="IR283" s="2583"/>
      <c r="IS283" s="2583"/>
      <c r="IT283" s="2583"/>
      <c r="IU283" s="2583"/>
      <c r="IV283" s="2583"/>
    </row>
    <row r="284" spans="3:256">
      <c r="C284" s="2584"/>
      <c r="D284" s="2584"/>
      <c r="E284" s="2584"/>
      <c r="F284" s="2584"/>
      <c r="G284" s="2584"/>
      <c r="H284" s="2584"/>
      <c r="AC284" s="2583"/>
      <c r="AD284" s="2583"/>
      <c r="AE284" s="2583"/>
      <c r="AF284" s="2583"/>
      <c r="AG284" s="2583"/>
      <c r="AH284" s="2583"/>
      <c r="AI284" s="2583"/>
      <c r="AJ284" s="2583"/>
      <c r="AK284" s="2583"/>
      <c r="AL284" s="2583"/>
      <c r="AM284" s="2583"/>
      <c r="AN284" s="2583"/>
      <c r="AO284" s="2583"/>
      <c r="AP284" s="2583"/>
      <c r="AQ284" s="2583"/>
      <c r="AR284" s="2583"/>
      <c r="AS284" s="2583"/>
      <c r="AT284" s="2583"/>
      <c r="AU284" s="2583"/>
      <c r="AV284" s="2583"/>
      <c r="AW284" s="2583"/>
      <c r="AX284" s="2583"/>
      <c r="AY284" s="2583"/>
      <c r="AZ284" s="2583"/>
      <c r="BA284" s="2583"/>
      <c r="BB284" s="2583"/>
      <c r="BC284" s="2583"/>
      <c r="BD284" s="2583"/>
      <c r="BE284" s="2583"/>
      <c r="BF284" s="2583"/>
      <c r="BG284" s="2583"/>
      <c r="BH284" s="2583"/>
      <c r="BI284" s="2583"/>
      <c r="BJ284" s="2583"/>
      <c r="BK284" s="2583"/>
      <c r="BL284" s="2583"/>
      <c r="BM284" s="2583"/>
      <c r="BN284" s="2583"/>
      <c r="BO284" s="2583"/>
      <c r="BP284" s="2583"/>
      <c r="BQ284" s="2583"/>
      <c r="BR284" s="2583"/>
      <c r="BS284" s="2583"/>
      <c r="BT284" s="2583"/>
      <c r="BU284" s="2583"/>
      <c r="BV284" s="2583"/>
      <c r="BW284" s="2583"/>
      <c r="BX284" s="2583"/>
      <c r="BY284" s="2583"/>
      <c r="BZ284" s="2583"/>
      <c r="CA284" s="2583"/>
      <c r="CB284" s="2583"/>
      <c r="CC284" s="2583"/>
      <c r="CD284" s="2583"/>
      <c r="CE284" s="2583"/>
      <c r="CF284" s="2583"/>
      <c r="CG284" s="2583"/>
      <c r="CH284" s="2583"/>
      <c r="CI284" s="2583"/>
      <c r="CJ284" s="2583"/>
      <c r="CK284" s="2583"/>
      <c r="CL284" s="2583"/>
      <c r="CM284" s="2583"/>
      <c r="CN284" s="2583"/>
      <c r="CO284" s="2583"/>
      <c r="CP284" s="2583"/>
      <c r="CQ284" s="2583"/>
      <c r="CR284" s="2583"/>
      <c r="CS284" s="2583"/>
      <c r="CT284" s="2583"/>
      <c r="CU284" s="2583"/>
      <c r="CV284" s="2583"/>
      <c r="CW284" s="2583"/>
      <c r="CX284" s="2583"/>
      <c r="CY284" s="2583"/>
      <c r="CZ284" s="2583"/>
      <c r="DA284" s="2583"/>
      <c r="DB284" s="2583"/>
      <c r="DC284" s="2583"/>
      <c r="DD284" s="2583"/>
      <c r="DE284" s="2583"/>
      <c r="DF284" s="2583"/>
      <c r="DG284" s="2583"/>
      <c r="DH284" s="2583"/>
      <c r="DI284" s="2583"/>
      <c r="DJ284" s="2583"/>
      <c r="DK284" s="2583"/>
      <c r="DL284" s="2583"/>
      <c r="DM284" s="2583"/>
      <c r="DN284" s="2583"/>
      <c r="DO284" s="2583"/>
      <c r="DP284" s="2583"/>
      <c r="DQ284" s="2583"/>
      <c r="DR284" s="2583"/>
      <c r="DS284" s="2583"/>
      <c r="DT284" s="2583"/>
      <c r="DU284" s="2583"/>
      <c r="DV284" s="2583"/>
      <c r="DW284" s="2583"/>
      <c r="DX284" s="2583"/>
      <c r="DY284" s="2583"/>
      <c r="DZ284" s="2583"/>
      <c r="EA284" s="2583"/>
      <c r="EB284" s="2583"/>
      <c r="EC284" s="2583"/>
      <c r="ED284" s="2583"/>
      <c r="EE284" s="2583"/>
      <c r="EF284" s="2583"/>
      <c r="EG284" s="2583"/>
      <c r="EH284" s="2583"/>
      <c r="EI284" s="2583"/>
      <c r="EJ284" s="2583"/>
      <c r="EK284" s="2583"/>
      <c r="EL284" s="2583"/>
      <c r="EM284" s="2583"/>
      <c r="EN284" s="2583"/>
      <c r="EO284" s="2583"/>
      <c r="EP284" s="2583"/>
      <c r="EQ284" s="2583"/>
      <c r="ER284" s="2583"/>
      <c r="ES284" s="2583"/>
      <c r="ET284" s="2583"/>
      <c r="EU284" s="2583"/>
      <c r="EV284" s="2583"/>
      <c r="EW284" s="2583"/>
      <c r="EX284" s="2583"/>
      <c r="EY284" s="2583"/>
      <c r="EZ284" s="2583"/>
      <c r="FA284" s="2583"/>
      <c r="FB284" s="2583"/>
      <c r="FC284" s="2583"/>
      <c r="FD284" s="2583"/>
      <c r="FE284" s="2583"/>
      <c r="FF284" s="2583"/>
      <c r="FG284" s="2583"/>
      <c r="FH284" s="2583"/>
      <c r="FI284" s="2583"/>
      <c r="FJ284" s="2583"/>
      <c r="FK284" s="2583"/>
      <c r="FL284" s="2583"/>
      <c r="FM284" s="2583"/>
      <c r="FN284" s="2583"/>
      <c r="FO284" s="2583"/>
      <c r="FP284" s="2583"/>
      <c r="FQ284" s="2583"/>
      <c r="FR284" s="2583"/>
      <c r="FS284" s="2583"/>
      <c r="FT284" s="2583"/>
      <c r="FU284" s="2583"/>
      <c r="FV284" s="2583"/>
      <c r="FW284" s="2583"/>
      <c r="FX284" s="2583"/>
      <c r="FY284" s="2583"/>
      <c r="FZ284" s="2583"/>
      <c r="GA284" s="2583"/>
      <c r="GB284" s="2583"/>
      <c r="GC284" s="2583"/>
      <c r="GD284" s="2583"/>
      <c r="GE284" s="2583"/>
      <c r="GF284" s="2583"/>
      <c r="GG284" s="2583"/>
      <c r="GH284" s="2583"/>
      <c r="GI284" s="2583"/>
      <c r="GJ284" s="2583"/>
      <c r="GK284" s="2583"/>
      <c r="GL284" s="2583"/>
      <c r="GM284" s="2583"/>
      <c r="GN284" s="2583"/>
      <c r="GO284" s="2583"/>
      <c r="GP284" s="2583"/>
      <c r="GQ284" s="2583"/>
      <c r="GR284" s="2583"/>
      <c r="GS284" s="2583"/>
      <c r="GT284" s="2583"/>
      <c r="GU284" s="2583"/>
      <c r="GV284" s="2583"/>
      <c r="GW284" s="2583"/>
      <c r="GX284" s="2583"/>
      <c r="GY284" s="2583"/>
      <c r="GZ284" s="2583"/>
      <c r="HA284" s="2583"/>
      <c r="HB284" s="2583"/>
      <c r="HC284" s="2583"/>
      <c r="HD284" s="2583"/>
      <c r="HE284" s="2583"/>
      <c r="HF284" s="2583"/>
      <c r="HG284" s="2583"/>
      <c r="HH284" s="2583"/>
      <c r="HI284" s="2583"/>
      <c r="HJ284" s="2583"/>
      <c r="HK284" s="2583"/>
      <c r="HL284" s="2583"/>
      <c r="HM284" s="2583"/>
      <c r="HN284" s="2583"/>
      <c r="HO284" s="2583"/>
      <c r="HP284" s="2583"/>
      <c r="HQ284" s="2583"/>
      <c r="HR284" s="2583"/>
      <c r="HS284" s="2583"/>
      <c r="HT284" s="2583"/>
      <c r="HU284" s="2583"/>
      <c r="HV284" s="2583"/>
      <c r="HW284" s="2583"/>
      <c r="HX284" s="2583"/>
      <c r="HY284" s="2583"/>
      <c r="HZ284" s="2583"/>
      <c r="IA284" s="2583"/>
      <c r="IB284" s="2583"/>
      <c r="IC284" s="2583"/>
      <c r="ID284" s="2583"/>
      <c r="IE284" s="2583"/>
      <c r="IF284" s="2583"/>
      <c r="IG284" s="2583"/>
      <c r="IH284" s="2583"/>
      <c r="II284" s="2583"/>
      <c r="IJ284" s="2583"/>
      <c r="IK284" s="2583"/>
      <c r="IL284" s="2583"/>
      <c r="IM284" s="2583"/>
      <c r="IN284" s="2583"/>
      <c r="IO284" s="2583"/>
      <c r="IP284" s="2583"/>
      <c r="IQ284" s="2583"/>
      <c r="IR284" s="2583"/>
      <c r="IS284" s="2583"/>
      <c r="IT284" s="2583"/>
      <c r="IU284" s="2583"/>
      <c r="IV284" s="2583"/>
    </row>
    <row r="285" spans="3:256">
      <c r="C285" s="2584"/>
      <c r="D285" s="2584"/>
      <c r="E285" s="2584"/>
      <c r="F285" s="2584"/>
      <c r="G285" s="2584"/>
      <c r="H285" s="2584"/>
      <c r="AC285" s="2583"/>
      <c r="AD285" s="2583"/>
      <c r="AE285" s="2583"/>
      <c r="AF285" s="2583"/>
      <c r="AG285" s="2583"/>
      <c r="AH285" s="2583"/>
      <c r="AI285" s="2583"/>
      <c r="AJ285" s="2583"/>
      <c r="AK285" s="2583"/>
      <c r="AL285" s="2583"/>
      <c r="AM285" s="2583"/>
      <c r="AN285" s="2583"/>
      <c r="AO285" s="2583"/>
      <c r="AP285" s="2583"/>
      <c r="AQ285" s="2583"/>
      <c r="AR285" s="2583"/>
      <c r="AS285" s="2583"/>
      <c r="AT285" s="2583"/>
      <c r="AU285" s="2583"/>
      <c r="AV285" s="2583"/>
      <c r="AW285" s="2583"/>
      <c r="AX285" s="2583"/>
      <c r="AY285" s="2583"/>
      <c r="AZ285" s="2583"/>
      <c r="BA285" s="2583"/>
      <c r="BB285" s="2583"/>
      <c r="BC285" s="2583"/>
      <c r="BD285" s="2583"/>
      <c r="BE285" s="2583"/>
      <c r="BF285" s="2583"/>
      <c r="BG285" s="2583"/>
      <c r="BH285" s="2583"/>
      <c r="BI285" s="2583"/>
      <c r="BJ285" s="2583"/>
      <c r="BK285" s="2583"/>
      <c r="BL285" s="2583"/>
      <c r="BM285" s="2583"/>
      <c r="BN285" s="2583"/>
      <c r="BO285" s="2583"/>
      <c r="BP285" s="2583"/>
      <c r="BQ285" s="2583"/>
      <c r="BR285" s="2583"/>
      <c r="BS285" s="2583"/>
      <c r="BT285" s="2583"/>
      <c r="BU285" s="2583"/>
      <c r="BV285" s="2583"/>
      <c r="BW285" s="2583"/>
      <c r="BX285" s="2583"/>
      <c r="BY285" s="2583"/>
      <c r="BZ285" s="2583"/>
      <c r="CA285" s="2583"/>
      <c r="CB285" s="2583"/>
      <c r="CC285" s="2583"/>
      <c r="CD285" s="2583"/>
      <c r="CE285" s="2583"/>
      <c r="CF285" s="2583"/>
      <c r="CG285" s="2583"/>
      <c r="CH285" s="2583"/>
      <c r="CI285" s="2583"/>
      <c r="CJ285" s="2583"/>
      <c r="CK285" s="2583"/>
      <c r="CL285" s="2583"/>
      <c r="CM285" s="2583"/>
      <c r="CN285" s="2583"/>
      <c r="CO285" s="2583"/>
      <c r="CP285" s="2583"/>
      <c r="CQ285" s="2583"/>
      <c r="CR285" s="2583"/>
      <c r="CS285" s="2583"/>
      <c r="CT285" s="2583"/>
      <c r="CU285" s="2583"/>
      <c r="CV285" s="2583"/>
      <c r="CW285" s="2583"/>
      <c r="CX285" s="2583"/>
      <c r="CY285" s="2583"/>
      <c r="CZ285" s="2583"/>
      <c r="DA285" s="2583"/>
      <c r="DB285" s="2583"/>
      <c r="DC285" s="2583"/>
      <c r="DD285" s="2583"/>
      <c r="DE285" s="2583"/>
      <c r="DF285" s="2583"/>
      <c r="DG285" s="2583"/>
      <c r="DH285" s="2583"/>
      <c r="DI285" s="2583"/>
      <c r="DJ285" s="2583"/>
      <c r="DK285" s="2583"/>
      <c r="DL285" s="2583"/>
      <c r="DM285" s="2583"/>
      <c r="DN285" s="2583"/>
      <c r="DO285" s="2583"/>
      <c r="DP285" s="2583"/>
      <c r="DQ285" s="2583"/>
      <c r="DR285" s="2583"/>
      <c r="DS285" s="2583"/>
      <c r="DT285" s="2583"/>
      <c r="DU285" s="2583"/>
      <c r="DV285" s="2583"/>
      <c r="DW285" s="2583"/>
      <c r="DX285" s="2583"/>
      <c r="DY285" s="2583"/>
      <c r="DZ285" s="2583"/>
      <c r="EA285" s="2583"/>
      <c r="EB285" s="2583"/>
      <c r="EC285" s="2583"/>
      <c r="ED285" s="2583"/>
      <c r="EE285" s="2583"/>
      <c r="EF285" s="2583"/>
      <c r="EG285" s="2583"/>
      <c r="EH285" s="2583"/>
      <c r="EI285" s="2583"/>
      <c r="EJ285" s="2583"/>
      <c r="EK285" s="2583"/>
      <c r="EL285" s="2583"/>
      <c r="EM285" s="2583"/>
      <c r="EN285" s="2583"/>
      <c r="EO285" s="2583"/>
      <c r="EP285" s="2583"/>
      <c r="EQ285" s="2583"/>
      <c r="ER285" s="2583"/>
      <c r="ES285" s="2583"/>
      <c r="ET285" s="2583"/>
      <c r="EU285" s="2583"/>
      <c r="EV285" s="2583"/>
      <c r="EW285" s="2583"/>
      <c r="EX285" s="2583"/>
      <c r="EY285" s="2583"/>
      <c r="EZ285" s="2583"/>
      <c r="FA285" s="2583"/>
      <c r="FB285" s="2583"/>
      <c r="FC285" s="2583"/>
      <c r="FD285" s="2583"/>
      <c r="FE285" s="2583"/>
      <c r="FF285" s="2583"/>
      <c r="FG285" s="2583"/>
      <c r="FH285" s="2583"/>
      <c r="FI285" s="2583"/>
      <c r="FJ285" s="2583"/>
      <c r="FK285" s="2583"/>
      <c r="FL285" s="2583"/>
      <c r="FM285" s="2583"/>
      <c r="FN285" s="2583"/>
      <c r="FO285" s="2583"/>
      <c r="FP285" s="2583"/>
      <c r="FQ285" s="2583"/>
      <c r="FR285" s="2583"/>
      <c r="FS285" s="2583"/>
      <c r="FT285" s="2583"/>
      <c r="FU285" s="2583"/>
      <c r="FV285" s="2583"/>
      <c r="FW285" s="2583"/>
      <c r="FX285" s="2583"/>
      <c r="FY285" s="2583"/>
      <c r="FZ285" s="2583"/>
      <c r="GA285" s="2583"/>
      <c r="GB285" s="2583"/>
      <c r="GC285" s="2583"/>
      <c r="GD285" s="2583"/>
      <c r="GE285" s="2583"/>
      <c r="GF285" s="2583"/>
      <c r="GG285" s="2583"/>
      <c r="GH285" s="2583"/>
      <c r="GI285" s="2583"/>
      <c r="GJ285" s="2583"/>
      <c r="GK285" s="2583"/>
      <c r="GL285" s="2583"/>
      <c r="GM285" s="2583"/>
      <c r="GN285" s="2583"/>
      <c r="GO285" s="2583"/>
      <c r="GP285" s="2583"/>
      <c r="GQ285" s="2583"/>
      <c r="GR285" s="2583"/>
      <c r="GS285" s="2583"/>
      <c r="GT285" s="2583"/>
      <c r="GU285" s="2583"/>
      <c r="GV285" s="2583"/>
      <c r="GW285" s="2583"/>
      <c r="GX285" s="2583"/>
      <c r="GY285" s="2583"/>
      <c r="GZ285" s="2583"/>
      <c r="HA285" s="2583"/>
      <c r="HB285" s="2583"/>
      <c r="HC285" s="2583"/>
      <c r="HD285" s="2583"/>
      <c r="HE285" s="2583"/>
      <c r="HF285" s="2583"/>
      <c r="HG285" s="2583"/>
      <c r="HH285" s="2583"/>
      <c r="HI285" s="2583"/>
      <c r="HJ285" s="2583"/>
      <c r="HK285" s="2583"/>
      <c r="HL285" s="2583"/>
      <c r="HM285" s="2583"/>
      <c r="HN285" s="2583"/>
      <c r="HO285" s="2583"/>
      <c r="HP285" s="2583"/>
      <c r="HQ285" s="2583"/>
      <c r="HR285" s="2583"/>
      <c r="HS285" s="2583"/>
      <c r="HT285" s="2583"/>
      <c r="HU285" s="2583"/>
      <c r="HV285" s="2583"/>
      <c r="HW285" s="2583"/>
      <c r="HX285" s="2583"/>
      <c r="HY285" s="2583"/>
      <c r="HZ285" s="2583"/>
      <c r="IA285" s="2583"/>
      <c r="IB285" s="2583"/>
      <c r="IC285" s="2583"/>
      <c r="ID285" s="2583"/>
      <c r="IE285" s="2583"/>
      <c r="IF285" s="2583"/>
      <c r="IG285" s="2583"/>
      <c r="IH285" s="2583"/>
      <c r="II285" s="2583"/>
      <c r="IJ285" s="2583"/>
      <c r="IK285" s="2583"/>
      <c r="IL285" s="2583"/>
      <c r="IM285" s="2583"/>
      <c r="IN285" s="2583"/>
      <c r="IO285" s="2583"/>
      <c r="IP285" s="2583"/>
      <c r="IQ285" s="2583"/>
      <c r="IR285" s="2583"/>
      <c r="IS285" s="2583"/>
      <c r="IT285" s="2583"/>
      <c r="IU285" s="2583"/>
      <c r="IV285" s="2583"/>
    </row>
    <row r="286" spans="3:256">
      <c r="C286" s="2584"/>
      <c r="D286" s="2584"/>
      <c r="E286" s="2584"/>
      <c r="F286" s="2584"/>
      <c r="G286" s="2584"/>
      <c r="H286" s="2584"/>
      <c r="AC286" s="2583"/>
      <c r="AD286" s="2583"/>
      <c r="AE286" s="2583"/>
      <c r="AF286" s="2583"/>
      <c r="AG286" s="2583"/>
      <c r="AH286" s="2583"/>
      <c r="AI286" s="2583"/>
      <c r="AJ286" s="2583"/>
      <c r="AK286" s="2583"/>
      <c r="AL286" s="2583"/>
      <c r="AM286" s="2583"/>
      <c r="AN286" s="2583"/>
      <c r="AO286" s="2583"/>
      <c r="AP286" s="2583"/>
      <c r="AQ286" s="2583"/>
      <c r="AR286" s="2583"/>
      <c r="AS286" s="2583"/>
      <c r="AT286" s="2583"/>
      <c r="AU286" s="2583"/>
      <c r="AV286" s="2583"/>
      <c r="AW286" s="2583"/>
      <c r="AX286" s="2583"/>
      <c r="AY286" s="2583"/>
      <c r="AZ286" s="2583"/>
      <c r="BA286" s="2583"/>
      <c r="BB286" s="2583"/>
      <c r="BC286" s="2583"/>
      <c r="BD286" s="2583"/>
      <c r="BE286" s="2583"/>
      <c r="BF286" s="2583"/>
      <c r="BG286" s="2583"/>
      <c r="BH286" s="2583"/>
      <c r="BI286" s="2583"/>
      <c r="BJ286" s="2583"/>
      <c r="BK286" s="2583"/>
      <c r="BL286" s="2583"/>
      <c r="BM286" s="2583"/>
      <c r="BN286" s="2583"/>
      <c r="BO286" s="2583"/>
      <c r="BP286" s="2583"/>
      <c r="BQ286" s="2583"/>
      <c r="BR286" s="2583"/>
      <c r="BS286" s="2583"/>
      <c r="BT286" s="2583"/>
      <c r="BU286" s="2583"/>
      <c r="BV286" s="2583"/>
      <c r="BW286" s="2583"/>
      <c r="BX286" s="2583"/>
      <c r="BY286" s="2583"/>
      <c r="BZ286" s="2583"/>
      <c r="CA286" s="2583"/>
      <c r="CB286" s="2583"/>
      <c r="CC286" s="2583"/>
      <c r="CD286" s="2583"/>
      <c r="CE286" s="2583"/>
      <c r="CF286" s="2583"/>
      <c r="CG286" s="2583"/>
      <c r="CH286" s="2583"/>
      <c r="CI286" s="2583"/>
      <c r="CJ286" s="2583"/>
      <c r="CK286" s="2583"/>
      <c r="CL286" s="2583"/>
      <c r="CM286" s="2583"/>
      <c r="CN286" s="2583"/>
      <c r="CO286" s="2583"/>
      <c r="CP286" s="2583"/>
      <c r="CQ286" s="2583"/>
      <c r="CR286" s="2583"/>
      <c r="CS286" s="2583"/>
      <c r="CT286" s="2583"/>
      <c r="CU286" s="2583"/>
      <c r="CV286" s="2583"/>
      <c r="CW286" s="2583"/>
      <c r="CX286" s="2583"/>
      <c r="CY286" s="2583"/>
      <c r="CZ286" s="2583"/>
      <c r="DA286" s="2583"/>
      <c r="DB286" s="2583"/>
      <c r="DC286" s="2583"/>
      <c r="DD286" s="2583"/>
      <c r="DE286" s="2583"/>
      <c r="DF286" s="2583"/>
      <c r="DG286" s="2583"/>
      <c r="DH286" s="2583"/>
      <c r="DI286" s="2583"/>
      <c r="DJ286" s="2583"/>
      <c r="DK286" s="2583"/>
      <c r="DL286" s="2583"/>
      <c r="DM286" s="2583"/>
      <c r="DN286" s="2583"/>
      <c r="DO286" s="2583"/>
      <c r="DP286" s="2583"/>
      <c r="DQ286" s="2583"/>
      <c r="DR286" s="2583"/>
      <c r="DS286" s="2583"/>
      <c r="DT286" s="2583"/>
      <c r="DU286" s="2583"/>
      <c r="DV286" s="2583"/>
      <c r="DW286" s="2583"/>
      <c r="DX286" s="2583"/>
      <c r="DY286" s="2583"/>
      <c r="DZ286" s="2583"/>
      <c r="EA286" s="2583"/>
      <c r="EB286" s="2583"/>
      <c r="EC286" s="2583"/>
      <c r="ED286" s="2583"/>
      <c r="EE286" s="2583"/>
      <c r="EF286" s="2583"/>
      <c r="EG286" s="2583"/>
      <c r="EH286" s="2583"/>
      <c r="EI286" s="2583"/>
      <c r="EJ286" s="2583"/>
      <c r="EK286" s="2583"/>
      <c r="EL286" s="2583"/>
      <c r="EM286" s="2583"/>
      <c r="EN286" s="2583"/>
      <c r="EO286" s="2583"/>
      <c r="EP286" s="2583"/>
      <c r="EQ286" s="2583"/>
      <c r="ER286" s="2583"/>
      <c r="ES286" s="2583"/>
      <c r="ET286" s="2583"/>
      <c r="EU286" s="2583"/>
      <c r="EV286" s="2583"/>
      <c r="EW286" s="2583"/>
      <c r="EX286" s="2583"/>
      <c r="EY286" s="2583"/>
      <c r="EZ286" s="2583"/>
      <c r="FA286" s="2583"/>
      <c r="FB286" s="2583"/>
      <c r="FC286" s="2583"/>
      <c r="FD286" s="2583"/>
      <c r="FE286" s="2583"/>
      <c r="FF286" s="2583"/>
      <c r="FG286" s="2583"/>
      <c r="FH286" s="2583"/>
      <c r="FI286" s="2583"/>
      <c r="FJ286" s="2583"/>
      <c r="FK286" s="2583"/>
      <c r="FL286" s="2583"/>
      <c r="FM286" s="2583"/>
      <c r="FN286" s="2583"/>
      <c r="FO286" s="2583"/>
      <c r="FP286" s="2583"/>
      <c r="FQ286" s="2583"/>
      <c r="FR286" s="2583"/>
      <c r="FS286" s="2583"/>
      <c r="FT286" s="2583"/>
      <c r="FU286" s="2583"/>
      <c r="FV286" s="2583"/>
      <c r="FW286" s="2583"/>
      <c r="FX286" s="2583"/>
      <c r="FY286" s="2583"/>
      <c r="FZ286" s="2583"/>
      <c r="GA286" s="2583"/>
      <c r="GB286" s="2583"/>
      <c r="GC286" s="2583"/>
      <c r="GD286" s="2583"/>
      <c r="GE286" s="2583"/>
      <c r="GF286" s="2583"/>
      <c r="GG286" s="2583"/>
      <c r="GH286" s="2583"/>
      <c r="GI286" s="2583"/>
      <c r="GJ286" s="2583"/>
      <c r="GK286" s="2583"/>
      <c r="GL286" s="2583"/>
      <c r="GM286" s="2583"/>
      <c r="GN286" s="2583"/>
      <c r="GO286" s="2583"/>
      <c r="GP286" s="2583"/>
      <c r="GQ286" s="2583"/>
      <c r="GR286" s="2583"/>
      <c r="GS286" s="2583"/>
      <c r="GT286" s="2583"/>
      <c r="GU286" s="2583"/>
      <c r="GV286" s="2583"/>
      <c r="GW286" s="2583"/>
      <c r="GX286" s="2583"/>
      <c r="GY286" s="2583"/>
      <c r="GZ286" s="2583"/>
      <c r="HA286" s="2583"/>
      <c r="HB286" s="2583"/>
      <c r="HC286" s="2583"/>
      <c r="HD286" s="2583"/>
      <c r="HE286" s="2583"/>
      <c r="HF286" s="2583"/>
      <c r="HG286" s="2583"/>
      <c r="HH286" s="2583"/>
      <c r="HI286" s="2583"/>
      <c r="HJ286" s="2583"/>
      <c r="HK286" s="2583"/>
      <c r="HL286" s="2583"/>
      <c r="HM286" s="2583"/>
      <c r="HN286" s="2583"/>
      <c r="HO286" s="2583"/>
      <c r="HP286" s="2583"/>
      <c r="HQ286" s="2583"/>
      <c r="HR286" s="2583"/>
      <c r="HS286" s="2583"/>
      <c r="HT286" s="2583"/>
      <c r="HU286" s="2583"/>
      <c r="HV286" s="2583"/>
      <c r="HW286" s="2583"/>
      <c r="HX286" s="2583"/>
      <c r="HY286" s="2583"/>
      <c r="HZ286" s="2583"/>
      <c r="IA286" s="2583"/>
      <c r="IB286" s="2583"/>
      <c r="IC286" s="2583"/>
      <c r="ID286" s="2583"/>
      <c r="IE286" s="2583"/>
      <c r="IF286" s="2583"/>
      <c r="IG286" s="2583"/>
      <c r="IH286" s="2583"/>
      <c r="II286" s="2583"/>
      <c r="IJ286" s="2583"/>
      <c r="IK286" s="2583"/>
      <c r="IL286" s="2583"/>
      <c r="IM286" s="2583"/>
      <c r="IN286" s="2583"/>
      <c r="IO286" s="2583"/>
      <c r="IP286" s="2583"/>
      <c r="IQ286" s="2583"/>
      <c r="IR286" s="2583"/>
      <c r="IS286" s="2583"/>
      <c r="IT286" s="2583"/>
      <c r="IU286" s="2583"/>
      <c r="IV286" s="2583"/>
    </row>
    <row r="287" spans="3:256">
      <c r="C287" s="2584"/>
      <c r="D287" s="2584"/>
      <c r="E287" s="2584"/>
      <c r="F287" s="2584"/>
      <c r="G287" s="2584"/>
      <c r="H287" s="2584"/>
      <c r="AC287" s="2583"/>
      <c r="AD287" s="2583"/>
      <c r="AE287" s="2583"/>
      <c r="AF287" s="2583"/>
      <c r="AG287" s="2583"/>
      <c r="AH287" s="2583"/>
      <c r="AI287" s="2583"/>
      <c r="AJ287" s="2583"/>
      <c r="AK287" s="2583"/>
      <c r="AL287" s="2583"/>
      <c r="AM287" s="2583"/>
      <c r="AN287" s="2583"/>
      <c r="AO287" s="2583"/>
      <c r="AP287" s="2583"/>
      <c r="AQ287" s="2583"/>
      <c r="AR287" s="2583"/>
      <c r="AS287" s="2583"/>
      <c r="AT287" s="2583"/>
      <c r="AU287" s="2583"/>
      <c r="AV287" s="2583"/>
      <c r="AW287" s="2583"/>
      <c r="AX287" s="2583"/>
      <c r="AY287" s="2583"/>
      <c r="AZ287" s="2583"/>
      <c r="BA287" s="2583"/>
      <c r="BB287" s="2583"/>
      <c r="BC287" s="2583"/>
      <c r="BD287" s="2583"/>
      <c r="BE287" s="2583"/>
      <c r="BF287" s="2583"/>
      <c r="BG287" s="2583"/>
      <c r="BH287" s="2583"/>
      <c r="BI287" s="2583"/>
      <c r="BJ287" s="2583"/>
      <c r="BK287" s="2583"/>
      <c r="BL287" s="2583"/>
      <c r="BM287" s="2583"/>
      <c r="BN287" s="2583"/>
      <c r="BO287" s="2583"/>
      <c r="BP287" s="2583"/>
      <c r="BQ287" s="2583"/>
      <c r="BR287" s="2583"/>
      <c r="BS287" s="2583"/>
      <c r="BT287" s="2583"/>
      <c r="BU287" s="2583"/>
      <c r="BV287" s="2583"/>
      <c r="BW287" s="2583"/>
      <c r="BX287" s="2583"/>
      <c r="BY287" s="2583"/>
      <c r="BZ287" s="2583"/>
      <c r="CA287" s="2583"/>
      <c r="CB287" s="2583"/>
      <c r="CC287" s="2583"/>
      <c r="CD287" s="2583"/>
      <c r="CE287" s="2583"/>
      <c r="CF287" s="2583"/>
      <c r="CG287" s="2583"/>
      <c r="CH287" s="2583"/>
      <c r="CI287" s="2583"/>
      <c r="CJ287" s="2583"/>
      <c r="CK287" s="2583"/>
      <c r="CL287" s="2583"/>
      <c r="CM287" s="2583"/>
      <c r="CN287" s="2583"/>
      <c r="CO287" s="2583"/>
      <c r="CP287" s="2583"/>
      <c r="CQ287" s="2583"/>
      <c r="CR287" s="2583"/>
      <c r="CS287" s="2583"/>
      <c r="CT287" s="2583"/>
      <c r="CU287" s="2583"/>
      <c r="CV287" s="2583"/>
      <c r="CW287" s="2583"/>
      <c r="CX287" s="2583"/>
      <c r="CY287" s="2583"/>
      <c r="CZ287" s="2583"/>
      <c r="DA287" s="2583"/>
      <c r="DB287" s="2583"/>
      <c r="DC287" s="2583"/>
      <c r="DD287" s="2583"/>
      <c r="DE287" s="2583"/>
      <c r="DF287" s="2583"/>
      <c r="DG287" s="2583"/>
      <c r="DH287" s="2583"/>
      <c r="DI287" s="2583"/>
      <c r="DJ287" s="2583"/>
      <c r="DK287" s="2583"/>
      <c r="DL287" s="2583"/>
      <c r="DM287" s="2583"/>
      <c r="DN287" s="2583"/>
      <c r="DO287" s="2583"/>
      <c r="DP287" s="2583"/>
      <c r="DQ287" s="2583"/>
      <c r="DR287" s="2583"/>
      <c r="DS287" s="2583"/>
      <c r="DT287" s="2583"/>
      <c r="DU287" s="2583"/>
      <c r="DV287" s="2583"/>
      <c r="DW287" s="2583"/>
      <c r="DX287" s="2583"/>
      <c r="DY287" s="2583"/>
      <c r="DZ287" s="2583"/>
      <c r="EA287" s="2583"/>
      <c r="EB287" s="2583"/>
      <c r="EC287" s="2583"/>
      <c r="ED287" s="2583"/>
      <c r="EE287" s="2583"/>
      <c r="EF287" s="2583"/>
      <c r="EG287" s="2583"/>
      <c r="EH287" s="2583"/>
      <c r="EI287" s="2583"/>
      <c r="EJ287" s="2583"/>
      <c r="EK287" s="2583"/>
      <c r="EL287" s="2583"/>
      <c r="EM287" s="2583"/>
      <c r="EN287" s="2583"/>
      <c r="EO287" s="2583"/>
      <c r="EP287" s="2583"/>
      <c r="EQ287" s="2583"/>
      <c r="ER287" s="2583"/>
      <c r="ES287" s="2583"/>
      <c r="ET287" s="2583"/>
      <c r="EU287" s="2583"/>
      <c r="EV287" s="2583"/>
      <c r="EW287" s="2583"/>
      <c r="EX287" s="2583"/>
      <c r="EY287" s="2583"/>
      <c r="EZ287" s="2583"/>
      <c r="FA287" s="2583"/>
      <c r="FB287" s="2583"/>
      <c r="FC287" s="2583"/>
      <c r="FD287" s="2583"/>
      <c r="FE287" s="2583"/>
      <c r="FF287" s="2583"/>
      <c r="FG287" s="2583"/>
      <c r="FH287" s="2583"/>
      <c r="FI287" s="2583"/>
      <c r="FJ287" s="2583"/>
      <c r="FK287" s="2583"/>
      <c r="FL287" s="2583"/>
      <c r="FM287" s="2583"/>
      <c r="FN287" s="2583"/>
      <c r="FO287" s="2583"/>
      <c r="FP287" s="2583"/>
      <c r="FQ287" s="2583"/>
      <c r="FR287" s="2583"/>
      <c r="FS287" s="2583"/>
      <c r="FT287" s="2583"/>
      <c r="FU287" s="2583"/>
      <c r="FV287" s="2583"/>
      <c r="FW287" s="2583"/>
      <c r="FX287" s="2583"/>
      <c r="FY287" s="2583"/>
      <c r="FZ287" s="2583"/>
      <c r="GA287" s="2583"/>
      <c r="GB287" s="2583"/>
      <c r="GC287" s="2583"/>
      <c r="GD287" s="2583"/>
      <c r="GE287" s="2583"/>
      <c r="GF287" s="2583"/>
      <c r="GG287" s="2583"/>
      <c r="GH287" s="2583"/>
      <c r="GI287" s="2583"/>
      <c r="GJ287" s="2583"/>
      <c r="GK287" s="2583"/>
      <c r="GL287" s="2583"/>
      <c r="GM287" s="2583"/>
      <c r="GN287" s="2583"/>
      <c r="GO287" s="2583"/>
      <c r="GP287" s="2583"/>
      <c r="GQ287" s="2583"/>
      <c r="GR287" s="2583"/>
      <c r="GS287" s="2583"/>
      <c r="GT287" s="2583"/>
      <c r="GU287" s="2583"/>
      <c r="GV287" s="2583"/>
      <c r="GW287" s="2583"/>
      <c r="GX287" s="2583"/>
      <c r="GY287" s="2583"/>
      <c r="GZ287" s="2583"/>
      <c r="HA287" s="2583"/>
      <c r="HB287" s="2583"/>
      <c r="HC287" s="2583"/>
      <c r="HD287" s="2583"/>
      <c r="HE287" s="2583"/>
      <c r="HF287" s="2583"/>
      <c r="HG287" s="2583"/>
      <c r="HH287" s="2583"/>
      <c r="HI287" s="2583"/>
      <c r="HJ287" s="2583"/>
      <c r="HK287" s="2583"/>
      <c r="HL287" s="2583"/>
      <c r="HM287" s="2583"/>
      <c r="HN287" s="2583"/>
      <c r="HO287" s="2583"/>
      <c r="HP287" s="2583"/>
      <c r="HQ287" s="2583"/>
      <c r="HR287" s="2583"/>
      <c r="HS287" s="2583"/>
      <c r="HT287" s="2583"/>
      <c r="HU287" s="2583"/>
      <c r="HV287" s="2583"/>
      <c r="HW287" s="2583"/>
      <c r="HX287" s="2583"/>
      <c r="HY287" s="2583"/>
      <c r="HZ287" s="2583"/>
      <c r="IA287" s="2583"/>
      <c r="IB287" s="2583"/>
      <c r="IC287" s="2583"/>
      <c r="ID287" s="2583"/>
      <c r="IE287" s="2583"/>
      <c r="IF287" s="2583"/>
      <c r="IG287" s="2583"/>
      <c r="IH287" s="2583"/>
      <c r="II287" s="2583"/>
      <c r="IJ287" s="2583"/>
      <c r="IK287" s="2583"/>
      <c r="IL287" s="2583"/>
      <c r="IM287" s="2583"/>
      <c r="IN287" s="2583"/>
      <c r="IO287" s="2583"/>
      <c r="IP287" s="2583"/>
      <c r="IQ287" s="2583"/>
      <c r="IR287" s="2583"/>
      <c r="IS287" s="2583"/>
      <c r="IT287" s="2583"/>
      <c r="IU287" s="2583"/>
      <c r="IV287" s="2583"/>
    </row>
    <row r="288" spans="3:256">
      <c r="C288" s="2584"/>
      <c r="D288" s="2584"/>
      <c r="E288" s="2584"/>
      <c r="F288" s="2584"/>
      <c r="G288" s="2584"/>
      <c r="H288" s="2584"/>
      <c r="AC288" s="2583"/>
      <c r="AD288" s="2583"/>
      <c r="AE288" s="2583"/>
      <c r="AF288" s="2583"/>
      <c r="AG288" s="2583"/>
      <c r="AH288" s="2583"/>
      <c r="AI288" s="2583"/>
      <c r="AJ288" s="2583"/>
      <c r="AK288" s="2583"/>
      <c r="AL288" s="2583"/>
      <c r="AM288" s="2583"/>
      <c r="AN288" s="2583"/>
      <c r="AO288" s="2583"/>
      <c r="AP288" s="2583"/>
      <c r="AQ288" s="2583"/>
      <c r="AR288" s="2583"/>
      <c r="AS288" s="2583"/>
      <c r="AT288" s="2583"/>
      <c r="AU288" s="2583"/>
      <c r="AV288" s="2583"/>
      <c r="AW288" s="2583"/>
      <c r="AX288" s="2583"/>
      <c r="AY288" s="2583"/>
      <c r="AZ288" s="2583"/>
      <c r="BA288" s="2583"/>
      <c r="BB288" s="2583"/>
      <c r="BC288" s="2583"/>
      <c r="BD288" s="2583"/>
      <c r="BE288" s="2583"/>
      <c r="BF288" s="2583"/>
      <c r="BG288" s="2583"/>
      <c r="BH288" s="2583"/>
      <c r="BI288" s="2583"/>
      <c r="BJ288" s="2583"/>
      <c r="BK288" s="2583"/>
      <c r="BL288" s="2583"/>
      <c r="BM288" s="2583"/>
      <c r="BN288" s="2583"/>
      <c r="BO288" s="2583"/>
      <c r="BP288" s="2583"/>
      <c r="BQ288" s="2583"/>
      <c r="BR288" s="2583"/>
      <c r="BS288" s="2583"/>
      <c r="BT288" s="2583"/>
      <c r="BU288" s="2583"/>
      <c r="BV288" s="2583"/>
      <c r="BW288" s="2583"/>
      <c r="BX288" s="2583"/>
      <c r="BY288" s="2583"/>
      <c r="BZ288" s="2583"/>
      <c r="CA288" s="2583"/>
      <c r="CB288" s="2583"/>
      <c r="CC288" s="2583"/>
      <c r="CD288" s="2583"/>
      <c r="CE288" s="2583"/>
      <c r="CF288" s="2583"/>
      <c r="CG288" s="2583"/>
      <c r="CH288" s="2583"/>
      <c r="CI288" s="2583"/>
      <c r="CJ288" s="2583"/>
      <c r="CK288" s="2583"/>
      <c r="CL288" s="2583"/>
      <c r="CM288" s="2583"/>
      <c r="CN288" s="2583"/>
      <c r="CO288" s="2583"/>
      <c r="CP288" s="2583"/>
      <c r="CQ288" s="2583"/>
      <c r="CR288" s="2583"/>
      <c r="CS288" s="2583"/>
      <c r="CT288" s="2583"/>
      <c r="CU288" s="2583"/>
      <c r="CV288" s="2583"/>
      <c r="CW288" s="2583"/>
      <c r="CX288" s="2583"/>
      <c r="CY288" s="2583"/>
      <c r="CZ288" s="2583"/>
      <c r="DA288" s="2583"/>
      <c r="DB288" s="2583"/>
      <c r="DC288" s="2583"/>
      <c r="DD288" s="2583"/>
      <c r="DE288" s="2583"/>
      <c r="DF288" s="2583"/>
      <c r="DG288" s="2583"/>
      <c r="DH288" s="2583"/>
      <c r="DI288" s="2583"/>
      <c r="DJ288" s="2583"/>
      <c r="DK288" s="2583"/>
      <c r="DL288" s="2583"/>
      <c r="DM288" s="2583"/>
      <c r="DN288" s="2583"/>
      <c r="DO288" s="2583"/>
      <c r="DP288" s="2583"/>
      <c r="DQ288" s="2583"/>
      <c r="DR288" s="2583"/>
      <c r="DS288" s="2583"/>
      <c r="DT288" s="2583"/>
      <c r="DU288" s="2583"/>
      <c r="DV288" s="2583"/>
      <c r="DW288" s="2583"/>
      <c r="DX288" s="2583"/>
      <c r="DY288" s="2583"/>
      <c r="DZ288" s="2583"/>
      <c r="EA288" s="2583"/>
      <c r="EB288" s="2583"/>
      <c r="EC288" s="2583"/>
      <c r="ED288" s="2583"/>
      <c r="EE288" s="2583"/>
      <c r="EF288" s="2583"/>
      <c r="EG288" s="2583"/>
      <c r="EH288" s="2583"/>
      <c r="EI288" s="2583"/>
      <c r="EJ288" s="2583"/>
      <c r="EK288" s="2583"/>
      <c r="EL288" s="2583"/>
      <c r="EM288" s="2583"/>
      <c r="EN288" s="2583"/>
      <c r="EO288" s="2583"/>
      <c r="EP288" s="2583"/>
      <c r="EQ288" s="2583"/>
      <c r="ER288" s="2583"/>
      <c r="ES288" s="2583"/>
      <c r="ET288" s="2583"/>
      <c r="EU288" s="2583"/>
      <c r="EV288" s="2583"/>
      <c r="EW288" s="2583"/>
      <c r="EX288" s="2583"/>
      <c r="EY288" s="2583"/>
      <c r="EZ288" s="2583"/>
      <c r="FA288" s="2583"/>
      <c r="FB288" s="2583"/>
      <c r="FC288" s="2583"/>
      <c r="FD288" s="2583"/>
      <c r="FE288" s="2583"/>
      <c r="FF288" s="2583"/>
      <c r="FG288" s="2583"/>
      <c r="FH288" s="2583"/>
      <c r="FI288" s="2583"/>
      <c r="FJ288" s="2583"/>
      <c r="FK288" s="2583"/>
      <c r="FL288" s="2583"/>
      <c r="FM288" s="2583"/>
      <c r="FN288" s="2583"/>
      <c r="FO288" s="2583"/>
      <c r="FP288" s="2583"/>
      <c r="FQ288" s="2583"/>
      <c r="FR288" s="2583"/>
      <c r="FS288" s="2583"/>
      <c r="FT288" s="2583"/>
      <c r="FU288" s="2583"/>
      <c r="FV288" s="2583"/>
      <c r="FW288" s="2583"/>
      <c r="FX288" s="2583"/>
      <c r="FY288" s="2583"/>
      <c r="FZ288" s="2583"/>
      <c r="GA288" s="2583"/>
      <c r="GB288" s="2583"/>
      <c r="GC288" s="2583"/>
      <c r="GD288" s="2583"/>
      <c r="GE288" s="2583"/>
      <c r="GF288" s="2583"/>
      <c r="GG288" s="2583"/>
      <c r="GH288" s="2583"/>
      <c r="GI288" s="2583"/>
      <c r="GJ288" s="2583"/>
      <c r="GK288" s="2583"/>
      <c r="GL288" s="2583"/>
      <c r="GM288" s="2583"/>
      <c r="GN288" s="2583"/>
      <c r="GO288" s="2583"/>
      <c r="GP288" s="2583"/>
      <c r="GQ288" s="2583"/>
      <c r="GR288" s="2583"/>
      <c r="GS288" s="2583"/>
      <c r="GT288" s="2583"/>
      <c r="GU288" s="2583"/>
      <c r="GV288" s="2583"/>
      <c r="GW288" s="2583"/>
      <c r="GX288" s="2583"/>
      <c r="GY288" s="2583"/>
      <c r="GZ288" s="2583"/>
      <c r="HA288" s="2583"/>
      <c r="HB288" s="2583"/>
      <c r="HC288" s="2583"/>
      <c r="HD288" s="2583"/>
      <c r="HE288" s="2583"/>
      <c r="HF288" s="2583"/>
      <c r="HG288" s="2583"/>
      <c r="HH288" s="2583"/>
      <c r="HI288" s="2583"/>
      <c r="HJ288" s="2583"/>
      <c r="HK288" s="2583"/>
      <c r="HL288" s="2583"/>
      <c r="HM288" s="2583"/>
      <c r="HN288" s="2583"/>
      <c r="HO288" s="2583"/>
      <c r="HP288" s="2583"/>
      <c r="HQ288" s="2583"/>
      <c r="HR288" s="2583"/>
      <c r="HS288" s="2583"/>
      <c r="HT288" s="2583"/>
      <c r="HU288" s="2583"/>
      <c r="HV288" s="2583"/>
      <c r="HW288" s="2583"/>
      <c r="HX288" s="2583"/>
      <c r="HY288" s="2583"/>
      <c r="HZ288" s="2583"/>
      <c r="IA288" s="2583"/>
      <c r="IB288" s="2583"/>
      <c r="IC288" s="2583"/>
      <c r="ID288" s="2583"/>
      <c r="IE288" s="2583"/>
      <c r="IF288" s="2583"/>
      <c r="IG288" s="2583"/>
      <c r="IH288" s="2583"/>
      <c r="II288" s="2583"/>
      <c r="IJ288" s="2583"/>
      <c r="IK288" s="2583"/>
      <c r="IL288" s="2583"/>
      <c r="IM288" s="2583"/>
      <c r="IN288" s="2583"/>
      <c r="IO288" s="2583"/>
      <c r="IP288" s="2583"/>
      <c r="IQ288" s="2583"/>
      <c r="IR288" s="2583"/>
      <c r="IS288" s="2583"/>
      <c r="IT288" s="2583"/>
      <c r="IU288" s="2583"/>
      <c r="IV288" s="2583"/>
    </row>
    <row r="289" spans="29:256">
      <c r="AC289" s="2583"/>
      <c r="AD289" s="2583"/>
      <c r="AE289" s="2583"/>
      <c r="AF289" s="2583"/>
      <c r="AG289" s="2583"/>
      <c r="AH289" s="2583"/>
      <c r="AI289" s="2583"/>
      <c r="AJ289" s="2583"/>
      <c r="AK289" s="2583"/>
      <c r="AL289" s="2583"/>
      <c r="AM289" s="2583"/>
      <c r="AN289" s="2583"/>
      <c r="AO289" s="2583"/>
      <c r="AP289" s="2583"/>
      <c r="AQ289" s="2583"/>
      <c r="AR289" s="2583"/>
      <c r="AS289" s="2583"/>
      <c r="AT289" s="2583"/>
      <c r="AU289" s="2583"/>
      <c r="AV289" s="2583"/>
      <c r="AW289" s="2583"/>
      <c r="AX289" s="2583"/>
      <c r="AY289" s="2583"/>
      <c r="AZ289" s="2583"/>
      <c r="BA289" s="2583"/>
      <c r="BB289" s="2583"/>
      <c r="BC289" s="2583"/>
      <c r="BD289" s="2583"/>
      <c r="BE289" s="2583"/>
      <c r="BF289" s="2583"/>
      <c r="BG289" s="2583"/>
      <c r="BH289" s="2583"/>
      <c r="BI289" s="2583"/>
      <c r="BJ289" s="2583"/>
      <c r="BK289" s="2583"/>
      <c r="BL289" s="2583"/>
      <c r="BM289" s="2583"/>
      <c r="BN289" s="2583"/>
      <c r="BO289" s="2583"/>
      <c r="BP289" s="2583"/>
      <c r="BQ289" s="2583"/>
      <c r="BR289" s="2583"/>
      <c r="BS289" s="2583"/>
      <c r="BT289" s="2583"/>
      <c r="BU289" s="2583"/>
      <c r="BV289" s="2583"/>
      <c r="BW289" s="2583"/>
      <c r="BX289" s="2583"/>
      <c r="BY289" s="2583"/>
      <c r="BZ289" s="2583"/>
      <c r="CA289" s="2583"/>
      <c r="CB289" s="2583"/>
      <c r="CC289" s="2583"/>
      <c r="CD289" s="2583"/>
      <c r="CE289" s="2583"/>
      <c r="CF289" s="2583"/>
      <c r="CG289" s="2583"/>
      <c r="CH289" s="2583"/>
      <c r="CI289" s="2583"/>
      <c r="CJ289" s="2583"/>
      <c r="CK289" s="2583"/>
      <c r="CL289" s="2583"/>
      <c r="CM289" s="2583"/>
      <c r="CN289" s="2583"/>
      <c r="CO289" s="2583"/>
      <c r="CP289" s="2583"/>
      <c r="CQ289" s="2583"/>
      <c r="CR289" s="2583"/>
      <c r="CS289" s="2583"/>
      <c r="CT289" s="2583"/>
      <c r="CU289" s="2583"/>
      <c r="CV289" s="2583"/>
      <c r="CW289" s="2583"/>
      <c r="CX289" s="2583"/>
      <c r="CY289" s="2583"/>
      <c r="CZ289" s="2583"/>
      <c r="DA289" s="2583"/>
      <c r="DB289" s="2583"/>
      <c r="DC289" s="2583"/>
      <c r="DD289" s="2583"/>
      <c r="DE289" s="2583"/>
      <c r="DF289" s="2583"/>
      <c r="DG289" s="2583"/>
      <c r="DH289" s="2583"/>
      <c r="DI289" s="2583"/>
      <c r="DJ289" s="2583"/>
      <c r="DK289" s="2583"/>
      <c r="DL289" s="2583"/>
      <c r="DM289" s="2583"/>
      <c r="DN289" s="2583"/>
      <c r="DO289" s="2583"/>
      <c r="DP289" s="2583"/>
      <c r="DQ289" s="2583"/>
      <c r="DR289" s="2583"/>
      <c r="DS289" s="2583"/>
      <c r="DT289" s="2583"/>
      <c r="DU289" s="2583"/>
      <c r="DV289" s="2583"/>
      <c r="DW289" s="2583"/>
      <c r="DX289" s="2583"/>
      <c r="DY289" s="2583"/>
      <c r="DZ289" s="2583"/>
      <c r="EA289" s="2583"/>
      <c r="EB289" s="2583"/>
      <c r="EC289" s="2583"/>
      <c r="ED289" s="2583"/>
      <c r="EE289" s="2583"/>
      <c r="EF289" s="2583"/>
      <c r="EG289" s="2583"/>
      <c r="EH289" s="2583"/>
      <c r="EI289" s="2583"/>
      <c r="EJ289" s="2583"/>
      <c r="EK289" s="2583"/>
      <c r="EL289" s="2583"/>
      <c r="EM289" s="2583"/>
      <c r="EN289" s="2583"/>
      <c r="EO289" s="2583"/>
      <c r="EP289" s="2583"/>
      <c r="EQ289" s="2583"/>
      <c r="ER289" s="2583"/>
      <c r="ES289" s="2583"/>
      <c r="ET289" s="2583"/>
      <c r="EU289" s="2583"/>
      <c r="EV289" s="2583"/>
      <c r="EW289" s="2583"/>
      <c r="EX289" s="2583"/>
      <c r="EY289" s="2583"/>
      <c r="EZ289" s="2583"/>
      <c r="FA289" s="2583"/>
      <c r="FB289" s="2583"/>
      <c r="FC289" s="2583"/>
      <c r="FD289" s="2583"/>
      <c r="FE289" s="2583"/>
      <c r="FF289" s="2583"/>
      <c r="FG289" s="2583"/>
      <c r="FH289" s="2583"/>
      <c r="FI289" s="2583"/>
      <c r="FJ289" s="2583"/>
      <c r="FK289" s="2583"/>
      <c r="FL289" s="2583"/>
      <c r="FM289" s="2583"/>
      <c r="FN289" s="2583"/>
      <c r="FO289" s="2583"/>
      <c r="FP289" s="2583"/>
      <c r="FQ289" s="2583"/>
      <c r="FR289" s="2583"/>
      <c r="FS289" s="2583"/>
      <c r="FT289" s="2583"/>
      <c r="FU289" s="2583"/>
      <c r="FV289" s="2583"/>
      <c r="FW289" s="2583"/>
      <c r="FX289" s="2583"/>
      <c r="FY289" s="2583"/>
      <c r="FZ289" s="2583"/>
      <c r="GA289" s="2583"/>
      <c r="GB289" s="2583"/>
      <c r="GC289" s="2583"/>
      <c r="GD289" s="2583"/>
      <c r="GE289" s="2583"/>
      <c r="GF289" s="2583"/>
      <c r="GG289" s="2583"/>
      <c r="GH289" s="2583"/>
      <c r="GI289" s="2583"/>
      <c r="GJ289" s="2583"/>
      <c r="GK289" s="2583"/>
      <c r="GL289" s="2583"/>
      <c r="GM289" s="2583"/>
      <c r="GN289" s="2583"/>
      <c r="GO289" s="2583"/>
      <c r="GP289" s="2583"/>
      <c r="GQ289" s="2583"/>
      <c r="GR289" s="2583"/>
      <c r="GS289" s="2583"/>
      <c r="GT289" s="2583"/>
      <c r="GU289" s="2583"/>
      <c r="GV289" s="2583"/>
      <c r="GW289" s="2583"/>
      <c r="GX289" s="2583"/>
      <c r="GY289" s="2583"/>
      <c r="GZ289" s="2583"/>
      <c r="HA289" s="2583"/>
      <c r="HB289" s="2583"/>
      <c r="HC289" s="2583"/>
      <c r="HD289" s="2583"/>
      <c r="HE289" s="2583"/>
      <c r="HF289" s="2583"/>
      <c r="HG289" s="2583"/>
      <c r="HH289" s="2583"/>
      <c r="HI289" s="2583"/>
      <c r="HJ289" s="2583"/>
      <c r="HK289" s="2583"/>
      <c r="HL289" s="2583"/>
      <c r="HM289" s="2583"/>
      <c r="HN289" s="2583"/>
      <c r="HO289" s="2583"/>
      <c r="HP289" s="2583"/>
      <c r="HQ289" s="2583"/>
      <c r="HR289" s="2583"/>
      <c r="HS289" s="2583"/>
      <c r="HT289" s="2583"/>
      <c r="HU289" s="2583"/>
      <c r="HV289" s="2583"/>
      <c r="HW289" s="2583"/>
      <c r="HX289" s="2583"/>
      <c r="HY289" s="2583"/>
      <c r="HZ289" s="2583"/>
      <c r="IA289" s="2583"/>
      <c r="IB289" s="2583"/>
      <c r="IC289" s="2583"/>
      <c r="ID289" s="2583"/>
      <c r="IE289" s="2583"/>
      <c r="IF289" s="2583"/>
      <c r="IG289" s="2583"/>
      <c r="IH289" s="2583"/>
      <c r="II289" s="2583"/>
      <c r="IJ289" s="2583"/>
      <c r="IK289" s="2583"/>
      <c r="IL289" s="2583"/>
      <c r="IM289" s="2583"/>
      <c r="IN289" s="2583"/>
      <c r="IO289" s="2583"/>
      <c r="IP289" s="2583"/>
      <c r="IQ289" s="2583"/>
      <c r="IR289" s="2583"/>
      <c r="IS289" s="2583"/>
      <c r="IT289" s="2583"/>
      <c r="IU289" s="2583"/>
      <c r="IV289" s="2583"/>
    </row>
  </sheetData>
  <mergeCells count="6">
    <mergeCell ref="D155:H155"/>
    <mergeCell ref="J6:J7"/>
    <mergeCell ref="A4:H4"/>
    <mergeCell ref="A5:H5"/>
    <mergeCell ref="A6:A7"/>
    <mergeCell ref="I6:I7"/>
  </mergeCells>
  <printOptions horizontalCentered="1"/>
  <pageMargins left="0.78740157480314965" right="0.19685039370078741" top="0.78740157480314965" bottom="0.39370078740157483" header="0.51181102362204722" footer="0.11811023622047245"/>
  <pageSetup paperSize="9" scale="87" orientation="portrait" r:id="rId1"/>
  <headerFooter alignWithMargins="0">
    <oddFooter>&amp;R&amp;8&amp;P</oddFooter>
  </headerFooter>
  <rowBreaks count="3" manualBreakCount="3">
    <brk id="67" max="16383" man="1"/>
    <brk id="127" max="16383" man="1"/>
    <brk id="169" max="16383" man="1"/>
  </rowBreaks>
  <colBreaks count="1" manualBreakCount="1">
    <brk id="8" max="1048575" man="1"/>
  </colBreaks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7"/>
  <dimension ref="A1:Q81"/>
  <sheetViews>
    <sheetView workbookViewId="0">
      <selection activeCell="K8" sqref="K8"/>
    </sheetView>
  </sheetViews>
  <sheetFormatPr defaultColWidth="9.109375" defaultRowHeight="14.4"/>
  <cols>
    <col min="1" max="1" width="9.109375" style="1469"/>
    <col min="2" max="2" width="13.33203125" style="1469" customWidth="1"/>
    <col min="3" max="3" width="8.5546875" style="1470" customWidth="1"/>
    <col min="4" max="4" width="13.33203125" style="1469" customWidth="1"/>
    <col min="5" max="5" width="8.5546875" style="1469" customWidth="1"/>
    <col min="6" max="6" width="13.33203125" style="1469" customWidth="1"/>
    <col min="7" max="7" width="8.5546875" style="1469" customWidth="1"/>
    <col min="8" max="16384" width="9.109375" style="1469"/>
  </cols>
  <sheetData>
    <row r="1" spans="1:17" ht="15.6">
      <c r="A1" s="1467" t="s">
        <v>1807</v>
      </c>
      <c r="B1" s="1467"/>
      <c r="C1" s="1468"/>
      <c r="D1" s="1467"/>
      <c r="E1" s="1467"/>
      <c r="F1" s="1467"/>
      <c r="G1" s="1467"/>
    </row>
    <row r="2" spans="1:17" ht="18.75" customHeight="1">
      <c r="A2" s="1467" t="s">
        <v>1808</v>
      </c>
      <c r="B2" s="1467"/>
      <c r="C2" s="1468"/>
      <c r="D2" s="1467"/>
      <c r="E2" s="1467"/>
      <c r="F2" s="1467"/>
      <c r="G2" s="1467"/>
    </row>
    <row r="3" spans="1:17" hidden="1"/>
    <row r="4" spans="1:17" s="1475" customFormat="1" ht="15.6" hidden="1">
      <c r="A4" s="1471" t="s">
        <v>668</v>
      </c>
      <c r="B4" s="1472"/>
      <c r="C4" s="1473"/>
      <c r="D4" s="1472"/>
      <c r="E4" s="1472"/>
      <c r="F4" s="1474"/>
      <c r="G4" s="1472"/>
      <c r="N4" s="1476"/>
      <c r="O4" s="1476"/>
      <c r="P4" s="1476"/>
    </row>
    <row r="5" spans="1:17" s="1475" customFormat="1" ht="15.75" hidden="1" customHeight="1">
      <c r="A5" s="4378" t="s">
        <v>1809</v>
      </c>
      <c r="B5" s="1477" t="s">
        <v>1810</v>
      </c>
      <c r="C5" s="1478"/>
      <c r="D5" s="1479"/>
      <c r="E5" s="1477"/>
      <c r="F5" s="1477" t="s">
        <v>1811</v>
      </c>
      <c r="G5" s="1477"/>
      <c r="H5" s="4378" t="s">
        <v>835</v>
      </c>
      <c r="O5" s="1476"/>
      <c r="P5" s="1476"/>
      <c r="Q5" s="1476"/>
    </row>
    <row r="6" spans="1:17" s="1475" customFormat="1" ht="69" hidden="1" customHeight="1">
      <c r="A6" s="4379"/>
      <c r="B6" s="1480" t="s">
        <v>837</v>
      </c>
      <c r="C6" s="1481" t="s">
        <v>1812</v>
      </c>
      <c r="D6" s="1480" t="s">
        <v>898</v>
      </c>
      <c r="E6" s="1482" t="s">
        <v>1812</v>
      </c>
      <c r="F6" s="1483" t="s">
        <v>839</v>
      </c>
      <c r="G6" s="1482" t="s">
        <v>1812</v>
      </c>
      <c r="H6" s="4380"/>
      <c r="N6" s="1476"/>
    </row>
    <row r="7" spans="1:17" s="1475" customFormat="1" ht="15.6" hidden="1">
      <c r="A7" s="4379"/>
      <c r="B7" s="1484" t="s">
        <v>1813</v>
      </c>
      <c r="C7" s="1485" t="s">
        <v>244</v>
      </c>
      <c r="D7" s="1484" t="s">
        <v>1814</v>
      </c>
      <c r="E7" s="1486" t="s">
        <v>244</v>
      </c>
      <c r="F7" s="1483"/>
      <c r="G7" s="1486" t="s">
        <v>244</v>
      </c>
      <c r="H7" s="1484" t="s">
        <v>963</v>
      </c>
      <c r="O7" s="1476"/>
      <c r="P7" s="1476"/>
      <c r="Q7" s="1476"/>
    </row>
    <row r="8" spans="1:17" s="1476" customFormat="1" ht="15.6" hidden="1">
      <c r="A8" s="4380"/>
      <c r="B8" s="1487" t="s">
        <v>291</v>
      </c>
      <c r="C8" s="1488"/>
      <c r="D8" s="1487" t="s">
        <v>843</v>
      </c>
      <c r="E8" s="1488"/>
      <c r="F8" s="1487" t="s">
        <v>843</v>
      </c>
      <c r="G8" s="1488"/>
      <c r="H8" s="1487" t="s">
        <v>1815</v>
      </c>
    </row>
    <row r="9" spans="1:17" s="1476" customFormat="1" ht="15.6" hidden="1">
      <c r="A9" s="1489" t="s">
        <v>697</v>
      </c>
      <c r="B9" s="1490">
        <v>124404</v>
      </c>
      <c r="C9" s="1488"/>
      <c r="D9" s="1490">
        <v>228.06</v>
      </c>
      <c r="E9" s="1488"/>
      <c r="F9" s="1490">
        <v>433</v>
      </c>
      <c r="G9" s="1488"/>
      <c r="H9" s="1491">
        <f>(B9*12/(F9-D9))</f>
        <v>7284.3173611788816</v>
      </c>
    </row>
    <row r="10" spans="1:17" s="1476" customFormat="1" ht="15.6" hidden="1">
      <c r="A10" s="1489" t="s">
        <v>676</v>
      </c>
      <c r="B10" s="1490">
        <v>166069</v>
      </c>
      <c r="C10" s="1488"/>
      <c r="D10" s="1490">
        <v>749.32</v>
      </c>
      <c r="E10" s="1488"/>
      <c r="F10" s="1490">
        <v>1022.95</v>
      </c>
      <c r="G10" s="1488"/>
      <c r="H10" s="1491">
        <f>(B10*12/(F10-D10))</f>
        <v>7282.9295033439321</v>
      </c>
    </row>
    <row r="11" spans="1:17" s="1476" customFormat="1" ht="15.6" hidden="1">
      <c r="A11" s="1489" t="s">
        <v>847</v>
      </c>
      <c r="B11" s="1490">
        <v>417747</v>
      </c>
      <c r="C11" s="1488"/>
      <c r="D11" s="1490">
        <v>810.58</v>
      </c>
      <c r="E11" s="1488"/>
      <c r="F11" s="1490">
        <v>1498.78</v>
      </c>
      <c r="G11" s="1488"/>
      <c r="H11" s="1491">
        <f>(B11*12/(F11-D11))</f>
        <v>7284.167393199652</v>
      </c>
    </row>
    <row r="12" spans="1:17" s="1476" customFormat="1" ht="15.6" hidden="1">
      <c r="A12" s="1489" t="s">
        <v>681</v>
      </c>
      <c r="B12" s="1490">
        <v>481133</v>
      </c>
      <c r="C12" s="1488"/>
      <c r="D12" s="1490">
        <v>1074.45</v>
      </c>
      <c r="E12" s="1488"/>
      <c r="F12" s="1490">
        <v>1903</v>
      </c>
      <c r="G12" s="1488"/>
      <c r="H12" s="1491">
        <f>(B12*12/(F12-D12))</f>
        <v>6968.3133184478911</v>
      </c>
    </row>
    <row r="13" spans="1:17" s="1476" customFormat="1" ht="21.75" hidden="1" customHeight="1">
      <c r="A13" s="1489" t="s">
        <v>962</v>
      </c>
      <c r="B13" s="1490"/>
      <c r="C13" s="1488"/>
      <c r="D13" s="1490"/>
      <c r="E13" s="1488"/>
      <c r="F13" s="1490"/>
      <c r="G13" s="1488"/>
      <c r="H13" s="1491" t="e">
        <f>(B13*12/(F13-D13))</f>
        <v>#DIV/0!</v>
      </c>
    </row>
    <row r="14" spans="1:17" s="1476" customFormat="1" ht="21.75" hidden="1" customHeight="1">
      <c r="A14" s="1492"/>
      <c r="B14" s="1493"/>
      <c r="C14" s="1494"/>
      <c r="D14" s="1493"/>
      <c r="E14" s="1494"/>
      <c r="F14" s="1493"/>
      <c r="G14" s="1494"/>
      <c r="H14" s="1495"/>
    </row>
    <row r="15" spans="1:17" s="1475" customFormat="1" ht="15.6" hidden="1">
      <c r="A15" s="1471" t="s">
        <v>669</v>
      </c>
      <c r="B15" s="1472"/>
      <c r="C15" s="1473"/>
      <c r="D15" s="1472"/>
      <c r="E15" s="1472"/>
      <c r="F15" s="1474"/>
      <c r="G15" s="1472"/>
      <c r="N15" s="1476"/>
      <c r="O15" s="1476"/>
      <c r="P15" s="1476"/>
    </row>
    <row r="16" spans="1:17" s="1475" customFormat="1" ht="15.75" hidden="1" customHeight="1">
      <c r="A16" s="4378" t="s">
        <v>1809</v>
      </c>
      <c r="B16" s="1477" t="s">
        <v>1810</v>
      </c>
      <c r="C16" s="1478"/>
      <c r="D16" s="1479"/>
      <c r="E16" s="1477"/>
      <c r="F16" s="1477" t="s">
        <v>1811</v>
      </c>
      <c r="G16" s="1477"/>
      <c r="H16" s="4378" t="s">
        <v>835</v>
      </c>
      <c r="O16" s="1476"/>
      <c r="P16" s="1476"/>
      <c r="Q16" s="1476"/>
    </row>
    <row r="17" spans="1:17" s="1475" customFormat="1" ht="69" hidden="1" customHeight="1">
      <c r="A17" s="4379"/>
      <c r="B17" s="1480" t="s">
        <v>837</v>
      </c>
      <c r="C17" s="1481" t="s">
        <v>1812</v>
      </c>
      <c r="D17" s="1480" t="s">
        <v>898</v>
      </c>
      <c r="E17" s="1482" t="s">
        <v>1812</v>
      </c>
      <c r="F17" s="1483" t="s">
        <v>839</v>
      </c>
      <c r="G17" s="1482" t="s">
        <v>1812</v>
      </c>
      <c r="H17" s="4380"/>
      <c r="N17" s="1476"/>
    </row>
    <row r="18" spans="1:17" s="1475" customFormat="1" ht="15.6" hidden="1">
      <c r="A18" s="4379"/>
      <c r="B18" s="1484" t="s">
        <v>1813</v>
      </c>
      <c r="C18" s="1485" t="s">
        <v>244</v>
      </c>
      <c r="D18" s="1484" t="s">
        <v>1814</v>
      </c>
      <c r="E18" s="1486" t="s">
        <v>244</v>
      </c>
      <c r="F18" s="1483"/>
      <c r="G18" s="1486" t="s">
        <v>244</v>
      </c>
      <c r="H18" s="1484" t="s">
        <v>963</v>
      </c>
      <c r="O18" s="1476"/>
      <c r="P18" s="1476"/>
      <c r="Q18" s="1476"/>
    </row>
    <row r="19" spans="1:17" s="1476" customFormat="1" ht="15.6" hidden="1">
      <c r="A19" s="4380"/>
      <c r="B19" s="1487" t="s">
        <v>291</v>
      </c>
      <c r="C19" s="1488"/>
      <c r="D19" s="1487" t="s">
        <v>843</v>
      </c>
      <c r="E19" s="1488"/>
      <c r="F19" s="1487" t="s">
        <v>843</v>
      </c>
      <c r="G19" s="1488"/>
      <c r="H19" s="1487" t="s">
        <v>1815</v>
      </c>
    </row>
    <row r="20" spans="1:17" s="1476" customFormat="1" ht="15.6" hidden="1">
      <c r="A20" s="1489" t="s">
        <v>697</v>
      </c>
      <c r="B20" s="1490">
        <v>300621.82</v>
      </c>
      <c r="C20" s="1488">
        <f>B20/B9-1</f>
        <v>1.4164964149062733</v>
      </c>
      <c r="D20" s="1490">
        <v>176.8</v>
      </c>
      <c r="E20" s="1488">
        <f t="shared" ref="C20:E23" si="0">D20/D9-1</f>
        <v>-0.22476541261071648</v>
      </c>
      <c r="F20" s="1490">
        <v>592.41</v>
      </c>
      <c r="G20" s="1488">
        <f>F20/F9-1</f>
        <v>0.36815242494226319</v>
      </c>
      <c r="H20" s="1491">
        <f>(B20*12/(F20-D20))</f>
        <v>8679.9206948822211</v>
      </c>
    </row>
    <row r="21" spans="1:17" s="1476" customFormat="1" ht="15.6" hidden="1">
      <c r="A21" s="1489" t="s">
        <v>676</v>
      </c>
      <c r="B21" s="1490">
        <v>490793.23</v>
      </c>
      <c r="C21" s="1488">
        <f t="shared" si="0"/>
        <v>1.9553572912464094</v>
      </c>
      <c r="D21" s="1490">
        <v>180</v>
      </c>
      <c r="E21" s="1488">
        <f t="shared" si="0"/>
        <v>-0.75978220253029416</v>
      </c>
      <c r="F21" s="1490">
        <v>969.48</v>
      </c>
      <c r="G21" s="1488">
        <f>F21/F10-1</f>
        <v>-5.2270394447431423E-2</v>
      </c>
      <c r="H21" s="1491">
        <f>(B21*12/(F21-D21))</f>
        <v>7459.9974160206712</v>
      </c>
    </row>
    <row r="22" spans="1:17" s="1476" customFormat="1" ht="15.6" hidden="1">
      <c r="A22" s="1489" t="s">
        <v>847</v>
      </c>
      <c r="B22" s="1490">
        <v>680321</v>
      </c>
      <c r="C22" s="1488">
        <f t="shared" si="0"/>
        <v>0.6285479010022812</v>
      </c>
      <c r="D22" s="1490">
        <v>210</v>
      </c>
      <c r="E22" s="1488">
        <f t="shared" si="0"/>
        <v>-0.74092625033926329</v>
      </c>
      <c r="F22" s="1490">
        <v>1441.35</v>
      </c>
      <c r="G22" s="1488">
        <f>F22/F11-1</f>
        <v>-3.8317831836560456E-2</v>
      </c>
      <c r="H22" s="1491">
        <f>(B22*12/(F22-D22))</f>
        <v>6630.0012181751745</v>
      </c>
    </row>
    <row r="23" spans="1:17" s="1476" customFormat="1" ht="15.6" hidden="1">
      <c r="A23" s="1489" t="s">
        <v>681</v>
      </c>
      <c r="B23" s="1490">
        <v>851305.82</v>
      </c>
      <c r="C23" s="1488">
        <f t="shared" si="0"/>
        <v>0.76937732394161262</v>
      </c>
      <c r="D23" s="1490">
        <v>432</v>
      </c>
      <c r="E23" s="1488">
        <f t="shared" si="0"/>
        <v>-0.59793382660896266</v>
      </c>
      <c r="F23" s="1490">
        <v>2296.17</v>
      </c>
      <c r="G23" s="1488">
        <f>F23/F12-1</f>
        <v>0.20660535995796114</v>
      </c>
      <c r="H23" s="1491">
        <f>(B23*12/(F23-D23))</f>
        <v>5480.0097845153605</v>
      </c>
    </row>
    <row r="24" spans="1:17" s="1476" customFormat="1" ht="21.75" hidden="1" customHeight="1">
      <c r="A24" s="1489" t="s">
        <v>962</v>
      </c>
      <c r="B24" s="1490">
        <v>116581.82</v>
      </c>
      <c r="C24" s="1488"/>
      <c r="D24" s="1490">
        <v>162.69999999999999</v>
      </c>
      <c r="E24" s="1488"/>
      <c r="F24" s="1490">
        <v>380.24</v>
      </c>
      <c r="G24" s="1488"/>
      <c r="H24" s="1491">
        <f>(B24*12/(F24-D24))</f>
        <v>6430.9177162820624</v>
      </c>
    </row>
    <row r="25" spans="1:17" s="1476" customFormat="1" ht="21.75" customHeight="1">
      <c r="A25" s="1492"/>
      <c r="B25" s="1493"/>
      <c r="C25" s="1494"/>
      <c r="D25" s="1493"/>
      <c r="E25" s="1493"/>
      <c r="F25" s="1496" t="s">
        <v>1816</v>
      </c>
      <c r="G25" s="1493"/>
      <c r="H25" s="1495"/>
    </row>
    <row r="26" spans="1:17" s="1475" customFormat="1" ht="15.6">
      <c r="A26" s="1497" t="s">
        <v>1120</v>
      </c>
      <c r="B26" s="1498"/>
      <c r="C26" s="1499"/>
      <c r="D26" s="1498"/>
      <c r="E26" s="1498"/>
      <c r="F26" s="1500"/>
      <c r="G26" s="1498"/>
      <c r="H26" s="1501"/>
      <c r="J26" s="1502" t="s">
        <v>1817</v>
      </c>
      <c r="K26" s="1502"/>
      <c r="N26" s="1476"/>
      <c r="O26" s="1476"/>
      <c r="P26" s="1476"/>
    </row>
    <row r="27" spans="1:17" s="1475" customFormat="1" ht="15.75" customHeight="1">
      <c r="A27" s="4384" t="s">
        <v>1809</v>
      </c>
      <c r="B27" s="1503" t="s">
        <v>1810</v>
      </c>
      <c r="C27" s="1504"/>
      <c r="D27" s="1505"/>
      <c r="E27" s="1503"/>
      <c r="F27" s="1503" t="s">
        <v>1811</v>
      </c>
      <c r="G27" s="1503"/>
      <c r="H27" s="4384" t="s">
        <v>835</v>
      </c>
      <c r="O27" s="1476"/>
      <c r="P27" s="1476"/>
      <c r="Q27" s="1476"/>
    </row>
    <row r="28" spans="1:17" s="1475" customFormat="1" ht="69" customHeight="1">
      <c r="A28" s="4419"/>
      <c r="B28" s="1506" t="s">
        <v>837</v>
      </c>
      <c r="C28" s="1507" t="s">
        <v>1812</v>
      </c>
      <c r="D28" s="1506" t="s">
        <v>898</v>
      </c>
      <c r="E28" s="1508" t="s">
        <v>1812</v>
      </c>
      <c r="F28" s="1509" t="s">
        <v>839</v>
      </c>
      <c r="G28" s="1508" t="s">
        <v>1812</v>
      </c>
      <c r="H28" s="4420"/>
      <c r="J28" s="1510" t="s">
        <v>1818</v>
      </c>
      <c r="K28" s="1510"/>
      <c r="L28" s="1510"/>
      <c r="N28" s="1476"/>
    </row>
    <row r="29" spans="1:17" s="1475" customFormat="1" ht="15.6">
      <c r="A29" s="4419"/>
      <c r="B29" s="1511" t="s">
        <v>1813</v>
      </c>
      <c r="C29" s="1512" t="s">
        <v>244</v>
      </c>
      <c r="D29" s="1511" t="s">
        <v>1814</v>
      </c>
      <c r="E29" s="1509" t="s">
        <v>244</v>
      </c>
      <c r="F29" s="1509"/>
      <c r="G29" s="1509" t="s">
        <v>244</v>
      </c>
      <c r="H29" s="1511" t="s">
        <v>963</v>
      </c>
      <c r="J29" s="1513" t="s">
        <v>1819</v>
      </c>
      <c r="K29" s="1513"/>
      <c r="L29" s="1514" t="s">
        <v>1820</v>
      </c>
      <c r="O29" s="1476"/>
      <c r="P29" s="1476"/>
      <c r="Q29" s="1476"/>
    </row>
    <row r="30" spans="1:17" s="1475" customFormat="1" ht="15.6">
      <c r="A30" s="4420"/>
      <c r="B30" s="1509" t="s">
        <v>291</v>
      </c>
      <c r="C30" s="1512"/>
      <c r="D30" s="1509" t="s">
        <v>843</v>
      </c>
      <c r="E30" s="1509"/>
      <c r="F30" s="1509" t="s">
        <v>843</v>
      </c>
      <c r="G30" s="1509"/>
      <c r="H30" s="1509" t="s">
        <v>1815</v>
      </c>
      <c r="J30" s="1515" t="s">
        <v>1821</v>
      </c>
      <c r="K30" s="1516" t="s">
        <v>1822</v>
      </c>
      <c r="L30" s="1517"/>
      <c r="O30" s="1476"/>
      <c r="P30" s="1476"/>
      <c r="Q30" s="1476"/>
    </row>
    <row r="31" spans="1:17" s="1475" customFormat="1" ht="15.6">
      <c r="A31" s="1506" t="s">
        <v>697</v>
      </c>
      <c r="B31" s="1518">
        <v>364484.63</v>
      </c>
      <c r="C31" s="1519">
        <f>B31/B20-1</f>
        <v>0.2124357107544621</v>
      </c>
      <c r="D31" s="1518">
        <v>151.36000000000001</v>
      </c>
      <c r="E31" s="1519">
        <f>D31/D20-1</f>
        <v>-0.14389140271493206</v>
      </c>
      <c r="F31" s="1518">
        <v>671</v>
      </c>
      <c r="G31" s="1519">
        <f>F31/F20-1</f>
        <v>0.1326615013250958</v>
      </c>
      <c r="H31" s="1520">
        <f>(B31*12/(F31-D31))</f>
        <v>8417.0109306442937</v>
      </c>
      <c r="J31" s="1521">
        <f>B31/B9-1</f>
        <v>1.9298465483424971</v>
      </c>
      <c r="K31" s="1521">
        <f>D31/D9-1</f>
        <v>-0.33631500482329202</v>
      </c>
      <c r="L31" s="1521">
        <f>F31/F9-1</f>
        <v>0.54965357967667439</v>
      </c>
      <c r="N31" s="1521">
        <v>0.21461487820934821</v>
      </c>
      <c r="O31" s="1476"/>
      <c r="P31" s="1476"/>
      <c r="Q31" s="1476"/>
    </row>
    <row r="32" spans="1:17" s="1475" customFormat="1" ht="15.6">
      <c r="A32" s="1506" t="s">
        <v>676</v>
      </c>
      <c r="B32" s="1518">
        <v>684381.17</v>
      </c>
      <c r="C32" s="1519">
        <f t="shared" ref="C32:E35" si="1">B32/B21-1</f>
        <v>0.3944388963963501</v>
      </c>
      <c r="D32" s="1518">
        <v>162.12</v>
      </c>
      <c r="E32" s="1519">
        <f t="shared" si="1"/>
        <v>-9.9333333333333274E-2</v>
      </c>
      <c r="F32" s="1518">
        <v>1153.6500000000001</v>
      </c>
      <c r="G32" s="1519">
        <f>F32/F21-1</f>
        <v>0.18996781779923255</v>
      </c>
      <c r="H32" s="1520">
        <f>(B32*12/(F32-D32))</f>
        <v>8282.7287525339634</v>
      </c>
      <c r="J32" s="1521">
        <f>B32/B10-1</f>
        <v>3.1210651596625505</v>
      </c>
      <c r="K32" s="1521">
        <f>D32/D10-1</f>
        <v>-0.78364383707895158</v>
      </c>
      <c r="L32" s="1521">
        <f>F32/F10-1</f>
        <v>0.12776773058311752</v>
      </c>
      <c r="N32" s="1521">
        <v>0.24512109584519526</v>
      </c>
      <c r="O32" s="1476"/>
      <c r="P32" s="1476"/>
      <c r="Q32" s="1476"/>
    </row>
    <row r="33" spans="1:17" s="1475" customFormat="1" ht="15.6">
      <c r="A33" s="1506" t="s">
        <v>847</v>
      </c>
      <c r="B33" s="1518">
        <v>942948.34</v>
      </c>
      <c r="C33" s="1519">
        <f t="shared" si="1"/>
        <v>0.38603444550440158</v>
      </c>
      <c r="D33" s="1518">
        <v>414.16</v>
      </c>
      <c r="E33" s="1519">
        <f t="shared" si="1"/>
        <v>0.97219047619047627</v>
      </c>
      <c r="F33" s="1518">
        <v>1847.1</v>
      </c>
      <c r="G33" s="1519">
        <f>F33/F22-1</f>
        <v>0.28150692059527538</v>
      </c>
      <c r="H33" s="1520">
        <f>(B33*12/(F33-D33))</f>
        <v>7896.6181975518875</v>
      </c>
      <c r="J33" s="1521">
        <f>B33/B11-1</f>
        <v>1.2572234869430541</v>
      </c>
      <c r="K33" s="1521">
        <f>D33/D11-1</f>
        <v>-0.48905721828813931</v>
      </c>
      <c r="L33" s="1521">
        <f>F33/F11-1</f>
        <v>0.23240235391451702</v>
      </c>
      <c r="N33" s="1521">
        <v>0.35747736497034044</v>
      </c>
      <c r="O33" s="1476"/>
      <c r="P33" s="1476"/>
      <c r="Q33" s="1476"/>
    </row>
    <row r="34" spans="1:17" s="1475" customFormat="1" ht="15.6">
      <c r="A34" s="1506" t="s">
        <v>681</v>
      </c>
      <c r="B34" s="1518">
        <v>1640145.12</v>
      </c>
      <c r="C34" s="1519">
        <f t="shared" si="1"/>
        <v>0.92662270299056604</v>
      </c>
      <c r="D34" s="1518">
        <v>472.06</v>
      </c>
      <c r="E34" s="1519">
        <f t="shared" si="1"/>
        <v>9.273148148148147E-2</v>
      </c>
      <c r="F34" s="1518">
        <v>2747.68</v>
      </c>
      <c r="G34" s="1519">
        <f>F34/F23-1</f>
        <v>0.1966361375682113</v>
      </c>
      <c r="H34" s="1520">
        <f>(B34*12/(F34-D34))</f>
        <v>8648.9578400611717</v>
      </c>
      <c r="J34" s="1521">
        <f>B34/B12-1</f>
        <v>2.4089225224626043</v>
      </c>
      <c r="K34" s="1521">
        <f>D34/D12-1</f>
        <v>-0.56064963469682172</v>
      </c>
      <c r="L34" s="1521">
        <f>F34/F12-1</f>
        <v>0.44386757750919581</v>
      </c>
      <c r="N34" s="1521">
        <v>0.32037262049412729</v>
      </c>
      <c r="O34" s="1476"/>
      <c r="P34" s="1476"/>
      <c r="Q34" s="1476"/>
    </row>
    <row r="35" spans="1:17" s="1475" customFormat="1" ht="21.75" customHeight="1">
      <c r="A35" s="1506" t="s">
        <v>962</v>
      </c>
      <c r="B35" s="1518">
        <v>133702.84</v>
      </c>
      <c r="C35" s="1519">
        <f t="shared" si="1"/>
        <v>0.14685840382316884</v>
      </c>
      <c r="D35" s="1518">
        <v>150</v>
      </c>
      <c r="E35" s="1519">
        <f t="shared" si="1"/>
        <v>-7.8057775046097011E-2</v>
      </c>
      <c r="F35" s="1518">
        <v>437.28</v>
      </c>
      <c r="G35" s="1519">
        <f>F35/F24-1</f>
        <v>0.15001051967178625</v>
      </c>
      <c r="H35" s="1520">
        <f>(B35*12/(F35-D35))</f>
        <v>5584.9139515455308</v>
      </c>
      <c r="J35" s="1510"/>
      <c r="K35" s="1510"/>
      <c r="L35" s="1510"/>
      <c r="N35" s="1521">
        <v>-0.3810225120976225</v>
      </c>
      <c r="O35" s="1476"/>
      <c r="P35" s="1476"/>
      <c r="Q35" s="1476"/>
    </row>
    <row r="37" spans="1:17">
      <c r="A37" s="1471" t="s">
        <v>1265</v>
      </c>
      <c r="B37" s="1472"/>
      <c r="C37" s="1473"/>
      <c r="D37" s="1472"/>
      <c r="E37" s="1472"/>
      <c r="F37" s="1474"/>
      <c r="G37" s="1472"/>
    </row>
    <row r="38" spans="1:17" ht="18.75" customHeight="1">
      <c r="A38" s="4378" t="s">
        <v>1809</v>
      </c>
      <c r="B38" s="1477" t="s">
        <v>1810</v>
      </c>
      <c r="C38" s="1478"/>
      <c r="D38" s="1477"/>
      <c r="E38" s="1477"/>
      <c r="F38" s="1477" t="s">
        <v>1811</v>
      </c>
      <c r="G38" s="1477"/>
      <c r="H38" s="4378" t="s">
        <v>835</v>
      </c>
    </row>
    <row r="39" spans="1:17" ht="66">
      <c r="A39" s="4379"/>
      <c r="B39" s="1480" t="s">
        <v>837</v>
      </c>
      <c r="C39" s="1481" t="s">
        <v>1812</v>
      </c>
      <c r="D39" s="1480" t="s">
        <v>898</v>
      </c>
      <c r="E39" s="1482" t="s">
        <v>1812</v>
      </c>
      <c r="F39" s="1483" t="s">
        <v>839</v>
      </c>
      <c r="G39" s="1482" t="s">
        <v>1812</v>
      </c>
      <c r="H39" s="4380"/>
    </row>
    <row r="40" spans="1:17" ht="15.6">
      <c r="A40" s="4379"/>
      <c r="B40" s="1484" t="s">
        <v>1813</v>
      </c>
      <c r="C40" s="1485" t="s">
        <v>244</v>
      </c>
      <c r="D40" s="1484" t="s">
        <v>1814</v>
      </c>
      <c r="E40" s="1486" t="s">
        <v>244</v>
      </c>
      <c r="F40" s="1483"/>
      <c r="G40" s="1522"/>
      <c r="H40" s="1484" t="s">
        <v>963</v>
      </c>
    </row>
    <row r="41" spans="1:17">
      <c r="A41" s="4380"/>
      <c r="B41" s="1483" t="s">
        <v>291</v>
      </c>
      <c r="C41" s="1485"/>
      <c r="D41" s="1483" t="s">
        <v>843</v>
      </c>
      <c r="E41" s="1486"/>
      <c r="F41" s="1483" t="s">
        <v>843</v>
      </c>
      <c r="G41" s="1486" t="s">
        <v>244</v>
      </c>
      <c r="H41" s="1483" t="s">
        <v>1815</v>
      </c>
    </row>
    <row r="42" spans="1:17">
      <c r="A42" s="1489" t="s">
        <v>697</v>
      </c>
      <c r="B42" s="1490">
        <v>427956.36</v>
      </c>
      <c r="C42" s="1488">
        <f>B42/B31-1</f>
        <v>0.17414103305261452</v>
      </c>
      <c r="D42" s="1490">
        <v>179.28</v>
      </c>
      <c r="E42" s="1488">
        <f>D42/D31-1</f>
        <v>0.18446088794925997</v>
      </c>
      <c r="F42" s="1490">
        <v>789.41</v>
      </c>
      <c r="G42" s="1488">
        <f>F42/F31-1</f>
        <v>0.17646795827123696</v>
      </c>
      <c r="H42" s="1491">
        <f>(B42*12/(F42-D42))</f>
        <v>8417.0198482290671</v>
      </c>
    </row>
    <row r="43" spans="1:17">
      <c r="A43" s="1489" t="s">
        <v>676</v>
      </c>
      <c r="B43" s="1490">
        <v>781756.21</v>
      </c>
      <c r="C43" s="1488">
        <f t="shared" ref="C43:E46" si="2">B43/B32-1</f>
        <v>0.14228188072445058</v>
      </c>
      <c r="D43" s="1490">
        <v>191.71</v>
      </c>
      <c r="E43" s="1488">
        <f t="shared" si="2"/>
        <v>0.18251912163829265</v>
      </c>
      <c r="F43" s="1490">
        <v>1324.32</v>
      </c>
      <c r="G43" s="1488">
        <f>F43/F32-1</f>
        <v>0.14793914965544119</v>
      </c>
      <c r="H43" s="1491">
        <f>(B43*12/(F43-D43))</f>
        <v>8282.7050087850184</v>
      </c>
    </row>
    <row r="44" spans="1:17">
      <c r="A44" s="1489" t="s">
        <v>847</v>
      </c>
      <c r="B44" s="1490">
        <v>1110334.72</v>
      </c>
      <c r="C44" s="1488">
        <f t="shared" si="2"/>
        <v>0.17751383919929276</v>
      </c>
      <c r="D44" s="1490">
        <v>469.5</v>
      </c>
      <c r="E44" s="1488">
        <f t="shared" si="2"/>
        <v>0.13361985706007329</v>
      </c>
      <c r="F44" s="1490">
        <v>2146.56</v>
      </c>
      <c r="G44" s="1488">
        <f>F44/F33-1</f>
        <v>0.16212441123923993</v>
      </c>
      <c r="H44" s="1491">
        <f>(B44*12/(F44-D44))</f>
        <v>7944.8658008658012</v>
      </c>
    </row>
    <row r="45" spans="1:17">
      <c r="A45" s="1489" t="s">
        <v>681</v>
      </c>
      <c r="B45" s="1490">
        <v>2019526.48</v>
      </c>
      <c r="C45" s="1488">
        <f t="shared" si="2"/>
        <v>0.23130962947961575</v>
      </c>
      <c r="D45" s="1490">
        <v>535.79999999999995</v>
      </c>
      <c r="E45" s="1488">
        <f t="shared" si="2"/>
        <v>0.13502520865991596</v>
      </c>
      <c r="F45" s="1490">
        <v>3325.91</v>
      </c>
      <c r="G45" s="1488">
        <f>F45/F34-1</f>
        <v>0.21044299190589877</v>
      </c>
      <c r="H45" s="1491">
        <f>(B45*12/(F45-D45))</f>
        <v>8685.7929472314718</v>
      </c>
    </row>
    <row r="46" spans="1:17" ht="27">
      <c r="A46" s="1489" t="s">
        <v>962</v>
      </c>
      <c r="B46" s="1490">
        <v>22308.959999999999</v>
      </c>
      <c r="C46" s="1488">
        <f t="shared" si="2"/>
        <v>-0.83314520469423092</v>
      </c>
      <c r="D46" s="1490">
        <v>210.28899999999999</v>
      </c>
      <c r="E46" s="1488">
        <f t="shared" si="2"/>
        <v>0.40192666666666654</v>
      </c>
      <c r="F46" s="1490">
        <v>258.20999999999998</v>
      </c>
      <c r="G46" s="1488">
        <f>F46/F35-1</f>
        <v>-0.40950878155872672</v>
      </c>
      <c r="H46" s="1491">
        <f>(B46*12/(F46-D46))</f>
        <v>5586.4343398510064</v>
      </c>
    </row>
    <row r="48" spans="1:17">
      <c r="A48" s="1471" t="s">
        <v>1823</v>
      </c>
      <c r="B48" s="1472"/>
      <c r="C48" s="1473"/>
      <c r="D48" s="1472"/>
      <c r="E48" s="1472"/>
      <c r="F48" s="1474"/>
      <c r="G48" s="1472"/>
    </row>
    <row r="49" spans="1:8" ht="18.75" customHeight="1">
      <c r="A49" s="4378" t="s">
        <v>1809</v>
      </c>
      <c r="B49" s="1477" t="s">
        <v>1810</v>
      </c>
      <c r="C49" s="1478"/>
      <c r="D49" s="1477"/>
      <c r="E49" s="1477"/>
      <c r="F49" s="1477" t="s">
        <v>1811</v>
      </c>
      <c r="G49" s="1477"/>
      <c r="H49" s="4378" t="s">
        <v>835</v>
      </c>
    </row>
    <row r="50" spans="1:8" ht="66">
      <c r="A50" s="4379"/>
      <c r="B50" s="1480" t="s">
        <v>837</v>
      </c>
      <c r="C50" s="1481" t="s">
        <v>1812</v>
      </c>
      <c r="D50" s="1480" t="s">
        <v>898</v>
      </c>
      <c r="E50" s="1482" t="s">
        <v>1812</v>
      </c>
      <c r="F50" s="1483" t="s">
        <v>839</v>
      </c>
      <c r="G50" s="1482" t="s">
        <v>1812</v>
      </c>
      <c r="H50" s="4380"/>
    </row>
    <row r="51" spans="1:8" ht="15.6">
      <c r="A51" s="4379"/>
      <c r="B51" s="1484" t="s">
        <v>1813</v>
      </c>
      <c r="C51" s="1485" t="s">
        <v>244</v>
      </c>
      <c r="D51" s="1484" t="s">
        <v>1814</v>
      </c>
      <c r="E51" s="1486" t="s">
        <v>244</v>
      </c>
      <c r="F51" s="1483"/>
      <c r="G51" s="1522"/>
      <c r="H51" s="1484" t="s">
        <v>963</v>
      </c>
    </row>
    <row r="52" spans="1:8">
      <c r="A52" s="4380"/>
      <c r="B52" s="1483" t="s">
        <v>291</v>
      </c>
      <c r="C52" s="1485"/>
      <c r="D52" s="1483" t="s">
        <v>843</v>
      </c>
      <c r="E52" s="1486"/>
      <c r="F52" s="1483" t="s">
        <v>843</v>
      </c>
      <c r="G52" s="1486" t="s">
        <v>244</v>
      </c>
      <c r="H52" s="1483" t="s">
        <v>1815</v>
      </c>
    </row>
    <row r="53" spans="1:8">
      <c r="A53" s="1489" t="s">
        <v>697</v>
      </c>
      <c r="B53" s="1490">
        <v>465350.61</v>
      </c>
      <c r="C53" s="1488">
        <f>B53/B42-1</f>
        <v>8.7378652346701946E-2</v>
      </c>
      <c r="D53" s="1490">
        <v>194.95</v>
      </c>
      <c r="E53" s="1488">
        <f>D53/D42-1</f>
        <v>8.740517626059785E-2</v>
      </c>
      <c r="F53" s="1490">
        <v>858.39</v>
      </c>
      <c r="G53" s="1488">
        <f>F53/F42-1</f>
        <v>8.7381715458380249E-2</v>
      </c>
      <c r="H53" s="1491">
        <f>(B53*12/(F53-D53))</f>
        <v>8417.0494995779572</v>
      </c>
    </row>
    <row r="54" spans="1:8">
      <c r="A54" s="1489" t="s">
        <v>676</v>
      </c>
      <c r="B54" s="1490">
        <v>850350.61</v>
      </c>
      <c r="C54" s="1488">
        <f>B54/B43-1</f>
        <v>8.7743978394491995E-2</v>
      </c>
      <c r="D54" s="1490">
        <v>208.46</v>
      </c>
      <c r="E54" s="1488">
        <f>D54/D43-1</f>
        <v>8.7371550779823615E-2</v>
      </c>
      <c r="F54" s="1490">
        <v>1440.03</v>
      </c>
      <c r="G54" s="1488">
        <f>F54/F43-1</f>
        <v>8.7373142442914054E-2</v>
      </c>
      <c r="H54" s="1491">
        <f>(B54*12/(F54-D54))</f>
        <v>8285.5276760557663</v>
      </c>
    </row>
    <row r="55" spans="1:8">
      <c r="A55" s="1489" t="s">
        <v>847</v>
      </c>
      <c r="B55" s="1490">
        <v>1207354.26</v>
      </c>
      <c r="C55" s="1488">
        <f>B55/B44-1</f>
        <v>8.7378642000855322E-2</v>
      </c>
      <c r="D55" s="1490">
        <v>519.6</v>
      </c>
      <c r="E55" s="1488">
        <f>D55/D44-1</f>
        <v>0.10670926517571888</v>
      </c>
      <c r="F55" s="1490">
        <v>2334.12</v>
      </c>
      <c r="G55" s="1488">
        <f>F55/F44-1</f>
        <v>8.7377012522361408E-2</v>
      </c>
      <c r="H55" s="1491">
        <f>(B55*12/(F55-D55))</f>
        <v>7984.6191389458372</v>
      </c>
    </row>
    <row r="56" spans="1:8">
      <c r="A56" s="1489" t="s">
        <v>681</v>
      </c>
      <c r="B56" s="1490">
        <v>2195989.96</v>
      </c>
      <c r="C56" s="1488">
        <f>B56/B45-1</f>
        <v>8.7378641353590858E-2</v>
      </c>
      <c r="D56" s="1490">
        <v>593.1</v>
      </c>
      <c r="E56" s="1488">
        <f>D56/D45-1</f>
        <v>0.1069428891377382</v>
      </c>
      <c r="F56" s="1490">
        <v>3616.52</v>
      </c>
      <c r="G56" s="1488">
        <f>F56/F45-1</f>
        <v>8.7377589892690954E-2</v>
      </c>
      <c r="H56" s="1491">
        <f>(B56*12/(F56-D56))</f>
        <v>8715.917576783906</v>
      </c>
    </row>
    <row r="57" spans="1:8" ht="27">
      <c r="A57" s="1489" t="s">
        <v>962</v>
      </c>
      <c r="B57" s="1490">
        <v>24258.29</v>
      </c>
      <c r="C57" s="1488">
        <f>B57/B46-1</f>
        <v>8.7378793094792462E-2</v>
      </c>
      <c r="D57" s="1490">
        <v>228.65</v>
      </c>
      <c r="E57" s="1488">
        <f>D57/D46-1</f>
        <v>8.7313173775138031E-2</v>
      </c>
      <c r="F57" s="1490">
        <v>280.77</v>
      </c>
      <c r="G57" s="1488">
        <f>F57/F46-1</f>
        <v>8.7370744742651274E-2</v>
      </c>
      <c r="H57" s="1491">
        <f>(B57*12/(F57-D57))</f>
        <v>5585.1780506523428</v>
      </c>
    </row>
    <row r="60" spans="1:8">
      <c r="A60" s="1471" t="s">
        <v>1824</v>
      </c>
      <c r="B60" s="1472"/>
      <c r="C60" s="1473"/>
      <c r="D60" s="1472"/>
      <c r="E60" s="1472"/>
      <c r="F60" s="1474"/>
      <c r="G60" s="1472"/>
    </row>
    <row r="61" spans="1:8" ht="18.75" customHeight="1">
      <c r="A61" s="4378" t="s">
        <v>1809</v>
      </c>
      <c r="B61" s="1477" t="s">
        <v>1810</v>
      </c>
      <c r="C61" s="1478"/>
      <c r="D61" s="1477"/>
      <c r="E61" s="1477"/>
      <c r="F61" s="1477" t="s">
        <v>1811</v>
      </c>
      <c r="G61" s="1477"/>
      <c r="H61" s="4378" t="s">
        <v>835</v>
      </c>
    </row>
    <row r="62" spans="1:8" ht="66">
      <c r="A62" s="4379"/>
      <c r="B62" s="1480" t="s">
        <v>837</v>
      </c>
      <c r="C62" s="1481" t="s">
        <v>1812</v>
      </c>
      <c r="D62" s="1480" t="s">
        <v>898</v>
      </c>
      <c r="E62" s="1482" t="s">
        <v>1812</v>
      </c>
      <c r="F62" s="1483" t="s">
        <v>839</v>
      </c>
      <c r="G62" s="1482" t="s">
        <v>1812</v>
      </c>
      <c r="H62" s="4380"/>
    </row>
    <row r="63" spans="1:8" ht="15.6">
      <c r="A63" s="4379"/>
      <c r="B63" s="1484" t="s">
        <v>1813</v>
      </c>
      <c r="C63" s="1485" t="s">
        <v>244</v>
      </c>
      <c r="D63" s="1484" t="s">
        <v>1814</v>
      </c>
      <c r="E63" s="1486" t="s">
        <v>244</v>
      </c>
      <c r="F63" s="1483"/>
      <c r="G63" s="1522"/>
      <c r="H63" s="1484" t="s">
        <v>963</v>
      </c>
    </row>
    <row r="64" spans="1:8">
      <c r="A64" s="4380"/>
      <c r="B64" s="1483" t="s">
        <v>291</v>
      </c>
      <c r="C64" s="1485"/>
      <c r="D64" s="1483" t="s">
        <v>843</v>
      </c>
      <c r="E64" s="1486"/>
      <c r="F64" s="1483" t="s">
        <v>843</v>
      </c>
      <c r="G64" s="1486" t="s">
        <v>244</v>
      </c>
      <c r="H64" s="1483" t="s">
        <v>1815</v>
      </c>
    </row>
    <row r="65" spans="1:8">
      <c r="A65" s="1489" t="s">
        <v>697</v>
      </c>
      <c r="B65" s="1490">
        <v>556235.52000000002</v>
      </c>
      <c r="C65" s="1488">
        <f>B65/B53-1</f>
        <v>0.19530416001818507</v>
      </c>
      <c r="D65" s="1490">
        <v>233.02</v>
      </c>
      <c r="E65" s="1488">
        <f>D65/D53-1</f>
        <v>0.19528084124134404</v>
      </c>
      <c r="F65" s="1490">
        <v>1026.03</v>
      </c>
      <c r="G65" s="1488">
        <f>F65/F53-1</f>
        <v>0.1952958445461852</v>
      </c>
      <c r="H65" s="1491">
        <f>(B65*12/(F65-D65))</f>
        <v>8417.0770103781797</v>
      </c>
    </row>
    <row r="66" spans="1:8">
      <c r="A66" s="1489" t="s">
        <v>676</v>
      </c>
      <c r="B66" s="1490">
        <v>1016086.23</v>
      </c>
      <c r="C66" s="1488">
        <f>B66/B54-1</f>
        <v>0.19490268843342151</v>
      </c>
      <c r="D66" s="1490">
        <v>249.17</v>
      </c>
      <c r="E66" s="1488">
        <f>D66/D54-1</f>
        <v>0.19528926412741043</v>
      </c>
      <c r="F66" s="1490">
        <v>1721.28</v>
      </c>
      <c r="G66" s="1488">
        <f>F66/F54-1</f>
        <v>0.1953084310743527</v>
      </c>
      <c r="H66" s="1491">
        <f>(B66*12/(F66-D66))</f>
        <v>8282.69270638743</v>
      </c>
    </row>
    <row r="67" spans="1:8">
      <c r="A67" s="1489" t="s">
        <v>847</v>
      </c>
      <c r="B67" s="1490">
        <v>1443155.57</v>
      </c>
      <c r="C67" s="1488">
        <f>B67/B55-1</f>
        <v>0.19530416035472475</v>
      </c>
      <c r="D67" s="1490">
        <v>600.1</v>
      </c>
      <c r="E67" s="1488">
        <f>D67/D55-1</f>
        <v>0.15492686682063117</v>
      </c>
      <c r="F67" s="1490">
        <v>2789.99</v>
      </c>
      <c r="G67" s="1488">
        <f>F67/F55-1</f>
        <v>0.19530701077922297</v>
      </c>
      <c r="H67" s="1491">
        <f>(B67*12/(F67-D67))</f>
        <v>7908.0989638748979</v>
      </c>
    </row>
    <row r="68" spans="1:8">
      <c r="A68" s="1489" t="s">
        <v>681</v>
      </c>
      <c r="B68" s="1490">
        <v>2624875.9300000002</v>
      </c>
      <c r="C68" s="1488">
        <f>B68/B56-1</f>
        <v>0.19530415794797173</v>
      </c>
      <c r="D68" s="1490">
        <v>684.4</v>
      </c>
      <c r="E68" s="1488">
        <f>D68/D56-1</f>
        <v>0.15393694149384585</v>
      </c>
      <c r="F68" s="1490">
        <v>4322.84</v>
      </c>
      <c r="G68" s="1488">
        <f>F68/F56-1</f>
        <v>0.19530377268755594</v>
      </c>
      <c r="H68" s="1491">
        <f>(B68*12/(F68-D68))</f>
        <v>8657.1473378700775</v>
      </c>
    </row>
    <row r="69" spans="1:8" ht="27">
      <c r="A69" s="1489" t="s">
        <v>962</v>
      </c>
      <c r="B69" s="1490">
        <v>28996.04</v>
      </c>
      <c r="C69" s="1488">
        <f>B69/B57-1</f>
        <v>0.19530436811498264</v>
      </c>
      <c r="D69" s="1490">
        <v>273.31</v>
      </c>
      <c r="E69" s="1488">
        <f>D69/D57-1</f>
        <v>0.19532035862672203</v>
      </c>
      <c r="F69" s="1490">
        <v>335.61</v>
      </c>
      <c r="G69" s="1488">
        <f>F69/F57-1</f>
        <v>0.19532001282188283</v>
      </c>
      <c r="H69" s="1491">
        <f>(B69*12/(F69-D69))</f>
        <v>5585.1120385232734</v>
      </c>
    </row>
    <row r="72" spans="1:8">
      <c r="A72" s="1471" t="s">
        <v>1825</v>
      </c>
      <c r="B72" s="1472"/>
      <c r="C72" s="1473"/>
      <c r="D72" s="1472"/>
      <c r="E72" s="1472"/>
      <c r="F72" s="1474"/>
      <c r="G72" s="1472"/>
    </row>
    <row r="73" spans="1:8" ht="18.75" customHeight="1">
      <c r="A73" s="4378" t="s">
        <v>1809</v>
      </c>
      <c r="B73" s="1477" t="s">
        <v>1810</v>
      </c>
      <c r="C73" s="1478"/>
      <c r="D73" s="1477"/>
      <c r="E73" s="1477"/>
      <c r="F73" s="1477" t="s">
        <v>1811</v>
      </c>
      <c r="G73" s="1477"/>
      <c r="H73" s="4378" t="s">
        <v>835</v>
      </c>
    </row>
    <row r="74" spans="1:8" ht="66">
      <c r="A74" s="4379"/>
      <c r="B74" s="1480" t="s">
        <v>837</v>
      </c>
      <c r="C74" s="1481" t="s">
        <v>1812</v>
      </c>
      <c r="D74" s="1480" t="s">
        <v>898</v>
      </c>
      <c r="E74" s="1482" t="s">
        <v>1812</v>
      </c>
      <c r="F74" s="1483" t="s">
        <v>839</v>
      </c>
      <c r="G74" s="1482" t="s">
        <v>1812</v>
      </c>
      <c r="H74" s="4380"/>
    </row>
    <row r="75" spans="1:8" ht="15.6">
      <c r="A75" s="4379"/>
      <c r="B75" s="1484" t="s">
        <v>1813</v>
      </c>
      <c r="C75" s="1485" t="s">
        <v>244</v>
      </c>
      <c r="D75" s="1484" t="s">
        <v>1814</v>
      </c>
      <c r="E75" s="1486" t="s">
        <v>244</v>
      </c>
      <c r="F75" s="1483"/>
      <c r="G75" s="1522"/>
      <c r="H75" s="1484" t="s">
        <v>963</v>
      </c>
    </row>
    <row r="76" spans="1:8">
      <c r="A76" s="4380"/>
      <c r="B76" s="1483" t="s">
        <v>291</v>
      </c>
      <c r="C76" s="1485"/>
      <c r="D76" s="1483" t="s">
        <v>843</v>
      </c>
      <c r="E76" s="1486"/>
      <c r="F76" s="1483" t="s">
        <v>843</v>
      </c>
      <c r="G76" s="1486" t="s">
        <v>244</v>
      </c>
      <c r="H76" s="1483" t="s">
        <v>1815</v>
      </c>
    </row>
    <row r="77" spans="1:8">
      <c r="A77" s="1489" t="s">
        <v>697</v>
      </c>
      <c r="B77" s="1490">
        <v>604838.62</v>
      </c>
      <c r="C77" s="1488">
        <f>B77/B65-1</f>
        <v>8.7378634144040346E-2</v>
      </c>
      <c r="D77" s="1490">
        <v>253.38</v>
      </c>
      <c r="E77" s="1488">
        <f>D77/D65-1</f>
        <v>8.7374474294051874E-2</v>
      </c>
      <c r="F77" s="1490">
        <v>1115.69</v>
      </c>
      <c r="G77" s="1488">
        <f>F77/F65-1</f>
        <v>8.73853591025604E-2</v>
      </c>
      <c r="H77" s="1491">
        <f>(B77*12/(F77-D77))</f>
        <v>8417.0001971448764</v>
      </c>
    </row>
    <row r="78" spans="1:8">
      <c r="A78" s="1489" t="s">
        <v>676</v>
      </c>
      <c r="B78" s="1490">
        <v>1104870.47</v>
      </c>
      <c r="C78" s="1488">
        <f>B78/B66-1</f>
        <v>8.7378646987470665E-2</v>
      </c>
      <c r="D78" s="1490">
        <v>270.94</v>
      </c>
      <c r="E78" s="1488">
        <f>D78/D66-1</f>
        <v>8.7370068627844466E-2</v>
      </c>
      <c r="F78" s="1490">
        <v>1871.68</v>
      </c>
      <c r="G78" s="1488">
        <f>F78/F66-1</f>
        <v>8.7376835843093525E-2</v>
      </c>
      <c r="H78" s="1491">
        <f>(B78*12/(F78-D78))</f>
        <v>8282.6977772780101</v>
      </c>
    </row>
    <row r="79" spans="1:8">
      <c r="A79" s="1489" t="s">
        <v>847</v>
      </c>
      <c r="B79" s="1490">
        <v>1569256.54</v>
      </c>
      <c r="C79" s="1488">
        <f>B79/B67-1</f>
        <v>8.7378639296662897E-2</v>
      </c>
      <c r="D79" s="1490">
        <v>664.1</v>
      </c>
      <c r="E79" s="1488">
        <f>D79/D67-1</f>
        <v>0.10664889185135817</v>
      </c>
      <c r="F79" s="1490">
        <v>3033.77</v>
      </c>
      <c r="G79" s="1488">
        <f>F79/F67-1</f>
        <v>8.7376657264004676E-2</v>
      </c>
      <c r="H79" s="1491">
        <f>(B79*12/(F79-D79))</f>
        <v>7946.7092379951637</v>
      </c>
    </row>
    <row r="80" spans="1:8">
      <c r="A80" s="1489" t="s">
        <v>681</v>
      </c>
      <c r="B80" s="1490">
        <v>2854234.03</v>
      </c>
      <c r="C80" s="1488">
        <f>B80/B68-1</f>
        <v>8.7378644216528523E-2</v>
      </c>
      <c r="D80" s="1490">
        <v>757.5</v>
      </c>
      <c r="E80" s="1488">
        <f>D80/D68-1</f>
        <v>0.10680888369374641</v>
      </c>
      <c r="F80" s="1490">
        <v>4700.57</v>
      </c>
      <c r="G80" s="1488">
        <f>F80/F68-1</f>
        <v>8.7380055704120441E-2</v>
      </c>
      <c r="H80" s="1491">
        <f>(B80*12/(F80-D80))</f>
        <v>8686.3302857925428</v>
      </c>
    </row>
    <row r="81" spans="1:8" ht="27">
      <c r="A81" s="1489" t="s">
        <v>962</v>
      </c>
      <c r="B81" s="1490">
        <v>31529.67</v>
      </c>
      <c r="C81" s="1488">
        <f>B81/B69-1</f>
        <v>8.7378483406699514E-2</v>
      </c>
      <c r="D81" s="1490">
        <v>297.19</v>
      </c>
      <c r="E81" s="1488">
        <f>D81/D69-1</f>
        <v>8.737331235593282E-2</v>
      </c>
      <c r="F81" s="1490">
        <v>364.93</v>
      </c>
      <c r="G81" s="1488">
        <f>F81/F69-1</f>
        <v>8.7363308602246725E-2</v>
      </c>
      <c r="H81" s="1491">
        <f>(B81*12/(F81-D81))</f>
        <v>5585.4154118689094</v>
      </c>
    </row>
  </sheetData>
  <mergeCells count="14">
    <mergeCell ref="A5:A8"/>
    <mergeCell ref="H5:H6"/>
    <mergeCell ref="A16:A19"/>
    <mergeCell ref="H16:H17"/>
    <mergeCell ref="A27:A30"/>
    <mergeCell ref="H27:H28"/>
    <mergeCell ref="A73:A76"/>
    <mergeCell ref="H73:H74"/>
    <mergeCell ref="A38:A41"/>
    <mergeCell ref="H38:H39"/>
    <mergeCell ref="A49:A52"/>
    <mergeCell ref="H49:H50"/>
    <mergeCell ref="A61:A64"/>
    <mergeCell ref="H61:H6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&amp;R&amp;8&amp;P</oddFooter>
  </headerFooter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8">
    <tabColor rgb="FFC00000"/>
  </sheetPr>
  <dimension ref="A1:S67"/>
  <sheetViews>
    <sheetView topLeftCell="A18" workbookViewId="0">
      <selection activeCell="K8" sqref="K8"/>
    </sheetView>
  </sheetViews>
  <sheetFormatPr defaultColWidth="9.109375" defaultRowHeight="15.6"/>
  <cols>
    <col min="1" max="1" width="6" style="26" customWidth="1"/>
    <col min="2" max="2" width="42.6640625" style="26" customWidth="1"/>
    <col min="3" max="3" width="7.6640625" style="26" customWidth="1"/>
    <col min="4" max="4" width="11.109375" style="26" customWidth="1"/>
    <col min="5" max="5" width="12.44140625" style="26" customWidth="1"/>
    <col min="6" max="6" width="12.88671875" style="26" customWidth="1"/>
    <col min="7" max="7" width="12.44140625" style="26" customWidth="1"/>
    <col min="8" max="8" width="11" style="26" customWidth="1"/>
    <col min="9" max="9" width="13.109375" style="26" customWidth="1"/>
    <col min="10" max="10" width="10.44140625" style="26" customWidth="1"/>
    <col min="11" max="11" width="12" style="26" customWidth="1"/>
    <col min="12" max="13" width="9" style="172" customWidth="1"/>
    <col min="14" max="14" width="12.5546875" style="172" bestFit="1" customWidth="1"/>
    <col min="15" max="15" width="9.109375" style="26"/>
    <col min="16" max="16" width="10.44140625" style="26" customWidth="1"/>
    <col min="17" max="18" width="9.109375" style="26"/>
    <col min="19" max="19" width="11.6640625" style="26" customWidth="1"/>
    <col min="20" max="16384" width="9.109375" style="26"/>
  </cols>
  <sheetData>
    <row r="1" spans="1:14">
      <c r="A1" s="109" t="s">
        <v>1826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321"/>
      <c r="M1" s="321"/>
      <c r="N1" s="321"/>
    </row>
    <row r="2" spans="1:14">
      <c r="A2" s="109" t="s">
        <v>1262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321"/>
      <c r="M2" s="321"/>
      <c r="N2" s="321"/>
    </row>
    <row r="3" spans="1:14" ht="16.2" thickBot="1">
      <c r="A3" s="1523" t="s">
        <v>1829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321"/>
      <c r="M3" s="321"/>
      <c r="N3" s="321"/>
    </row>
    <row r="4" spans="1:14" ht="16.2" hidden="1" thickBot="1">
      <c r="B4" s="322" t="s">
        <v>893</v>
      </c>
      <c r="C4" s="322"/>
      <c r="D4" s="172"/>
      <c r="E4" s="172"/>
      <c r="F4" s="172"/>
      <c r="G4" s="172"/>
      <c r="H4" s="172"/>
      <c r="I4" s="172"/>
    </row>
    <row r="5" spans="1:14" ht="16.2" hidden="1" thickBot="1">
      <c r="B5" s="172"/>
      <c r="C5" s="172"/>
      <c r="D5" s="172"/>
      <c r="E5" s="172"/>
      <c r="H5" s="172"/>
      <c r="I5" s="172"/>
    </row>
    <row r="6" spans="1:14" ht="27.75" hidden="1" customHeight="1">
      <c r="B6" s="4202" t="s">
        <v>836</v>
      </c>
      <c r="C6" s="679"/>
      <c r="D6" s="4397" t="s">
        <v>837</v>
      </c>
      <c r="E6" s="4397" t="s">
        <v>898</v>
      </c>
      <c r="F6" s="4399" t="s">
        <v>839</v>
      </c>
    </row>
    <row r="7" spans="1:14" ht="48" hidden="1" customHeight="1">
      <c r="B7" s="4203"/>
      <c r="C7" s="680"/>
      <c r="D7" s="4398"/>
      <c r="E7" s="4398"/>
      <c r="F7" s="4399"/>
    </row>
    <row r="8" spans="1:14" ht="18.600000000000001" hidden="1" thickBot="1">
      <c r="B8" s="4203"/>
      <c r="C8" s="680"/>
      <c r="D8" s="323" t="s">
        <v>899</v>
      </c>
      <c r="E8" s="323" t="s">
        <v>900</v>
      </c>
      <c r="F8" s="81"/>
    </row>
    <row r="9" spans="1:14" ht="31.8" hidden="1" thickBot="1">
      <c r="B9" s="4204"/>
      <c r="C9" s="681"/>
      <c r="D9" s="81" t="s">
        <v>291</v>
      </c>
      <c r="E9" s="81" t="s">
        <v>251</v>
      </c>
      <c r="F9" s="81" t="s">
        <v>251</v>
      </c>
      <c r="G9" s="322" t="s">
        <v>835</v>
      </c>
    </row>
    <row r="10" spans="1:14" ht="16.2" hidden="1" thickBot="1">
      <c r="B10" s="81" t="s">
        <v>697</v>
      </c>
      <c r="C10" s="81"/>
      <c r="D10" s="324">
        <v>300621.82</v>
      </c>
      <c r="E10" s="324">
        <v>176.8</v>
      </c>
      <c r="F10" s="325">
        <v>592.41</v>
      </c>
      <c r="G10" s="326">
        <f>(D10*12/(F10-E10))</f>
        <v>8679.9206948822211</v>
      </c>
    </row>
    <row r="11" spans="1:14" ht="16.2" hidden="1" thickBot="1">
      <c r="B11" s="81" t="s">
        <v>676</v>
      </c>
      <c r="C11" s="81"/>
      <c r="D11" s="324">
        <v>490793.23</v>
      </c>
      <c r="E11" s="324">
        <v>180</v>
      </c>
      <c r="F11" s="325">
        <v>969.48</v>
      </c>
      <c r="G11" s="326">
        <f>(D11*12/(F11-E11))</f>
        <v>7459.9974160206712</v>
      </c>
      <c r="H11" s="327"/>
      <c r="I11" s="328"/>
      <c r="L11" s="329"/>
    </row>
    <row r="12" spans="1:14" ht="16.2" hidden="1" thickBot="1">
      <c r="B12" s="330" t="s">
        <v>847</v>
      </c>
      <c r="C12" s="330"/>
      <c r="D12" s="324">
        <v>680321</v>
      </c>
      <c r="E12" s="324">
        <v>210</v>
      </c>
      <c r="F12" s="325">
        <v>1441.35</v>
      </c>
      <c r="G12" s="326">
        <f>(D12*12/(F12-E12))</f>
        <v>6630.0012181751745</v>
      </c>
      <c r="H12" s="99" t="s">
        <v>901</v>
      </c>
    </row>
    <row r="13" spans="1:14" ht="16.2" hidden="1" thickBot="1">
      <c r="B13" s="81" t="s">
        <v>681</v>
      </c>
      <c r="C13" s="81"/>
      <c r="D13" s="324">
        <v>851305.82</v>
      </c>
      <c r="E13" s="324">
        <v>432</v>
      </c>
      <c r="F13" s="325">
        <v>2296.17</v>
      </c>
      <c r="G13" s="326">
        <f>(D13*12/(F13-E13))</f>
        <v>5480.0097845153605</v>
      </c>
      <c r="H13" s="331">
        <f>(365-53)*16</f>
        <v>4992</v>
      </c>
      <c r="I13" s="26" t="s">
        <v>892</v>
      </c>
      <c r="L13" s="172" t="s">
        <v>892</v>
      </c>
    </row>
    <row r="14" spans="1:14" ht="16.2" hidden="1" thickBot="1">
      <c r="B14" s="85"/>
      <c r="C14" s="85"/>
      <c r="D14" s="332"/>
      <c r="E14" s="332"/>
      <c r="F14" s="333"/>
      <c r="G14" s="326"/>
      <c r="H14" s="331"/>
    </row>
    <row r="15" spans="1:14" ht="16.2" thickBot="1">
      <c r="A15" s="4400"/>
      <c r="B15" s="4403" t="s">
        <v>902</v>
      </c>
      <c r="C15" s="683"/>
      <c r="D15" s="4406" t="s">
        <v>903</v>
      </c>
      <c r="E15" s="4407"/>
      <c r="F15" s="334" t="s">
        <v>904</v>
      </c>
      <c r="G15" s="335"/>
      <c r="H15" s="336"/>
      <c r="I15" s="337" t="s">
        <v>905</v>
      </c>
      <c r="J15" s="338"/>
      <c r="K15" s="338"/>
      <c r="L15" s="339"/>
      <c r="M15" s="340"/>
      <c r="N15" s="341"/>
    </row>
    <row r="16" spans="1:14" ht="27.6">
      <c r="A16" s="4401"/>
      <c r="B16" s="4404"/>
      <c r="C16" s="711"/>
      <c r="D16" s="4408"/>
      <c r="E16" s="4409"/>
      <c r="F16" s="342" t="s">
        <v>906</v>
      </c>
      <c r="G16" s="343"/>
      <c r="H16" s="344" t="s">
        <v>907</v>
      </c>
      <c r="I16" s="345" t="s">
        <v>908</v>
      </c>
      <c r="J16" s="346"/>
      <c r="K16" s="347"/>
      <c r="L16" s="756" t="s">
        <v>1248</v>
      </c>
      <c r="M16" s="348"/>
      <c r="N16" s="1448"/>
    </row>
    <row r="17" spans="1:19" s="357" customFormat="1" ht="80.25" customHeight="1">
      <c r="A17" s="4402"/>
      <c r="B17" s="4405"/>
      <c r="C17" s="682"/>
      <c r="D17" s="174" t="s">
        <v>909</v>
      </c>
      <c r="E17" s="349" t="s">
        <v>910</v>
      </c>
      <c r="F17" s="350" t="s">
        <v>911</v>
      </c>
      <c r="G17" s="17" t="s">
        <v>912</v>
      </c>
      <c r="H17" s="351" t="s">
        <v>913</v>
      </c>
      <c r="I17" s="352" t="s">
        <v>914</v>
      </c>
      <c r="J17" s="174" t="s">
        <v>915</v>
      </c>
      <c r="K17" s="353" t="s">
        <v>419</v>
      </c>
      <c r="L17" s="354" t="s">
        <v>1260</v>
      </c>
      <c r="M17" s="355" t="s">
        <v>915</v>
      </c>
      <c r="N17" s="356" t="s">
        <v>419</v>
      </c>
    </row>
    <row r="18" spans="1:19" s="369" customFormat="1" ht="28.5" customHeight="1">
      <c r="A18" s="358">
        <v>1</v>
      </c>
      <c r="B18" s="359">
        <v>2</v>
      </c>
      <c r="C18" s="359"/>
      <c r="D18" s="360">
        <v>3</v>
      </c>
      <c r="E18" s="361">
        <v>4</v>
      </c>
      <c r="F18" s="362">
        <v>5</v>
      </c>
      <c r="G18" s="360">
        <v>6</v>
      </c>
      <c r="H18" s="363">
        <v>7</v>
      </c>
      <c r="I18" s="364" t="s">
        <v>916</v>
      </c>
      <c r="J18" s="365" t="s">
        <v>917</v>
      </c>
      <c r="K18" s="366" t="s">
        <v>918</v>
      </c>
      <c r="L18" s="362">
        <v>11</v>
      </c>
      <c r="M18" s="360">
        <v>12</v>
      </c>
      <c r="N18" s="363">
        <v>13</v>
      </c>
      <c r="O18" s="367" t="s">
        <v>919</v>
      </c>
      <c r="P18" s="368"/>
      <c r="Q18" s="1452" t="s">
        <v>1806</v>
      </c>
      <c r="R18" s="1453"/>
      <c r="S18" s="1454"/>
    </row>
    <row r="19" spans="1:19" ht="17.399999999999999">
      <c r="A19" s="370" t="s">
        <v>920</v>
      </c>
      <c r="B19" s="300" t="s">
        <v>921</v>
      </c>
      <c r="C19" s="300"/>
      <c r="D19" s="371"/>
      <c r="E19" s="372"/>
      <c r="F19" s="373"/>
      <c r="G19" s="371"/>
      <c r="H19" s="374"/>
      <c r="I19" s="375">
        <f>'НВВ на содержание'!E8</f>
        <v>18224.641846154409</v>
      </c>
      <c r="J19" s="376">
        <f>E40*E41/1000</f>
        <v>7537.4764162647625</v>
      </c>
      <c r="K19" s="377">
        <f>ROUND((I19+J19),1)</f>
        <v>25762.1</v>
      </c>
      <c r="L19" s="378"/>
      <c r="M19" s="379"/>
      <c r="N19" s="380">
        <f>N23-N31+N34</f>
        <v>18273.302489170001</v>
      </c>
      <c r="O19" s="367">
        <f>$E$40*$E$41/1000</f>
        <v>7537.4764162647625</v>
      </c>
      <c r="Q19" s="1452">
        <f>N23+K34-N32-K33</f>
        <v>18194.355542899997</v>
      </c>
      <c r="R19" s="1454"/>
      <c r="S19" s="1455"/>
    </row>
    <row r="20" spans="1:19" ht="16.2" thickBot="1">
      <c r="A20" s="381"/>
      <c r="B20" s="371" t="s">
        <v>922</v>
      </c>
      <c r="C20" s="371"/>
      <c r="D20" s="371"/>
      <c r="E20" s="372"/>
      <c r="F20" s="382"/>
      <c r="G20" s="383"/>
      <c r="H20" s="384"/>
      <c r="I20" s="729">
        <f>I23+I34-I31</f>
        <v>14460.758379855997</v>
      </c>
      <c r="J20" s="385">
        <f>ROUND((J23+J34-J31),1)</f>
        <v>4048.8</v>
      </c>
      <c r="K20" s="377">
        <f>ROUND((I20+J20),1)</f>
        <v>18509.599999999999</v>
      </c>
      <c r="L20" s="386"/>
      <c r="M20" s="298"/>
      <c r="N20" s="387"/>
      <c r="Q20" s="367"/>
    </row>
    <row r="21" spans="1:19" ht="1.5" hidden="1" customHeight="1">
      <c r="A21" s="388"/>
      <c r="B21" s="389" t="s">
        <v>923</v>
      </c>
      <c r="C21" s="389"/>
      <c r="D21" s="389"/>
      <c r="E21" s="390"/>
      <c r="F21" s="391"/>
      <c r="G21" s="392"/>
      <c r="H21" s="393"/>
      <c r="I21" s="394">
        <f>K19-K20</f>
        <v>7252.5</v>
      </c>
      <c r="J21" s="395"/>
      <c r="K21" s="396"/>
      <c r="L21" s="397"/>
      <c r="M21" s="398"/>
      <c r="N21" s="399"/>
    </row>
    <row r="22" spans="1:19" ht="15.75" customHeight="1">
      <c r="A22" s="4385" t="s">
        <v>924</v>
      </c>
      <c r="B22" s="4387" t="s">
        <v>1799</v>
      </c>
      <c r="C22" s="4388"/>
      <c r="D22" s="4389"/>
      <c r="E22" s="4389"/>
      <c r="F22" s="400"/>
      <c r="G22" s="401"/>
      <c r="H22" s="402"/>
      <c r="I22" s="403" t="s">
        <v>925</v>
      </c>
      <c r="J22" s="404"/>
      <c r="K22" s="405"/>
      <c r="L22" s="406" t="s">
        <v>926</v>
      </c>
      <c r="M22" s="404"/>
      <c r="N22" s="407"/>
    </row>
    <row r="23" spans="1:19" ht="24" customHeight="1">
      <c r="A23" s="4386"/>
      <c r="B23" s="4390"/>
      <c r="C23" s="4391"/>
      <c r="D23" s="4391"/>
      <c r="E23" s="4391"/>
      <c r="F23" s="408"/>
      <c r="G23" s="409"/>
      <c r="H23" s="410"/>
      <c r="I23" s="411">
        <f>SUM(I25:I29)</f>
        <v>11262.331290095999</v>
      </c>
      <c r="J23" s="412">
        <f>SUM(J25:J29)</f>
        <v>3136.3882511699999</v>
      </c>
      <c r="K23" s="413">
        <f>I23+J23</f>
        <v>14398.719541265998</v>
      </c>
      <c r="L23" s="386"/>
      <c r="M23" s="298"/>
      <c r="N23" s="413">
        <f>SUM(N25:N29)</f>
        <v>14090</v>
      </c>
      <c r="O23" s="716">
        <f>N23-K23</f>
        <v>-308.71954126599849</v>
      </c>
      <c r="P23" s="730">
        <f>N19-K20</f>
        <v>-236.29751082999792</v>
      </c>
    </row>
    <row r="24" spans="1:19" ht="27.75" customHeight="1">
      <c r="A24" s="373"/>
      <c r="B24" s="371" t="s">
        <v>927</v>
      </c>
      <c r="C24" s="712" t="s">
        <v>1250</v>
      </c>
      <c r="D24" s="1461">
        <f>SUM(D25:D29)</f>
        <v>1.2511000000000001</v>
      </c>
      <c r="E24" s="1462">
        <f>SUM(E25:E29)</f>
        <v>9842.4600000000009</v>
      </c>
      <c r="F24" s="373"/>
      <c r="G24" s="371"/>
      <c r="H24" s="374"/>
      <c r="I24" s="411"/>
      <c r="J24" s="412"/>
      <c r="K24" s="413"/>
      <c r="L24" s="386"/>
      <c r="M24" s="298"/>
      <c r="N24" s="413"/>
    </row>
    <row r="25" spans="1:19">
      <c r="A25" s="381"/>
      <c r="B25" s="415" t="s">
        <v>1798</v>
      </c>
      <c r="C25" s="1457">
        <f>E25/D25</f>
        <v>8189.3585280954758</v>
      </c>
      <c r="D25" s="1524">
        <v>0.60329999999999995</v>
      </c>
      <c r="E25" s="1525">
        <v>4940.6400000000003</v>
      </c>
      <c r="F25" s="416">
        <f>E62</f>
        <v>427956.36</v>
      </c>
      <c r="G25" s="417">
        <f>'изм.приказ 27 от 28.04.2011'!D42</f>
        <v>179.28</v>
      </c>
      <c r="H25" s="418">
        <f>'изм.приказ 27 от 28.04.2011'!F42</f>
        <v>789.41</v>
      </c>
      <c r="I25" s="664">
        <f>D25*F25*12/1000</f>
        <v>3098.2328638559998</v>
      </c>
      <c r="J25" s="664">
        <f>E25*G25/1000</f>
        <v>885.75793920000001</v>
      </c>
      <c r="K25" s="669">
        <f>I25+J25</f>
        <v>3983.990803056</v>
      </c>
      <c r="L25" s="1444"/>
      <c r="M25" s="664"/>
      <c r="N25" s="669">
        <f>ROUND((E25*H25/1000),1)</f>
        <v>3900.2</v>
      </c>
      <c r="O25" s="1533">
        <f>'2012г.об.под факт2010'!N23-'2012г.об.по стр-ре СЭ'!N23</f>
        <v>1460.7999999999993</v>
      </c>
    </row>
    <row r="26" spans="1:19">
      <c r="A26" s="381"/>
      <c r="B26" s="415" t="s">
        <v>928</v>
      </c>
      <c r="C26" s="1457">
        <f>E26/D26</f>
        <v>7745.3907815631255</v>
      </c>
      <c r="D26" s="1461">
        <v>0.5988</v>
      </c>
      <c r="E26" s="1525">
        <v>4637.9399999999996</v>
      </c>
      <c r="F26" s="416">
        <f>E64</f>
        <v>1110334.72</v>
      </c>
      <c r="G26" s="417">
        <f>'изм.приказ 27 от 28.04.2011'!D44</f>
        <v>469.5</v>
      </c>
      <c r="H26" s="418">
        <f>'изм.приказ 27 от 28.04.2011'!F44</f>
        <v>2146.56</v>
      </c>
      <c r="I26" s="664">
        <f>D26*F26*12/1000</f>
        <v>7978.4211640319991</v>
      </c>
      <c r="J26" s="664">
        <f>E26*G26/1000</f>
        <v>2177.5128299999997</v>
      </c>
      <c r="K26" s="669">
        <f>I26+J26</f>
        <v>10155.933994031999</v>
      </c>
      <c r="L26" s="1444"/>
      <c r="M26" s="664"/>
      <c r="N26" s="669">
        <f>ROUND((E26*H26/1000),1)</f>
        <v>9955.6</v>
      </c>
      <c r="O26" s="1534" t="s">
        <v>1828</v>
      </c>
    </row>
    <row r="27" spans="1:19">
      <c r="A27" s="381"/>
      <c r="B27" s="419" t="s">
        <v>1797</v>
      </c>
      <c r="C27" s="1457">
        <f>E27/D27</f>
        <v>7520.833333333333</v>
      </c>
      <c r="D27" s="1461">
        <v>7.1999999999999998E-3</v>
      </c>
      <c r="E27" s="1462">
        <v>54.15</v>
      </c>
      <c r="F27" s="416">
        <f>'изм.приказ 27 от 28.04.2011'!B45</f>
        <v>2019526.48</v>
      </c>
      <c r="G27" s="417">
        <f>'изм.приказ 27 от 28.04.2011'!D45</f>
        <v>535.79999999999995</v>
      </c>
      <c r="H27" s="418">
        <f>'изм.приказ 27 от 28.04.2011'!F45</f>
        <v>3325.91</v>
      </c>
      <c r="I27" s="664">
        <f>D27*F27*12/1000</f>
        <v>174.48708787200002</v>
      </c>
      <c r="J27" s="664">
        <f>E27*G27/1000</f>
        <v>29.013569999999994</v>
      </c>
      <c r="K27" s="669">
        <f>I27+J27</f>
        <v>203.500657872</v>
      </c>
      <c r="L27" s="1444"/>
      <c r="M27" s="664"/>
      <c r="N27" s="669">
        <f>ROUND((E27*H27/1000),1)</f>
        <v>180.1</v>
      </c>
    </row>
    <row r="28" spans="1:19" s="485" customFormat="1" ht="28.2">
      <c r="A28" s="381"/>
      <c r="B28" s="419" t="s">
        <v>1796</v>
      </c>
      <c r="C28" s="1457">
        <f>E28/D28</f>
        <v>4967.4418604651164</v>
      </c>
      <c r="D28" s="1461">
        <v>4.3E-3</v>
      </c>
      <c r="E28" s="1462">
        <v>21.36</v>
      </c>
      <c r="F28" s="416">
        <f>'изм.приказ 27 от 28.04.2011'!B46</f>
        <v>22308.959999999999</v>
      </c>
      <c r="G28" s="417">
        <f>'изм.приказ 27 от 28.04.2011'!D46</f>
        <v>210.28899999999999</v>
      </c>
      <c r="H28" s="418">
        <f>'изм.приказ 27 от 28.04.2011'!F46</f>
        <v>258.20999999999998</v>
      </c>
      <c r="I28" s="664">
        <f>D28*F28*12/1000</f>
        <v>1.1511423359999999</v>
      </c>
      <c r="J28" s="664">
        <f>E28*G28/1000</f>
        <v>4.49177304</v>
      </c>
      <c r="K28" s="669">
        <f>I28+J28</f>
        <v>5.6429153759999995</v>
      </c>
      <c r="L28" s="1444"/>
      <c r="M28" s="664"/>
      <c r="N28" s="669">
        <f>ROUND((E28*H28/1000),1)</f>
        <v>5.5</v>
      </c>
    </row>
    <row r="29" spans="1:19" s="485" customFormat="1" ht="28.8" thickBot="1">
      <c r="A29" s="495"/>
      <c r="B29" s="419" t="s">
        <v>929</v>
      </c>
      <c r="C29" s="734">
        <f>E29/D29</f>
        <v>5023.2000000000007</v>
      </c>
      <c r="D29" s="1526">
        <v>3.7499999999999999E-2</v>
      </c>
      <c r="E29" s="1527">
        <v>188.37</v>
      </c>
      <c r="F29" s="502">
        <f>F28</f>
        <v>22308.959999999999</v>
      </c>
      <c r="G29" s="503">
        <f>G28</f>
        <v>210.28899999999999</v>
      </c>
      <c r="H29" s="504">
        <f>G66</f>
        <v>258.20999999999998</v>
      </c>
      <c r="I29" s="422">
        <f>D29*F29*12/1000</f>
        <v>10.039031999999999</v>
      </c>
      <c r="J29" s="423">
        <f>E29*G29/1000</f>
        <v>39.61213893</v>
      </c>
      <c r="K29" s="424">
        <f>I29+J29</f>
        <v>49.651170929999999</v>
      </c>
      <c r="L29" s="422"/>
      <c r="M29" s="1445"/>
      <c r="N29" s="424">
        <f>ROUND((E29*H29/1000),1)</f>
        <v>48.6</v>
      </c>
      <c r="O29" s="26"/>
    </row>
    <row r="30" spans="1:19" ht="16.5" customHeight="1">
      <c r="A30" s="4392" t="s">
        <v>930</v>
      </c>
      <c r="B30" s="4393" t="s">
        <v>1800</v>
      </c>
      <c r="C30" s="1458"/>
      <c r="D30" s="425" t="s">
        <v>931</v>
      </c>
      <c r="E30" s="456"/>
      <c r="F30" s="458" t="s">
        <v>932</v>
      </c>
      <c r="G30" s="425"/>
      <c r="H30" s="425"/>
      <c r="I30" s="426" t="s">
        <v>925</v>
      </c>
      <c r="J30" s="427"/>
      <c r="K30" s="428"/>
      <c r="L30" s="406" t="s">
        <v>926</v>
      </c>
      <c r="M30" s="427"/>
      <c r="N30" s="428"/>
    </row>
    <row r="31" spans="1:19" ht="27.6">
      <c r="A31" s="4386"/>
      <c r="B31" s="4394"/>
      <c r="C31" s="1459"/>
      <c r="D31" s="355" t="s">
        <v>909</v>
      </c>
      <c r="E31" s="457" t="s">
        <v>910</v>
      </c>
      <c r="F31" s="459" t="s">
        <v>933</v>
      </c>
      <c r="G31" s="429" t="s">
        <v>251</v>
      </c>
      <c r="H31" s="506" t="s">
        <v>1118</v>
      </c>
      <c r="I31" s="1444">
        <f>SUM(I32:I33)</f>
        <v>2325.3075864800003</v>
      </c>
      <c r="J31" s="664">
        <f>SUM(J32:J33)</f>
        <v>1689.7856701799999</v>
      </c>
      <c r="K31" s="1456">
        <f>SUM(K32:K33)</f>
        <v>4015.09325666</v>
      </c>
      <c r="L31" s="722">
        <f>SUM(L33:L33)</f>
        <v>0</v>
      </c>
      <c r="M31" s="573">
        <f>SUM(M33:M33)</f>
        <v>0</v>
      </c>
      <c r="N31" s="735">
        <f>SUM(N32:N33)</f>
        <v>3943.6471237199994</v>
      </c>
    </row>
    <row r="32" spans="1:19" ht="22.5" customHeight="1">
      <c r="A32" s="430">
        <v>1</v>
      </c>
      <c r="B32" s="371" t="s">
        <v>1802</v>
      </c>
      <c r="C32" s="733">
        <f>E32/D32</f>
        <v>7183.2162162162167</v>
      </c>
      <c r="D32" s="1538">
        <v>7.3999999999999996E-2</v>
      </c>
      <c r="E32" s="1450">
        <v>531.55799999999999</v>
      </c>
      <c r="F32" s="720">
        <v>279175.21000000002</v>
      </c>
      <c r="G32" s="721">
        <v>108.71</v>
      </c>
      <c r="H32" s="1451">
        <f>K32/E32*1000+12.17</f>
        <v>587.25918435993799</v>
      </c>
      <c r="I32" s="386">
        <f>$D32*$F32*12/1000</f>
        <v>247.90758647999999</v>
      </c>
      <c r="J32" s="298">
        <f>$E32*$G32/1000</f>
        <v>57.785670179999997</v>
      </c>
      <c r="K32" s="387">
        <f>I32+J32</f>
        <v>305.69325665999997</v>
      </c>
      <c r="L32" s="573"/>
      <c r="M32" s="573"/>
      <c r="N32" s="710">
        <f>E32*H32/1000</f>
        <v>312.16231751999993</v>
      </c>
    </row>
    <row r="33" spans="1:15" ht="22.5" customHeight="1" thickBot="1">
      <c r="A33" s="430">
        <v>1</v>
      </c>
      <c r="B33" s="371" t="s">
        <v>1803</v>
      </c>
      <c r="C33" s="733">
        <f>E33/D33</f>
        <v>8745.2795698924729</v>
      </c>
      <c r="D33" s="1536">
        <v>9.2999999999999999E-2</v>
      </c>
      <c r="E33" s="1440">
        <v>813.31100000000004</v>
      </c>
      <c r="F33" s="720">
        <v>1861465.03</v>
      </c>
      <c r="G33" s="721">
        <v>2006.61</v>
      </c>
      <c r="H33" s="1451">
        <f>K33/E33*1000-95.8</f>
        <v>4465.0629417283171</v>
      </c>
      <c r="I33" s="664">
        <f>ROUND(($D$33*$F$33*12/1000),1)</f>
        <v>2077.4</v>
      </c>
      <c r="J33" s="664">
        <f>ROUND(($E$33*$G$33/1000),1)</f>
        <v>1632</v>
      </c>
      <c r="K33" s="669">
        <f>I33+J33</f>
        <v>3709.4</v>
      </c>
      <c r="L33" s="573"/>
      <c r="M33" s="573"/>
      <c r="N33" s="710">
        <f>E33*H33/1000</f>
        <v>3631.4848061999996</v>
      </c>
    </row>
    <row r="34" spans="1:15" ht="47.4" thickBot="1">
      <c r="A34" s="744" t="s">
        <v>935</v>
      </c>
      <c r="B34" s="745" t="s">
        <v>1801</v>
      </c>
      <c r="C34" s="1460"/>
      <c r="D34" s="746"/>
      <c r="E34" s="747"/>
      <c r="F34" s="748" t="s">
        <v>933</v>
      </c>
      <c r="G34" s="749" t="s">
        <v>251</v>
      </c>
      <c r="H34" s="750" t="s">
        <v>251</v>
      </c>
      <c r="I34" s="751">
        <f>SUM(I35:I37)</f>
        <v>5523.7346762400002</v>
      </c>
      <c r="J34" s="752">
        <f>SUM(J35:J37)</f>
        <v>2602.1831841799999</v>
      </c>
      <c r="K34" s="753">
        <f>SUM(K35:K37)</f>
        <v>8125.9178604199997</v>
      </c>
      <c r="L34" s="754">
        <f>SUM(L36:L37)</f>
        <v>0</v>
      </c>
      <c r="M34" s="755">
        <f>SUM(M36:M37)</f>
        <v>0</v>
      </c>
      <c r="N34" s="753">
        <f>SUM(N35:N37)</f>
        <v>8126.94961289</v>
      </c>
    </row>
    <row r="35" spans="1:15">
      <c r="A35" s="736">
        <v>1</v>
      </c>
      <c r="B35" s="454" t="s">
        <v>934</v>
      </c>
      <c r="C35" s="737">
        <f>E35/D35</f>
        <v>7858.2769336227584</v>
      </c>
      <c r="D35" s="1535">
        <f>D24+D36+D37+D32+D33+G40</f>
        <v>4.3765000000000001</v>
      </c>
      <c r="E35" s="1446">
        <f>E24+E36+E37+E32+E33+E40</f>
        <v>34391.749000000003</v>
      </c>
      <c r="F35" s="738">
        <v>451.08</v>
      </c>
      <c r="G35" s="739">
        <v>0.82</v>
      </c>
      <c r="H35" s="1451">
        <f>K35/E35*1000+0.03</f>
        <v>1.5388227592030868</v>
      </c>
      <c r="I35" s="740">
        <f>$D$35*$F$35*12/1000</f>
        <v>23.689819440000001</v>
      </c>
      <c r="J35" s="741">
        <f>$E$35*$G$35/1000</f>
        <v>28.20123418</v>
      </c>
      <c r="K35" s="742">
        <f>I35+J35</f>
        <v>51.891053620000001</v>
      </c>
      <c r="L35" s="743"/>
      <c r="M35" s="741"/>
      <c r="N35" s="742">
        <f>E35*H35/1000</f>
        <v>52.922806090000009</v>
      </c>
    </row>
    <row r="36" spans="1:15">
      <c r="A36" s="455">
        <v>2</v>
      </c>
      <c r="B36" s="371" t="s">
        <v>960</v>
      </c>
      <c r="C36" s="733">
        <f>E36/D36</f>
        <v>7891.3725490196084</v>
      </c>
      <c r="D36" s="1536">
        <v>2.5499999999999998</v>
      </c>
      <c r="E36" s="713">
        <v>20123</v>
      </c>
      <c r="F36" s="723">
        <v>169906.8</v>
      </c>
      <c r="G36" s="724">
        <v>114.55</v>
      </c>
      <c r="H36" s="725">
        <f>K36/E36*1000</f>
        <v>372.91843810565024</v>
      </c>
      <c r="I36" s="386">
        <f>$D36*$F36*12/1000</f>
        <v>5199.1480799999999</v>
      </c>
      <c r="J36" s="298">
        <f>$E36*$G36/1000</f>
        <v>2305.0896499999999</v>
      </c>
      <c r="K36" s="387">
        <f>I36+J36</f>
        <v>7504.2377299999998</v>
      </c>
      <c r="L36" s="501"/>
      <c r="M36" s="298"/>
      <c r="N36" s="387">
        <f>E36*H36/1000</f>
        <v>7504.2377299999998</v>
      </c>
    </row>
    <row r="37" spans="1:15" ht="16.2" thickBot="1">
      <c r="A37" s="431">
        <v>3</v>
      </c>
      <c r="B37" s="383" t="s">
        <v>1804</v>
      </c>
      <c r="C37" s="734">
        <f>E37/D37</f>
        <v>6607.8431372549021</v>
      </c>
      <c r="D37" s="1537">
        <v>0.10199999999999999</v>
      </c>
      <c r="E37" s="714">
        <v>674</v>
      </c>
      <c r="F37" s="726">
        <v>245830.7</v>
      </c>
      <c r="G37" s="727">
        <v>398.95</v>
      </c>
      <c r="H37" s="728">
        <f>K37/E37*1000</f>
        <v>845.38438694362014</v>
      </c>
      <c r="I37" s="719">
        <f>$D$37*$F$37*12/1000</f>
        <v>300.8967768</v>
      </c>
      <c r="J37" s="718">
        <f>$E$37*$G$37/1000</f>
        <v>268.89229999999998</v>
      </c>
      <c r="K37" s="757">
        <f>I37+J37</f>
        <v>569.78907679999998</v>
      </c>
      <c r="L37" s="731"/>
      <c r="M37" s="732"/>
      <c r="N37" s="424">
        <f>E37*H37/1000</f>
        <v>569.78907679999998</v>
      </c>
    </row>
    <row r="38" spans="1:15" hidden="1">
      <c r="F38" s="172"/>
      <c r="G38" s="172"/>
      <c r="H38" s="172"/>
      <c r="L38" s="26"/>
      <c r="M38" s="26"/>
      <c r="N38" s="26"/>
    </row>
    <row r="39" spans="1:15">
      <c r="B39" s="99" t="s">
        <v>851</v>
      </c>
      <c r="C39" s="99"/>
      <c r="L39" s="26"/>
      <c r="M39" s="26"/>
      <c r="N39" s="26"/>
    </row>
    <row r="40" spans="1:15">
      <c r="D40" s="99" t="s">
        <v>1805</v>
      </c>
      <c r="E40" s="1532">
        <v>2407.42</v>
      </c>
      <c r="F40" s="26" t="s">
        <v>936</v>
      </c>
      <c r="G40" s="26">
        <v>0.30640000000000001</v>
      </c>
      <c r="H40" s="715">
        <f>E36+E37+E29+E40</f>
        <v>23392.79</v>
      </c>
      <c r="L40" s="26"/>
      <c r="M40" s="26"/>
      <c r="N40" s="26"/>
    </row>
    <row r="41" spans="1:15">
      <c r="D41" s="99" t="s">
        <v>937</v>
      </c>
      <c r="E41" s="432">
        <f>Расчет!I2</f>
        <v>3130.935364940377</v>
      </c>
      <c r="F41" s="26" t="s">
        <v>938</v>
      </c>
      <c r="L41" s="26"/>
      <c r="M41" s="26"/>
      <c r="N41" s="26"/>
    </row>
    <row r="42" spans="1:15" hidden="1"/>
    <row r="43" spans="1:15" hidden="1">
      <c r="E43" s="26" t="s">
        <v>938</v>
      </c>
      <c r="G43" s="507" t="s">
        <v>1257</v>
      </c>
      <c r="H43" s="507"/>
      <c r="I43" s="507"/>
      <c r="J43" s="507"/>
      <c r="K43" s="507"/>
    </row>
    <row r="44" spans="1:15" hidden="1">
      <c r="E44" s="514"/>
      <c r="F44" s="513"/>
      <c r="G44" s="508" t="s">
        <v>932</v>
      </c>
      <c r="H44" s="508"/>
      <c r="I44" s="508"/>
      <c r="J44" s="512" t="s">
        <v>1119</v>
      </c>
      <c r="K44" s="512"/>
      <c r="L44" s="26"/>
      <c r="M44" s="26"/>
      <c r="N44" s="26"/>
      <c r="O44" s="433"/>
    </row>
    <row r="45" spans="1:15" ht="27" hidden="1">
      <c r="E45" s="514"/>
      <c r="F45" s="513"/>
      <c r="G45" s="509" t="s">
        <v>933</v>
      </c>
      <c r="H45" s="509" t="s">
        <v>251</v>
      </c>
      <c r="I45" s="510" t="s">
        <v>1118</v>
      </c>
      <c r="J45" s="507"/>
      <c r="K45" s="507"/>
      <c r="L45" s="26"/>
      <c r="M45" s="26"/>
      <c r="N45" s="26"/>
      <c r="O45" s="434"/>
    </row>
    <row r="46" spans="1:15" hidden="1">
      <c r="E46" s="514"/>
      <c r="F46" s="513"/>
      <c r="G46" s="231"/>
      <c r="H46" s="231"/>
      <c r="I46" s="231"/>
      <c r="J46" s="507"/>
      <c r="K46" s="507"/>
      <c r="L46" s="26"/>
      <c r="M46" s="26"/>
      <c r="N46" s="26"/>
      <c r="O46" s="433"/>
    </row>
    <row r="47" spans="1:15" hidden="1">
      <c r="E47" s="514"/>
      <c r="F47" s="513" t="s">
        <v>1258</v>
      </c>
      <c r="G47" s="231"/>
      <c r="H47" s="231"/>
      <c r="I47" s="231"/>
      <c r="J47" s="507"/>
      <c r="K47" s="507"/>
    </row>
    <row r="48" spans="1:15" hidden="1">
      <c r="E48" s="514"/>
      <c r="F48" s="513" t="s">
        <v>934</v>
      </c>
      <c r="G48" s="511"/>
      <c r="H48" s="511"/>
      <c r="I48" s="511"/>
      <c r="J48" s="507"/>
      <c r="K48" s="511"/>
    </row>
    <row r="49" spans="2:14" hidden="1">
      <c r="E49" s="514"/>
      <c r="F49" s="513" t="s">
        <v>960</v>
      </c>
      <c r="G49" s="511"/>
      <c r="H49" s="511"/>
      <c r="I49" s="511"/>
      <c r="J49" s="507"/>
      <c r="K49" s="511"/>
    </row>
    <row r="50" spans="2:14" hidden="1">
      <c r="E50" s="514"/>
      <c r="F50" s="513" t="s">
        <v>1255</v>
      </c>
      <c r="G50" s="511"/>
      <c r="H50" s="511"/>
      <c r="I50" s="511"/>
      <c r="J50" s="507"/>
      <c r="K50" s="511"/>
    </row>
    <row r="51" spans="2:14" hidden="1">
      <c r="E51" s="514"/>
      <c r="F51" s="513" t="s">
        <v>640</v>
      </c>
      <c r="G51" s="511"/>
      <c r="H51" s="511"/>
      <c r="I51" s="511"/>
      <c r="J51" s="507"/>
      <c r="K51" s="511"/>
    </row>
    <row r="52" spans="2:14" hidden="1"/>
    <row r="53" spans="2:14" hidden="1"/>
    <row r="54" spans="2:14" hidden="1">
      <c r="K54" s="172"/>
      <c r="L54" s="26"/>
      <c r="M54" s="26"/>
      <c r="N54" s="26"/>
    </row>
    <row r="55" spans="2:14" hidden="1"/>
    <row r="56" spans="2:14" hidden="1"/>
    <row r="57" spans="2:14" ht="12.75" customHeight="1">
      <c r="B57" s="10" t="s">
        <v>1265</v>
      </c>
      <c r="C57" s="10"/>
      <c r="D57" s="10"/>
      <c r="E57" s="10"/>
      <c r="F57" s="10"/>
      <c r="G57" s="206"/>
      <c r="H57" s="207"/>
    </row>
    <row r="58" spans="2:14">
      <c r="B58" s="4209" t="s">
        <v>836</v>
      </c>
      <c r="C58" s="12"/>
      <c r="D58" s="12"/>
      <c r="E58" s="4395" t="s">
        <v>837</v>
      </c>
      <c r="F58" s="39" t="s">
        <v>838</v>
      </c>
      <c r="G58" s="4209" t="s">
        <v>839</v>
      </c>
      <c r="H58" s="10"/>
    </row>
    <row r="59" spans="2:14" ht="66.599999999999994">
      <c r="B59" s="4216"/>
      <c r="C59" s="21"/>
      <c r="D59" s="21"/>
      <c r="E59" s="4396"/>
      <c r="F59" s="39" t="s">
        <v>840</v>
      </c>
      <c r="G59" s="4210"/>
      <c r="H59" s="10"/>
    </row>
    <row r="60" spans="2:14" ht="16.8">
      <c r="B60" s="4216"/>
      <c r="C60" s="21"/>
      <c r="D60" s="21"/>
      <c r="E60" s="176" t="s">
        <v>841</v>
      </c>
      <c r="F60" s="176" t="s">
        <v>842</v>
      </c>
      <c r="G60" s="17"/>
      <c r="H60" s="207" t="s">
        <v>835</v>
      </c>
    </row>
    <row r="61" spans="2:14" ht="15.75" customHeight="1">
      <c r="B61" s="4210"/>
      <c r="C61" s="14"/>
      <c r="D61" s="14"/>
      <c r="E61" s="17" t="s">
        <v>291</v>
      </c>
      <c r="F61" s="17" t="s">
        <v>843</v>
      </c>
      <c r="G61" s="17" t="s">
        <v>843</v>
      </c>
      <c r="H61" s="206"/>
    </row>
    <row r="62" spans="2:14">
      <c r="B62" s="17" t="s">
        <v>697</v>
      </c>
      <c r="C62" s="690"/>
      <c r="D62" s="690"/>
      <c r="E62" s="1530">
        <f>'изм.приказ 27 от 28.04.2011'!B42</f>
        <v>427956.36</v>
      </c>
      <c r="F62" s="1530">
        <f>'изм.приказ 27 от 28.04.2011'!D42</f>
        <v>179.28</v>
      </c>
      <c r="G62" s="1530">
        <f>'изм.приказ 27 от 28.04.2011'!F42</f>
        <v>789.41</v>
      </c>
      <c r="H62" s="692">
        <f>(E62*12/(G62-F62))</f>
        <v>8417.0198482290671</v>
      </c>
    </row>
    <row r="63" spans="2:14">
      <c r="B63" s="17" t="s">
        <v>676</v>
      </c>
      <c r="C63" s="17"/>
      <c r="D63" s="1466"/>
      <c r="E63" s="313">
        <f>'изм.приказ 27 от 28.04.2011'!B43</f>
        <v>781756.21</v>
      </c>
      <c r="F63" s="313">
        <f>'изм.приказ 27 от 28.04.2011'!D43</f>
        <v>191.71</v>
      </c>
      <c r="G63" s="313">
        <f>'изм.приказ 27 от 28.04.2011'!F43</f>
        <v>1324.32</v>
      </c>
      <c r="H63" s="206">
        <f>(E63*12/(G63-F63))</f>
        <v>8282.7050087850184</v>
      </c>
    </row>
    <row r="64" spans="2:14">
      <c r="B64" s="39" t="s">
        <v>847</v>
      </c>
      <c r="C64" s="39"/>
      <c r="D64" s="1528"/>
      <c r="E64" s="313">
        <f>'изм.приказ 27 от 28.04.2011'!B44</f>
        <v>1110334.72</v>
      </c>
      <c r="F64" s="313">
        <f>'изм.приказ 27 от 28.04.2011'!D44</f>
        <v>469.5</v>
      </c>
      <c r="G64" s="313">
        <f>'изм.приказ 27 от 28.04.2011'!F44</f>
        <v>2146.56</v>
      </c>
      <c r="H64" s="206">
        <f>(E64*12/(G64-F64))</f>
        <v>7944.8658008658012</v>
      </c>
    </row>
    <row r="65" spans="2:8">
      <c r="B65" s="17" t="s">
        <v>681</v>
      </c>
      <c r="C65" s="690"/>
      <c r="D65" s="690"/>
      <c r="E65" s="1531">
        <f>'изм.приказ 27 от 28.04.2011'!B45</f>
        <v>2019526.48</v>
      </c>
      <c r="F65" s="1531">
        <f>'изм.приказ 27 от 28.04.2011'!D45</f>
        <v>535.79999999999995</v>
      </c>
      <c r="G65" s="1531">
        <f>'изм.приказ 27 от 28.04.2011'!F45</f>
        <v>3325.91</v>
      </c>
      <c r="H65" s="692">
        <f>(E65*12/(G65-F65))</f>
        <v>8685.7929472314718</v>
      </c>
    </row>
    <row r="66" spans="2:8">
      <c r="B66" s="465" t="s">
        <v>962</v>
      </c>
      <c r="C66" s="465"/>
      <c r="D66" s="1529"/>
      <c r="E66" s="466">
        <f>'изм.приказ 27 от 28.04.2011'!B46</f>
        <v>22308.959999999999</v>
      </c>
      <c r="F66" s="466">
        <f>'изм.приказ 27 от 28.04.2011'!D46</f>
        <v>210.28899999999999</v>
      </c>
      <c r="G66" s="466">
        <f>'изм.приказ 27 от 28.04.2011'!F46</f>
        <v>258.20999999999998</v>
      </c>
      <c r="H66" s="320">
        <f>(E66*12/(G66-F66))</f>
        <v>5586.4343398510064</v>
      </c>
    </row>
    <row r="67" spans="2:8">
      <c r="B67" s="106"/>
      <c r="C67" s="106"/>
      <c r="D67" s="106"/>
      <c r="E67" s="106"/>
      <c r="F67" s="106"/>
      <c r="G67" s="106"/>
      <c r="H67" s="106"/>
    </row>
  </sheetData>
  <mergeCells count="14">
    <mergeCell ref="G58:G59"/>
    <mergeCell ref="A22:A23"/>
    <mergeCell ref="B22:E23"/>
    <mergeCell ref="A30:A31"/>
    <mergeCell ref="B30:B31"/>
    <mergeCell ref="B58:B61"/>
    <mergeCell ref="E58:E59"/>
    <mergeCell ref="B6:B9"/>
    <mergeCell ref="D6:D7"/>
    <mergeCell ref="E6:E7"/>
    <mergeCell ref="F6:F7"/>
    <mergeCell ref="A15:A17"/>
    <mergeCell ref="B15:B17"/>
    <mergeCell ref="D15:E16"/>
  </mergeCells>
  <printOptions horizontalCentered="1"/>
  <pageMargins left="0.39370078740157483" right="0.39370078740157483" top="0.19685039370078741" bottom="3.937007874015748E-2" header="0.11811023622047245" footer="3.937007874015748E-2"/>
  <pageSetup paperSize="9" scale="61" orientation="landscape" r:id="rId1"/>
  <headerFooter alignWithMargins="0">
    <oddFooter>&amp;L&amp;8________________________________________________________________________
&amp;F&amp;A</oddFooter>
  </headerFooter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9">
    <tabColor rgb="FFC00000"/>
  </sheetPr>
  <dimension ref="A1:S67"/>
  <sheetViews>
    <sheetView topLeftCell="D18" workbookViewId="0">
      <selection activeCell="K8" sqref="K8"/>
    </sheetView>
  </sheetViews>
  <sheetFormatPr defaultColWidth="9.109375" defaultRowHeight="15.6"/>
  <cols>
    <col min="1" max="1" width="6" style="26" customWidth="1"/>
    <col min="2" max="2" width="42.6640625" style="26" customWidth="1"/>
    <col min="3" max="3" width="7.6640625" style="26" customWidth="1"/>
    <col min="4" max="4" width="11.109375" style="26" customWidth="1"/>
    <col min="5" max="5" width="12.44140625" style="26" customWidth="1"/>
    <col min="6" max="6" width="12.88671875" style="26" customWidth="1"/>
    <col min="7" max="7" width="12.44140625" style="26" customWidth="1"/>
    <col min="8" max="8" width="11" style="26" customWidth="1"/>
    <col min="9" max="9" width="13.109375" style="26" customWidth="1"/>
    <col min="10" max="10" width="10.44140625" style="26" customWidth="1"/>
    <col min="11" max="11" width="12" style="26" customWidth="1"/>
    <col min="12" max="13" width="9" style="172" customWidth="1"/>
    <col min="14" max="14" width="12.5546875" style="172" bestFit="1" customWidth="1"/>
    <col min="15" max="15" width="9.109375" style="26"/>
    <col min="16" max="16" width="10.44140625" style="26" customWidth="1"/>
    <col min="17" max="18" width="9.109375" style="26"/>
    <col min="19" max="19" width="11.6640625" style="26" customWidth="1"/>
    <col min="20" max="16384" width="9.109375" style="26"/>
  </cols>
  <sheetData>
    <row r="1" spans="1:14">
      <c r="A1" s="109" t="s">
        <v>1826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321"/>
      <c r="M1" s="321"/>
      <c r="N1" s="321"/>
    </row>
    <row r="2" spans="1:14">
      <c r="A2" s="109" t="s">
        <v>1262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321"/>
      <c r="M2" s="321"/>
      <c r="N2" s="321"/>
    </row>
    <row r="3" spans="1:14" ht="16.2" thickBot="1">
      <c r="A3" s="1523" t="s">
        <v>1827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321"/>
      <c r="M3" s="321"/>
      <c r="N3" s="321"/>
    </row>
    <row r="4" spans="1:14" ht="16.2" hidden="1" thickBot="1">
      <c r="B4" s="322" t="s">
        <v>893</v>
      </c>
      <c r="C4" s="322"/>
      <c r="D4" s="172"/>
      <c r="E4" s="172"/>
      <c r="F4" s="172"/>
      <c r="G4" s="172"/>
      <c r="H4" s="172"/>
      <c r="I4" s="172"/>
    </row>
    <row r="5" spans="1:14" ht="16.2" hidden="1" thickBot="1">
      <c r="B5" s="172"/>
      <c r="C5" s="172"/>
      <c r="D5" s="172"/>
      <c r="E5" s="172"/>
      <c r="H5" s="172"/>
      <c r="I5" s="172"/>
    </row>
    <row r="6" spans="1:14" ht="27.75" hidden="1" customHeight="1">
      <c r="B6" s="4202" t="s">
        <v>836</v>
      </c>
      <c r="C6" s="679"/>
      <c r="D6" s="4397" t="s">
        <v>837</v>
      </c>
      <c r="E6" s="4397" t="s">
        <v>898</v>
      </c>
      <c r="F6" s="4399" t="s">
        <v>839</v>
      </c>
    </row>
    <row r="7" spans="1:14" ht="48" hidden="1" customHeight="1">
      <c r="B7" s="4203"/>
      <c r="C7" s="680"/>
      <c r="D7" s="4398"/>
      <c r="E7" s="4398"/>
      <c r="F7" s="4399"/>
    </row>
    <row r="8" spans="1:14" ht="18.600000000000001" hidden="1" thickBot="1">
      <c r="B8" s="4203"/>
      <c r="C8" s="680"/>
      <c r="D8" s="323" t="s">
        <v>899</v>
      </c>
      <c r="E8" s="323" t="s">
        <v>900</v>
      </c>
      <c r="F8" s="81"/>
    </row>
    <row r="9" spans="1:14" ht="31.8" hidden="1" thickBot="1">
      <c r="B9" s="4204"/>
      <c r="C9" s="681"/>
      <c r="D9" s="81" t="s">
        <v>291</v>
      </c>
      <c r="E9" s="81" t="s">
        <v>251</v>
      </c>
      <c r="F9" s="81" t="s">
        <v>251</v>
      </c>
      <c r="G9" s="322" t="s">
        <v>835</v>
      </c>
    </row>
    <row r="10" spans="1:14" ht="16.2" hidden="1" thickBot="1">
      <c r="B10" s="81" t="s">
        <v>697</v>
      </c>
      <c r="C10" s="81"/>
      <c r="D10" s="324">
        <v>300621.82</v>
      </c>
      <c r="E10" s="324">
        <v>176.8</v>
      </c>
      <c r="F10" s="325">
        <v>592.41</v>
      </c>
      <c r="G10" s="326">
        <f>(D10*12/(F10-E10))</f>
        <v>8679.9206948822211</v>
      </c>
    </row>
    <row r="11" spans="1:14" ht="16.2" hidden="1" thickBot="1">
      <c r="B11" s="81" t="s">
        <v>676</v>
      </c>
      <c r="C11" s="81"/>
      <c r="D11" s="324">
        <v>490793.23</v>
      </c>
      <c r="E11" s="324">
        <v>180</v>
      </c>
      <c r="F11" s="325">
        <v>969.48</v>
      </c>
      <c r="G11" s="326">
        <f>(D11*12/(F11-E11))</f>
        <v>7459.9974160206712</v>
      </c>
      <c r="H11" s="327"/>
      <c r="I11" s="328"/>
      <c r="L11" s="329"/>
    </row>
    <row r="12" spans="1:14" ht="16.2" hidden="1" thickBot="1">
      <c r="B12" s="330" t="s">
        <v>847</v>
      </c>
      <c r="C12" s="330"/>
      <c r="D12" s="324">
        <v>680321</v>
      </c>
      <c r="E12" s="324">
        <v>210</v>
      </c>
      <c r="F12" s="325">
        <v>1441.35</v>
      </c>
      <c r="G12" s="326">
        <f>(D12*12/(F12-E12))</f>
        <v>6630.0012181751745</v>
      </c>
      <c r="H12" s="99" t="s">
        <v>901</v>
      </c>
    </row>
    <row r="13" spans="1:14" ht="16.2" hidden="1" thickBot="1">
      <c r="B13" s="81" t="s">
        <v>681</v>
      </c>
      <c r="C13" s="81"/>
      <c r="D13" s="324">
        <v>851305.82</v>
      </c>
      <c r="E13" s="324">
        <v>432</v>
      </c>
      <c r="F13" s="325">
        <v>2296.17</v>
      </c>
      <c r="G13" s="326">
        <f>(D13*12/(F13-E13))</f>
        <v>5480.0097845153605</v>
      </c>
      <c r="H13" s="331">
        <f>(365-53)*16</f>
        <v>4992</v>
      </c>
      <c r="I13" s="26" t="s">
        <v>892</v>
      </c>
      <c r="L13" s="172" t="s">
        <v>892</v>
      </c>
    </row>
    <row r="14" spans="1:14" ht="16.2" hidden="1" thickBot="1">
      <c r="B14" s="85"/>
      <c r="C14" s="85"/>
      <c r="D14" s="332"/>
      <c r="E14" s="332"/>
      <c r="F14" s="333"/>
      <c r="G14" s="326"/>
      <c r="H14" s="331"/>
    </row>
    <row r="15" spans="1:14" ht="16.2" thickBot="1">
      <c r="A15" s="4400"/>
      <c r="B15" s="4403" t="s">
        <v>902</v>
      </c>
      <c r="C15" s="683"/>
      <c r="D15" s="4406" t="s">
        <v>903</v>
      </c>
      <c r="E15" s="4407"/>
      <c r="F15" s="334" t="s">
        <v>904</v>
      </c>
      <c r="G15" s="335"/>
      <c r="H15" s="336"/>
      <c r="I15" s="337" t="s">
        <v>905</v>
      </c>
      <c r="J15" s="338"/>
      <c r="K15" s="338"/>
      <c r="L15" s="339"/>
      <c r="M15" s="340"/>
      <c r="N15" s="341"/>
    </row>
    <row r="16" spans="1:14" ht="27.6">
      <c r="A16" s="4401"/>
      <c r="B16" s="4404"/>
      <c r="C16" s="711"/>
      <c r="D16" s="4408"/>
      <c r="E16" s="4409"/>
      <c r="F16" s="342" t="s">
        <v>906</v>
      </c>
      <c r="G16" s="343"/>
      <c r="H16" s="344" t="s">
        <v>907</v>
      </c>
      <c r="I16" s="345" t="s">
        <v>908</v>
      </c>
      <c r="J16" s="346"/>
      <c r="K16" s="347"/>
      <c r="L16" s="756" t="s">
        <v>1248</v>
      </c>
      <c r="M16" s="348"/>
      <c r="N16" s="1448"/>
    </row>
    <row r="17" spans="1:19" s="357" customFormat="1" ht="80.25" customHeight="1">
      <c r="A17" s="4402"/>
      <c r="B17" s="4405"/>
      <c r="C17" s="682"/>
      <c r="D17" s="174" t="s">
        <v>909</v>
      </c>
      <c r="E17" s="349" t="s">
        <v>910</v>
      </c>
      <c r="F17" s="350" t="s">
        <v>911</v>
      </c>
      <c r="G17" s="17" t="s">
        <v>912</v>
      </c>
      <c r="H17" s="351" t="s">
        <v>913</v>
      </c>
      <c r="I17" s="352" t="s">
        <v>914</v>
      </c>
      <c r="J17" s="174" t="s">
        <v>915</v>
      </c>
      <c r="K17" s="353" t="s">
        <v>419</v>
      </c>
      <c r="L17" s="354" t="s">
        <v>1260</v>
      </c>
      <c r="M17" s="355" t="s">
        <v>915</v>
      </c>
      <c r="N17" s="356" t="s">
        <v>419</v>
      </c>
    </row>
    <row r="18" spans="1:19" s="369" customFormat="1" ht="28.5" customHeight="1">
      <c r="A18" s="358">
        <v>1</v>
      </c>
      <c r="B18" s="359">
        <v>2</v>
      </c>
      <c r="C18" s="359"/>
      <c r="D18" s="360">
        <v>3</v>
      </c>
      <c r="E18" s="361">
        <v>4</v>
      </c>
      <c r="F18" s="362">
        <v>5</v>
      </c>
      <c r="G18" s="360">
        <v>6</v>
      </c>
      <c r="H18" s="363">
        <v>7</v>
      </c>
      <c r="I18" s="364" t="s">
        <v>916</v>
      </c>
      <c r="J18" s="365" t="s">
        <v>917</v>
      </c>
      <c r="K18" s="366" t="s">
        <v>918</v>
      </c>
      <c r="L18" s="362">
        <v>11</v>
      </c>
      <c r="M18" s="360">
        <v>12</v>
      </c>
      <c r="N18" s="363">
        <v>13</v>
      </c>
      <c r="O18" s="367" t="s">
        <v>919</v>
      </c>
      <c r="P18" s="368"/>
      <c r="Q18" s="1452" t="s">
        <v>1806</v>
      </c>
      <c r="R18" s="1453"/>
      <c r="S18" s="1454"/>
    </row>
    <row r="19" spans="1:19" ht="17.399999999999999">
      <c r="A19" s="370" t="s">
        <v>920</v>
      </c>
      <c r="B19" s="300" t="s">
        <v>921</v>
      </c>
      <c r="C19" s="300"/>
      <c r="D19" s="371"/>
      <c r="E19" s="372"/>
      <c r="F19" s="373"/>
      <c r="G19" s="371"/>
      <c r="H19" s="374"/>
      <c r="I19" s="375">
        <f>'НВВ на содержание'!E8</f>
        <v>18224.641846154409</v>
      </c>
      <c r="J19" s="376">
        <f>E40*E41/1000</f>
        <v>7920.3271926896714</v>
      </c>
      <c r="K19" s="377">
        <f>ROUND((I19+J19),1)</f>
        <v>26145</v>
      </c>
      <c r="L19" s="378"/>
      <c r="M19" s="379"/>
      <c r="N19" s="380">
        <f>N23-N31+N34</f>
        <v>20203.202561530001</v>
      </c>
      <c r="O19" s="367">
        <f>$E$40*$E$41/1000</f>
        <v>7920.3271926896714</v>
      </c>
      <c r="Q19" s="1452">
        <f>N23+K34-N32-K33</f>
        <v>20124.203227099999</v>
      </c>
      <c r="R19" s="1454"/>
      <c r="S19" s="1455"/>
    </row>
    <row r="20" spans="1:19" ht="16.2" thickBot="1">
      <c r="A20" s="381"/>
      <c r="B20" s="371" t="s">
        <v>922</v>
      </c>
      <c r="C20" s="371"/>
      <c r="D20" s="371"/>
      <c r="E20" s="372"/>
      <c r="F20" s="382"/>
      <c r="G20" s="383"/>
      <c r="H20" s="384"/>
      <c r="I20" s="729">
        <f>I23+I34-I31</f>
        <v>15915.315427000001</v>
      </c>
      <c r="J20" s="385">
        <f>ROUND((J23+J34-J31),1)</f>
        <v>4606.7</v>
      </c>
      <c r="K20" s="377">
        <f>ROUND((I20+J20),1)</f>
        <v>20522</v>
      </c>
      <c r="L20" s="386"/>
      <c r="M20" s="298"/>
      <c r="N20" s="387"/>
      <c r="Q20" s="367"/>
    </row>
    <row r="21" spans="1:19" ht="1.5" hidden="1" customHeight="1">
      <c r="A21" s="388"/>
      <c r="B21" s="389" t="s">
        <v>923</v>
      </c>
      <c r="C21" s="389"/>
      <c r="D21" s="389"/>
      <c r="E21" s="390"/>
      <c r="F21" s="391"/>
      <c r="G21" s="392"/>
      <c r="H21" s="393"/>
      <c r="I21" s="394">
        <f>K19-K20</f>
        <v>5623</v>
      </c>
      <c r="J21" s="395"/>
      <c r="K21" s="396"/>
      <c r="L21" s="397"/>
      <c r="M21" s="398"/>
      <c r="N21" s="399"/>
    </row>
    <row r="22" spans="1:19" ht="15.75" customHeight="1">
      <c r="A22" s="4385" t="s">
        <v>924</v>
      </c>
      <c r="B22" s="4387" t="s">
        <v>1799</v>
      </c>
      <c r="C22" s="4388"/>
      <c r="D22" s="4389"/>
      <c r="E22" s="4389"/>
      <c r="F22" s="400"/>
      <c r="G22" s="401"/>
      <c r="H22" s="402"/>
      <c r="I22" s="403" t="s">
        <v>925</v>
      </c>
      <c r="J22" s="404"/>
      <c r="K22" s="405"/>
      <c r="L22" s="406" t="s">
        <v>926</v>
      </c>
      <c r="M22" s="404"/>
      <c r="N22" s="407"/>
    </row>
    <row r="23" spans="1:19" ht="24" customHeight="1">
      <c r="A23" s="4386"/>
      <c r="B23" s="4390"/>
      <c r="C23" s="4391"/>
      <c r="D23" s="4391"/>
      <c r="E23" s="4391"/>
      <c r="F23" s="408"/>
      <c r="G23" s="409"/>
      <c r="H23" s="410"/>
      <c r="I23" s="411">
        <f>SUM(I25:I29)</f>
        <v>12519.332428320002</v>
      </c>
      <c r="J23" s="412">
        <f>SUM(J25:J29)</f>
        <v>3427.6656749999997</v>
      </c>
      <c r="K23" s="413">
        <f>I23+J23</f>
        <v>15946.998103320002</v>
      </c>
      <c r="L23" s="386"/>
      <c r="M23" s="298"/>
      <c r="N23" s="413">
        <f>SUM(N25:N29)</f>
        <v>15550.8</v>
      </c>
      <c r="O23" s="716">
        <f>N23-K23</f>
        <v>-396.1981033200027</v>
      </c>
      <c r="P23" s="730">
        <f>N19-K20</f>
        <v>-318.79743846999918</v>
      </c>
    </row>
    <row r="24" spans="1:19" ht="27.75" customHeight="1">
      <c r="A24" s="373"/>
      <c r="B24" s="371" t="s">
        <v>927</v>
      </c>
      <c r="C24" s="712" t="s">
        <v>1250</v>
      </c>
      <c r="D24" s="1461">
        <f>SUM(D25:D29)</f>
        <v>1.2889999999999999</v>
      </c>
      <c r="E24" s="1462">
        <f>SUM(E25:E29)</f>
        <v>9928</v>
      </c>
      <c r="F24" s="373"/>
      <c r="G24" s="371"/>
      <c r="H24" s="374"/>
      <c r="I24" s="411"/>
      <c r="J24" s="412"/>
      <c r="K24" s="413"/>
      <c r="L24" s="386"/>
      <c r="M24" s="298"/>
      <c r="N24" s="413"/>
    </row>
    <row r="25" spans="1:19">
      <c r="A25" s="381"/>
      <c r="B25" s="415" t="s">
        <v>1798</v>
      </c>
      <c r="C25" s="1457">
        <f>E25/D25</f>
        <v>7579.1433891992547</v>
      </c>
      <c r="D25" s="1524">
        <v>0.53700000000000003</v>
      </c>
      <c r="E25" s="1525">
        <v>4070</v>
      </c>
      <c r="F25" s="416">
        <f>E62</f>
        <v>427956.36</v>
      </c>
      <c r="G25" s="417">
        <f>'изм.приказ 27 от 28.04.2011'!D42</f>
        <v>179.28</v>
      </c>
      <c r="H25" s="418">
        <f>'изм.приказ 27 от 28.04.2011'!F42</f>
        <v>789.41</v>
      </c>
      <c r="I25" s="664">
        <f>D25*F25*12/1000</f>
        <v>2757.7507838399997</v>
      </c>
      <c r="J25" s="664">
        <f>E25*G25/1000</f>
        <v>729.66959999999995</v>
      </c>
      <c r="K25" s="669">
        <f>I25+J25</f>
        <v>3487.4203838399999</v>
      </c>
      <c r="L25" s="1444"/>
      <c r="M25" s="664"/>
      <c r="N25" s="669">
        <f>ROUND((E25*H25/1000),1)</f>
        <v>3212.9</v>
      </c>
    </row>
    <row r="26" spans="1:19">
      <c r="A26" s="381"/>
      <c r="B26" s="415" t="s">
        <v>928</v>
      </c>
      <c r="C26" s="1457">
        <f>E26/D26</f>
        <v>7946.0972017673039</v>
      </c>
      <c r="D26" s="1461">
        <v>0.67900000000000005</v>
      </c>
      <c r="E26" s="1525">
        <v>5395.4</v>
      </c>
      <c r="F26" s="416">
        <f>E64</f>
        <v>1110334.72</v>
      </c>
      <c r="G26" s="417">
        <f>'изм.приказ 27 от 28.04.2011'!D44</f>
        <v>469.5</v>
      </c>
      <c r="H26" s="418">
        <f>'изм.приказ 27 от 28.04.2011'!F44</f>
        <v>2146.56</v>
      </c>
      <c r="I26" s="664">
        <f>D26*F26*12/1000</f>
        <v>9047.0072985600018</v>
      </c>
      <c r="J26" s="664">
        <f>E26*G26/1000</f>
        <v>2533.1403</v>
      </c>
      <c r="K26" s="669">
        <f>I26+J26</f>
        <v>11580.147598560001</v>
      </c>
      <c r="L26" s="1444"/>
      <c r="M26" s="664"/>
      <c r="N26" s="669">
        <f>ROUND((E26*H26/1000),1)</f>
        <v>11581.5</v>
      </c>
    </row>
    <row r="27" spans="1:19">
      <c r="A27" s="381"/>
      <c r="B27" s="419" t="s">
        <v>1797</v>
      </c>
      <c r="C27" s="1457">
        <f>E27/D27</f>
        <v>7158.6206896551721</v>
      </c>
      <c r="D27" s="1461">
        <v>2.9000000000000001E-2</v>
      </c>
      <c r="E27" s="1462">
        <v>207.6</v>
      </c>
      <c r="F27" s="416">
        <f>'изм.приказ 27 от 28.04.2011'!B45</f>
        <v>2019526.48</v>
      </c>
      <c r="G27" s="417">
        <f>'изм.приказ 27 от 28.04.2011'!D45</f>
        <v>535.79999999999995</v>
      </c>
      <c r="H27" s="418">
        <f>'изм.приказ 27 от 28.04.2011'!F45</f>
        <v>3325.91</v>
      </c>
      <c r="I27" s="664">
        <f>D27*F27*12/1000</f>
        <v>702.79521504000002</v>
      </c>
      <c r="J27" s="664">
        <f>E27*G27/1000</f>
        <v>111.23207999999998</v>
      </c>
      <c r="K27" s="669">
        <f>I27+J27</f>
        <v>814.02729504000001</v>
      </c>
      <c r="L27" s="1444"/>
      <c r="M27" s="664"/>
      <c r="N27" s="669">
        <f>ROUND((E27*H27/1000),1)</f>
        <v>690.5</v>
      </c>
    </row>
    <row r="28" spans="1:19" s="485" customFormat="1" ht="28.2">
      <c r="A28" s="381"/>
      <c r="B28" s="419" t="s">
        <v>1796</v>
      </c>
      <c r="C28" s="1457">
        <f>E28/D28</f>
        <v>5633.333333333333</v>
      </c>
      <c r="D28" s="1461">
        <v>3.0000000000000001E-3</v>
      </c>
      <c r="E28" s="1462">
        <v>16.899999999999999</v>
      </c>
      <c r="F28" s="416">
        <f>'изм.приказ 27 от 28.04.2011'!B46</f>
        <v>22308.959999999999</v>
      </c>
      <c r="G28" s="417">
        <f>'изм.приказ 27 от 28.04.2011'!D46</f>
        <v>210.28899999999999</v>
      </c>
      <c r="H28" s="418">
        <f>'изм.приказ 27 от 28.04.2011'!F46</f>
        <v>258.20999999999998</v>
      </c>
      <c r="I28" s="664">
        <f>D28*F28*12/1000</f>
        <v>0.80312256000000004</v>
      </c>
      <c r="J28" s="664">
        <f>E28*G28/1000</f>
        <v>3.5538840999999994</v>
      </c>
      <c r="K28" s="669">
        <f>I28+J28</f>
        <v>4.3570066599999997</v>
      </c>
      <c r="L28" s="1444"/>
      <c r="M28" s="664"/>
      <c r="N28" s="669">
        <f>ROUND((E28*H28/1000),1)</f>
        <v>4.4000000000000004</v>
      </c>
    </row>
    <row r="29" spans="1:19" s="485" customFormat="1" ht="28.8" thickBot="1">
      <c r="A29" s="495"/>
      <c r="B29" s="419" t="s">
        <v>929</v>
      </c>
      <c r="C29" s="734">
        <f>E29/D29</f>
        <v>5807.3170731707314</v>
      </c>
      <c r="D29" s="1526">
        <v>4.1000000000000002E-2</v>
      </c>
      <c r="E29" s="1527">
        <v>238.1</v>
      </c>
      <c r="F29" s="502">
        <f>F28</f>
        <v>22308.959999999999</v>
      </c>
      <c r="G29" s="503">
        <f>G28</f>
        <v>210.28899999999999</v>
      </c>
      <c r="H29" s="504">
        <f>G66</f>
        <v>258.20999999999998</v>
      </c>
      <c r="I29" s="422">
        <f>D29*F29*12/1000</f>
        <v>10.97600832</v>
      </c>
      <c r="J29" s="423">
        <f>E29*G29/1000</f>
        <v>50.0698109</v>
      </c>
      <c r="K29" s="424">
        <f>I29+J29</f>
        <v>61.045819219999998</v>
      </c>
      <c r="L29" s="422"/>
      <c r="M29" s="1445"/>
      <c r="N29" s="424">
        <f>ROUND((E29*H29/1000),1)</f>
        <v>61.5</v>
      </c>
      <c r="O29" s="26"/>
    </row>
    <row r="30" spans="1:19" ht="16.5" customHeight="1">
      <c r="A30" s="4392" t="s">
        <v>930</v>
      </c>
      <c r="B30" s="4393" t="s">
        <v>1800</v>
      </c>
      <c r="C30" s="1458"/>
      <c r="D30" s="425" t="s">
        <v>931</v>
      </c>
      <c r="E30" s="456"/>
      <c r="F30" s="458" t="s">
        <v>932</v>
      </c>
      <c r="G30" s="425"/>
      <c r="H30" s="425"/>
      <c r="I30" s="426" t="s">
        <v>925</v>
      </c>
      <c r="J30" s="427"/>
      <c r="K30" s="428"/>
      <c r="L30" s="406" t="s">
        <v>926</v>
      </c>
      <c r="M30" s="427"/>
      <c r="N30" s="428"/>
    </row>
    <row r="31" spans="1:19" ht="27.6">
      <c r="A31" s="4386"/>
      <c r="B31" s="4394"/>
      <c r="C31" s="1459"/>
      <c r="D31" s="355" t="s">
        <v>909</v>
      </c>
      <c r="E31" s="457" t="s">
        <v>910</v>
      </c>
      <c r="F31" s="459" t="s">
        <v>933</v>
      </c>
      <c r="G31" s="429" t="s">
        <v>251</v>
      </c>
      <c r="H31" s="506" t="s">
        <v>1118</v>
      </c>
      <c r="I31" s="1444">
        <f>SUM(I32:I33)</f>
        <v>2127.6515377999999</v>
      </c>
      <c r="J31" s="664">
        <f>SUM(J32:J33)</f>
        <v>1646.4595171000001</v>
      </c>
      <c r="K31" s="1456">
        <f>SUM(K32:K33)</f>
        <v>3774.1110549</v>
      </c>
      <c r="L31" s="722">
        <f>SUM(L33:L33)</f>
        <v>0</v>
      </c>
      <c r="M31" s="573">
        <f>SUM(M33:M33)</f>
        <v>0</v>
      </c>
      <c r="N31" s="735">
        <f>SUM(N32:N33)</f>
        <v>3697.8145927999994</v>
      </c>
    </row>
    <row r="32" spans="1:19" ht="22.5" customHeight="1">
      <c r="A32" s="430">
        <v>1</v>
      </c>
      <c r="B32" s="371" t="s">
        <v>1802</v>
      </c>
      <c r="C32" s="733">
        <f>E32/D32</f>
        <v>8867.3333333333339</v>
      </c>
      <c r="D32" s="1449">
        <v>1.4999999999999999E-2</v>
      </c>
      <c r="E32" s="1450">
        <v>133.01</v>
      </c>
      <c r="F32" s="720">
        <v>279175.21000000002</v>
      </c>
      <c r="G32" s="721">
        <v>108.71</v>
      </c>
      <c r="H32" s="1451">
        <f>K32/E32*1000+12.17</f>
        <v>498.68270505977</v>
      </c>
      <c r="I32" s="386">
        <f>$D32*$F32*12/1000</f>
        <v>50.251537800000008</v>
      </c>
      <c r="J32" s="298">
        <f>$E32*$G32/1000</f>
        <v>14.459517099999998</v>
      </c>
      <c r="K32" s="387">
        <f>I32+J32</f>
        <v>64.711054900000008</v>
      </c>
      <c r="L32" s="573"/>
      <c r="M32" s="573"/>
      <c r="N32" s="710">
        <f>E32*H32/1000</f>
        <v>66.329786600000006</v>
      </c>
    </row>
    <row r="33" spans="1:15" ht="22.5" customHeight="1" thickBot="1">
      <c r="A33" s="430">
        <v>1</v>
      </c>
      <c r="B33" s="371" t="s">
        <v>1803</v>
      </c>
      <c r="C33" s="733">
        <f>E33/D33</f>
        <v>8745.2795698924729</v>
      </c>
      <c r="D33" s="414">
        <v>9.2999999999999999E-2</v>
      </c>
      <c r="E33" s="1440">
        <v>813.31100000000004</v>
      </c>
      <c r="F33" s="720">
        <v>1861465.03</v>
      </c>
      <c r="G33" s="721">
        <v>2006.61</v>
      </c>
      <c r="H33" s="1451">
        <f>K33/E33*1000-95.8</f>
        <v>4465.0629417283171</v>
      </c>
      <c r="I33" s="664">
        <f>ROUND(($D$33*$F$33*12/1000),1)</f>
        <v>2077.4</v>
      </c>
      <c r="J33" s="664">
        <f>ROUND(($E$33*$G$33/1000),1)</f>
        <v>1632</v>
      </c>
      <c r="K33" s="669">
        <f>I33+J33</f>
        <v>3709.4</v>
      </c>
      <c r="L33" s="573"/>
      <c r="M33" s="573"/>
      <c r="N33" s="710">
        <f>E33*H33/1000</f>
        <v>3631.4848061999996</v>
      </c>
    </row>
    <row r="34" spans="1:15" ht="47.4" thickBot="1">
      <c r="A34" s="744" t="s">
        <v>935</v>
      </c>
      <c r="B34" s="745" t="s">
        <v>1801</v>
      </c>
      <c r="C34" s="1460"/>
      <c r="D34" s="746"/>
      <c r="E34" s="747"/>
      <c r="F34" s="748" t="s">
        <v>933</v>
      </c>
      <c r="G34" s="749" t="s">
        <v>251</v>
      </c>
      <c r="H34" s="750" t="s">
        <v>251</v>
      </c>
      <c r="I34" s="751">
        <f>SUM(I35:I37)</f>
        <v>5523.63453648</v>
      </c>
      <c r="J34" s="752">
        <f>SUM(J35:J37)</f>
        <v>2825.49847722</v>
      </c>
      <c r="K34" s="753">
        <f>SUM(K35:K37)</f>
        <v>8349.1330137000004</v>
      </c>
      <c r="L34" s="754">
        <f>SUM(L36:L37)</f>
        <v>0</v>
      </c>
      <c r="M34" s="755">
        <f>SUM(M36:M37)</f>
        <v>0</v>
      </c>
      <c r="N34" s="753">
        <f>SUM(N35:N37)</f>
        <v>8350.217154330001</v>
      </c>
    </row>
    <row r="35" spans="1:15">
      <c r="A35" s="736">
        <v>1</v>
      </c>
      <c r="B35" s="454" t="s">
        <v>934</v>
      </c>
      <c r="C35" s="737">
        <f>E35/D35</f>
        <v>8292.3407526388255</v>
      </c>
      <c r="D35" s="1446">
        <f>D24+D36+D37+D32+D33+G40</f>
        <v>4.3579999999999997</v>
      </c>
      <c r="E35" s="1446">
        <f>E24+E36+E37+E32+E33+E40</f>
        <v>36138.021000000001</v>
      </c>
      <c r="F35" s="738">
        <v>451.08</v>
      </c>
      <c r="G35" s="739">
        <v>0.82</v>
      </c>
      <c r="H35" s="1451">
        <f>K35/E35*1000+0.03</f>
        <v>1.5027662286764401</v>
      </c>
      <c r="I35" s="740">
        <f>$D$35*$F$35*12/1000</f>
        <v>23.589679679999996</v>
      </c>
      <c r="J35" s="741">
        <f>$E$35*$G$35/1000</f>
        <v>29.633177219999997</v>
      </c>
      <c r="K35" s="742">
        <f>I35+J35</f>
        <v>53.222856899999996</v>
      </c>
      <c r="L35" s="743"/>
      <c r="M35" s="741"/>
      <c r="N35" s="742">
        <f>E35*H35/1000</f>
        <v>54.306997529999997</v>
      </c>
    </row>
    <row r="36" spans="1:15">
      <c r="A36" s="455">
        <v>2</v>
      </c>
      <c r="B36" s="371" t="s">
        <v>960</v>
      </c>
      <c r="C36" s="733">
        <f>E36/D36</f>
        <v>8650.9803921568637</v>
      </c>
      <c r="D36" s="414">
        <v>2.5499999999999998</v>
      </c>
      <c r="E36" s="713">
        <v>22060</v>
      </c>
      <c r="F36" s="723">
        <v>169906.8</v>
      </c>
      <c r="G36" s="724">
        <v>114.55</v>
      </c>
      <c r="H36" s="725">
        <f>K36/E36*1000</f>
        <v>350.23214324569358</v>
      </c>
      <c r="I36" s="386">
        <f>$D36*$F36*12/1000</f>
        <v>5199.1480799999999</v>
      </c>
      <c r="J36" s="298">
        <f>$E36*$G36/1000</f>
        <v>2526.973</v>
      </c>
      <c r="K36" s="387">
        <f>I36+J36</f>
        <v>7726.1210799999999</v>
      </c>
      <c r="L36" s="501"/>
      <c r="M36" s="298"/>
      <c r="N36" s="387">
        <f>E36*H36/1000</f>
        <v>7726.1210799999999</v>
      </c>
    </row>
    <row r="37" spans="1:15" ht="16.2" thickBot="1">
      <c r="A37" s="431">
        <v>3</v>
      </c>
      <c r="B37" s="383" t="s">
        <v>1804</v>
      </c>
      <c r="C37" s="734">
        <f>E37/D37</f>
        <v>6607.8431372549021</v>
      </c>
      <c r="D37" s="420">
        <v>0.10199999999999999</v>
      </c>
      <c r="E37" s="714">
        <v>674</v>
      </c>
      <c r="F37" s="726">
        <v>245830.7</v>
      </c>
      <c r="G37" s="727">
        <v>398.95</v>
      </c>
      <c r="H37" s="728">
        <f>K37/E37*1000</f>
        <v>845.38438694362014</v>
      </c>
      <c r="I37" s="719">
        <f>$D$37*$F$37*12/1000</f>
        <v>300.8967768</v>
      </c>
      <c r="J37" s="718">
        <f>$E$37*$G$37/1000</f>
        <v>268.89229999999998</v>
      </c>
      <c r="K37" s="757">
        <f>I37+J37</f>
        <v>569.78907679999998</v>
      </c>
      <c r="L37" s="731"/>
      <c r="M37" s="732"/>
      <c r="N37" s="424">
        <f>E37*H37/1000</f>
        <v>569.78907679999998</v>
      </c>
    </row>
    <row r="38" spans="1:15" hidden="1">
      <c r="F38" s="172"/>
      <c r="G38" s="172"/>
      <c r="H38" s="172"/>
      <c r="L38" s="26"/>
      <c r="M38" s="26"/>
      <c r="N38" s="26"/>
    </row>
    <row r="39" spans="1:15">
      <c r="B39" s="99" t="s">
        <v>851</v>
      </c>
      <c r="C39" s="99"/>
      <c r="L39" s="26"/>
      <c r="M39" s="26"/>
      <c r="N39" s="26"/>
    </row>
    <row r="40" spans="1:15">
      <c r="D40" s="99" t="s">
        <v>1805</v>
      </c>
      <c r="E40" s="1532">
        <v>2529.6999999999998</v>
      </c>
      <c r="F40" s="26" t="s">
        <v>936</v>
      </c>
      <c r="G40" s="26">
        <f>0.309</f>
        <v>0.309</v>
      </c>
      <c r="H40" s="715">
        <f>E36+E37+E29+E40</f>
        <v>25501.8</v>
      </c>
      <c r="L40" s="26"/>
      <c r="M40" s="26"/>
      <c r="N40" s="26"/>
    </row>
    <row r="41" spans="1:15">
      <c r="D41" s="99" t="s">
        <v>937</v>
      </c>
      <c r="E41" s="432">
        <f>Расчет!I2</f>
        <v>3130.935364940377</v>
      </c>
      <c r="F41" s="26" t="s">
        <v>938</v>
      </c>
      <c r="L41" s="26"/>
      <c r="M41" s="26"/>
      <c r="N41" s="26"/>
    </row>
    <row r="42" spans="1:15" hidden="1"/>
    <row r="43" spans="1:15" hidden="1">
      <c r="E43" s="26" t="s">
        <v>938</v>
      </c>
      <c r="G43" s="507" t="s">
        <v>1257</v>
      </c>
      <c r="H43" s="507"/>
      <c r="I43" s="507"/>
      <c r="J43" s="507"/>
      <c r="K43" s="507"/>
    </row>
    <row r="44" spans="1:15" hidden="1">
      <c r="E44" s="514"/>
      <c r="F44" s="513"/>
      <c r="G44" s="508" t="s">
        <v>932</v>
      </c>
      <c r="H44" s="508"/>
      <c r="I44" s="508"/>
      <c r="J44" s="512" t="s">
        <v>1119</v>
      </c>
      <c r="K44" s="512"/>
      <c r="L44" s="26"/>
      <c r="M44" s="26"/>
      <c r="N44" s="26"/>
      <c r="O44" s="433"/>
    </row>
    <row r="45" spans="1:15" ht="27" hidden="1">
      <c r="E45" s="514"/>
      <c r="F45" s="513"/>
      <c r="G45" s="509" t="s">
        <v>933</v>
      </c>
      <c r="H45" s="509" t="s">
        <v>251</v>
      </c>
      <c r="I45" s="510" t="s">
        <v>1118</v>
      </c>
      <c r="J45" s="507"/>
      <c r="K45" s="507"/>
      <c r="L45" s="26"/>
      <c r="M45" s="26"/>
      <c r="N45" s="26"/>
      <c r="O45" s="434"/>
    </row>
    <row r="46" spans="1:15" hidden="1">
      <c r="E46" s="514"/>
      <c r="F46" s="513"/>
      <c r="G46" s="231"/>
      <c r="H46" s="231"/>
      <c r="I46" s="231"/>
      <c r="J46" s="507"/>
      <c r="K46" s="507"/>
      <c r="L46" s="26"/>
      <c r="M46" s="26"/>
      <c r="N46" s="26"/>
      <c r="O46" s="433"/>
    </row>
    <row r="47" spans="1:15" hidden="1">
      <c r="E47" s="514"/>
      <c r="F47" s="513" t="s">
        <v>1258</v>
      </c>
      <c r="G47" s="231"/>
      <c r="H47" s="231"/>
      <c r="I47" s="231"/>
      <c r="J47" s="507"/>
      <c r="K47" s="507"/>
    </row>
    <row r="48" spans="1:15" hidden="1">
      <c r="E48" s="514"/>
      <c r="F48" s="513" t="s">
        <v>934</v>
      </c>
      <c r="G48" s="511"/>
      <c r="H48" s="511"/>
      <c r="I48" s="511"/>
      <c r="J48" s="507"/>
      <c r="K48" s="511"/>
    </row>
    <row r="49" spans="2:14" hidden="1">
      <c r="E49" s="514"/>
      <c r="F49" s="513" t="s">
        <v>960</v>
      </c>
      <c r="G49" s="511"/>
      <c r="H49" s="511"/>
      <c r="I49" s="511"/>
      <c r="J49" s="507"/>
      <c r="K49" s="511"/>
    </row>
    <row r="50" spans="2:14" hidden="1">
      <c r="E50" s="514"/>
      <c r="F50" s="513" t="s">
        <v>1255</v>
      </c>
      <c r="G50" s="511"/>
      <c r="H50" s="511"/>
      <c r="I50" s="511"/>
      <c r="J50" s="507"/>
      <c r="K50" s="511"/>
    </row>
    <row r="51" spans="2:14" hidden="1">
      <c r="E51" s="514"/>
      <c r="F51" s="513" t="s">
        <v>640</v>
      </c>
      <c r="G51" s="511"/>
      <c r="H51" s="511"/>
      <c r="I51" s="511"/>
      <c r="J51" s="507"/>
      <c r="K51" s="511"/>
    </row>
    <row r="52" spans="2:14" hidden="1"/>
    <row r="53" spans="2:14" hidden="1"/>
    <row r="54" spans="2:14" hidden="1">
      <c r="K54" s="172"/>
      <c r="L54" s="26"/>
      <c r="M54" s="26"/>
      <c r="N54" s="26"/>
    </row>
    <row r="55" spans="2:14" hidden="1"/>
    <row r="56" spans="2:14" hidden="1"/>
    <row r="57" spans="2:14" ht="12.75" customHeight="1">
      <c r="B57" s="10" t="s">
        <v>1265</v>
      </c>
      <c r="C57" s="10"/>
      <c r="D57" s="10"/>
      <c r="E57" s="10"/>
      <c r="F57" s="10"/>
      <c r="G57" s="206"/>
      <c r="H57" s="207"/>
    </row>
    <row r="58" spans="2:14">
      <c r="B58" s="4209" t="s">
        <v>836</v>
      </c>
      <c r="C58" s="12"/>
      <c r="D58" s="12"/>
      <c r="E58" s="4395" t="s">
        <v>837</v>
      </c>
      <c r="F58" s="39" t="s">
        <v>838</v>
      </c>
      <c r="G58" s="4209" t="s">
        <v>839</v>
      </c>
      <c r="H58" s="10"/>
    </row>
    <row r="59" spans="2:14" ht="66.599999999999994">
      <c r="B59" s="4216"/>
      <c r="C59" s="21"/>
      <c r="D59" s="21"/>
      <c r="E59" s="4396"/>
      <c r="F59" s="39" t="s">
        <v>840</v>
      </c>
      <c r="G59" s="4210"/>
      <c r="H59" s="10"/>
    </row>
    <row r="60" spans="2:14" ht="16.8">
      <c r="B60" s="4216"/>
      <c r="C60" s="21"/>
      <c r="D60" s="21"/>
      <c r="E60" s="176" t="s">
        <v>841</v>
      </c>
      <c r="F60" s="176" t="s">
        <v>842</v>
      </c>
      <c r="G60" s="17"/>
      <c r="H60" s="207" t="s">
        <v>835</v>
      </c>
    </row>
    <row r="61" spans="2:14" ht="15.75" customHeight="1">
      <c r="B61" s="4210"/>
      <c r="C61" s="14"/>
      <c r="D61" s="14"/>
      <c r="E61" s="17" t="s">
        <v>291</v>
      </c>
      <c r="F61" s="17" t="s">
        <v>843</v>
      </c>
      <c r="G61" s="17" t="s">
        <v>843</v>
      </c>
      <c r="H61" s="206"/>
    </row>
    <row r="62" spans="2:14">
      <c r="B62" s="17" t="s">
        <v>697</v>
      </c>
      <c r="C62" s="690"/>
      <c r="D62" s="690"/>
      <c r="E62" s="1530">
        <f>'изм.приказ 27 от 28.04.2011'!B42</f>
        <v>427956.36</v>
      </c>
      <c r="F62" s="1530">
        <f>'изм.приказ 27 от 28.04.2011'!D42</f>
        <v>179.28</v>
      </c>
      <c r="G62" s="1530">
        <f>'изм.приказ 27 от 28.04.2011'!F42</f>
        <v>789.41</v>
      </c>
      <c r="H62" s="692">
        <f>(E62*12/(G62-F62))</f>
        <v>8417.0198482290671</v>
      </c>
    </row>
    <row r="63" spans="2:14">
      <c r="B63" s="17" t="s">
        <v>676</v>
      </c>
      <c r="C63" s="17"/>
      <c r="D63" s="1466"/>
      <c r="E63" s="313">
        <f>'изм.приказ 27 от 28.04.2011'!B43</f>
        <v>781756.21</v>
      </c>
      <c r="F63" s="313">
        <f>'изм.приказ 27 от 28.04.2011'!D43</f>
        <v>191.71</v>
      </c>
      <c r="G63" s="313">
        <f>'изм.приказ 27 от 28.04.2011'!F43</f>
        <v>1324.32</v>
      </c>
      <c r="H63" s="206">
        <f>(E63*12/(G63-F63))</f>
        <v>8282.7050087850184</v>
      </c>
    </row>
    <row r="64" spans="2:14">
      <c r="B64" s="39" t="s">
        <v>847</v>
      </c>
      <c r="C64" s="39"/>
      <c r="D64" s="1528"/>
      <c r="E64" s="313">
        <f>'изм.приказ 27 от 28.04.2011'!B44</f>
        <v>1110334.72</v>
      </c>
      <c r="F64" s="313">
        <f>'изм.приказ 27 от 28.04.2011'!D44</f>
        <v>469.5</v>
      </c>
      <c r="G64" s="313">
        <f>'изм.приказ 27 от 28.04.2011'!F44</f>
        <v>2146.56</v>
      </c>
      <c r="H64" s="206">
        <f>(E64*12/(G64-F64))</f>
        <v>7944.8658008658012</v>
      </c>
    </row>
    <row r="65" spans="2:8">
      <c r="B65" s="17" t="s">
        <v>681</v>
      </c>
      <c r="C65" s="690"/>
      <c r="D65" s="690"/>
      <c r="E65" s="1531">
        <f>'изм.приказ 27 от 28.04.2011'!B45</f>
        <v>2019526.48</v>
      </c>
      <c r="F65" s="1531">
        <f>'изм.приказ 27 от 28.04.2011'!D45</f>
        <v>535.79999999999995</v>
      </c>
      <c r="G65" s="1531">
        <f>'изм.приказ 27 от 28.04.2011'!F45</f>
        <v>3325.91</v>
      </c>
      <c r="H65" s="692">
        <f>(E65*12/(G65-F65))</f>
        <v>8685.7929472314718</v>
      </c>
    </row>
    <row r="66" spans="2:8">
      <c r="B66" s="465" t="s">
        <v>962</v>
      </c>
      <c r="C66" s="465"/>
      <c r="D66" s="1529"/>
      <c r="E66" s="466">
        <f>'изм.приказ 27 от 28.04.2011'!B46</f>
        <v>22308.959999999999</v>
      </c>
      <c r="F66" s="466">
        <f>'изм.приказ 27 от 28.04.2011'!D46</f>
        <v>210.28899999999999</v>
      </c>
      <c r="G66" s="466">
        <f>'изм.приказ 27 от 28.04.2011'!F46</f>
        <v>258.20999999999998</v>
      </c>
      <c r="H66" s="320">
        <f>(E66*12/(G66-F66))</f>
        <v>5586.4343398510064</v>
      </c>
    </row>
    <row r="67" spans="2:8">
      <c r="B67" s="106"/>
      <c r="C67" s="106"/>
      <c r="D67" s="106"/>
      <c r="E67" s="106"/>
      <c r="F67" s="106"/>
      <c r="G67" s="106"/>
      <c r="H67" s="106"/>
    </row>
  </sheetData>
  <mergeCells count="14">
    <mergeCell ref="G58:G59"/>
    <mergeCell ref="A22:A23"/>
    <mergeCell ref="B22:E23"/>
    <mergeCell ref="A30:A31"/>
    <mergeCell ref="B30:B31"/>
    <mergeCell ref="B58:B61"/>
    <mergeCell ref="E58:E59"/>
    <mergeCell ref="B6:B9"/>
    <mergeCell ref="D6:D7"/>
    <mergeCell ref="E6:E7"/>
    <mergeCell ref="F6:F7"/>
    <mergeCell ref="A15:A17"/>
    <mergeCell ref="B15:B17"/>
    <mergeCell ref="D15:E16"/>
  </mergeCells>
  <printOptions horizontalCentered="1"/>
  <pageMargins left="0.39370078740157483" right="0.39370078740157483" top="0.19685039370078741" bottom="3.937007874015748E-2" header="0.11811023622047245" footer="3.937007874015748E-2"/>
  <pageSetup paperSize="9" scale="61" orientation="landscape" r:id="rId1"/>
  <headerFooter alignWithMargins="0">
    <oddFooter>&amp;L&amp;8________________________________________________________________________
&amp;F&amp;A</oddFooter>
  </headerFooter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0">
    <tabColor theme="9" tint="0.59999389629810485"/>
  </sheetPr>
  <dimension ref="A1:S67"/>
  <sheetViews>
    <sheetView workbookViewId="0">
      <selection activeCell="K8" sqref="K8"/>
    </sheetView>
  </sheetViews>
  <sheetFormatPr defaultColWidth="9.109375" defaultRowHeight="15.6"/>
  <cols>
    <col min="1" max="1" width="6" style="26" customWidth="1"/>
    <col min="2" max="2" width="42.6640625" style="26" customWidth="1"/>
    <col min="3" max="3" width="7.6640625" style="26" customWidth="1"/>
    <col min="4" max="4" width="11.109375" style="26" customWidth="1"/>
    <col min="5" max="5" width="12.44140625" style="26" customWidth="1"/>
    <col min="6" max="6" width="12.88671875" style="26" customWidth="1"/>
    <col min="7" max="7" width="12.44140625" style="26" customWidth="1"/>
    <col min="8" max="8" width="11" style="26" customWidth="1"/>
    <col min="9" max="9" width="13.109375" style="26" customWidth="1"/>
    <col min="10" max="10" width="10.44140625" style="26" customWidth="1"/>
    <col min="11" max="11" width="12" style="26" customWidth="1"/>
    <col min="12" max="13" width="9" style="172" customWidth="1"/>
    <col min="14" max="14" width="12.5546875" style="172" bestFit="1" customWidth="1"/>
    <col min="15" max="15" width="9.109375" style="26"/>
    <col min="16" max="16" width="10.44140625" style="26" customWidth="1"/>
    <col min="17" max="18" width="9.109375" style="26"/>
    <col min="19" max="19" width="11.6640625" style="26" customWidth="1"/>
    <col min="20" max="16384" width="9.109375" style="26"/>
  </cols>
  <sheetData>
    <row r="1" spans="1:14">
      <c r="A1" s="109" t="s">
        <v>1256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321"/>
      <c r="M1" s="321"/>
      <c r="N1" s="321"/>
    </row>
    <row r="2" spans="1:14">
      <c r="A2" s="109" t="s">
        <v>1262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321"/>
      <c r="M2" s="321"/>
      <c r="N2" s="321"/>
    </row>
    <row r="3" spans="1:14" ht="16.2" thickBot="1">
      <c r="A3" s="109"/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321"/>
      <c r="M3" s="321"/>
      <c r="N3" s="321"/>
    </row>
    <row r="4" spans="1:14" ht="16.2" hidden="1" thickBot="1">
      <c r="B4" s="322" t="s">
        <v>893</v>
      </c>
      <c r="C4" s="322"/>
      <c r="D4" s="172"/>
      <c r="E4" s="172"/>
      <c r="F4" s="172"/>
      <c r="G4" s="172"/>
      <c r="H4" s="172"/>
      <c r="I4" s="172"/>
    </row>
    <row r="5" spans="1:14" ht="16.2" hidden="1" thickBot="1">
      <c r="B5" s="172"/>
      <c r="C5" s="172"/>
      <c r="D5" s="172"/>
      <c r="E5" s="172"/>
      <c r="H5" s="172"/>
      <c r="I5" s="172"/>
    </row>
    <row r="6" spans="1:14" ht="27.75" hidden="1" customHeight="1">
      <c r="B6" s="4202" t="s">
        <v>836</v>
      </c>
      <c r="C6" s="679"/>
      <c r="D6" s="4397" t="s">
        <v>837</v>
      </c>
      <c r="E6" s="4397" t="s">
        <v>898</v>
      </c>
      <c r="F6" s="4399" t="s">
        <v>839</v>
      </c>
    </row>
    <row r="7" spans="1:14" ht="48" hidden="1" customHeight="1">
      <c r="B7" s="4203"/>
      <c r="C7" s="680"/>
      <c r="D7" s="4398"/>
      <c r="E7" s="4398"/>
      <c r="F7" s="4399"/>
    </row>
    <row r="8" spans="1:14" ht="18.600000000000001" hidden="1" thickBot="1">
      <c r="B8" s="4203"/>
      <c r="C8" s="680"/>
      <c r="D8" s="323" t="s">
        <v>899</v>
      </c>
      <c r="E8" s="323" t="s">
        <v>900</v>
      </c>
      <c r="F8" s="81"/>
    </row>
    <row r="9" spans="1:14" ht="31.8" hidden="1" thickBot="1">
      <c r="B9" s="4204"/>
      <c r="C9" s="681"/>
      <c r="D9" s="81" t="s">
        <v>291</v>
      </c>
      <c r="E9" s="81" t="s">
        <v>251</v>
      </c>
      <c r="F9" s="81" t="s">
        <v>251</v>
      </c>
      <c r="G9" s="322" t="s">
        <v>835</v>
      </c>
    </row>
    <row r="10" spans="1:14" ht="16.2" hidden="1" thickBot="1">
      <c r="B10" s="81" t="s">
        <v>697</v>
      </c>
      <c r="C10" s="81"/>
      <c r="D10" s="324">
        <v>300621.82</v>
      </c>
      <c r="E10" s="324">
        <v>176.8</v>
      </c>
      <c r="F10" s="325">
        <v>592.41</v>
      </c>
      <c r="G10" s="326">
        <f>(D10*12/(F10-E10))</f>
        <v>8679.9206948822211</v>
      </c>
    </row>
    <row r="11" spans="1:14" ht="16.2" hidden="1" thickBot="1">
      <c r="B11" s="81" t="s">
        <v>676</v>
      </c>
      <c r="C11" s="81"/>
      <c r="D11" s="324">
        <v>490793.23</v>
      </c>
      <c r="E11" s="324">
        <v>180</v>
      </c>
      <c r="F11" s="325">
        <v>969.48</v>
      </c>
      <c r="G11" s="326">
        <f>(D11*12/(F11-E11))</f>
        <v>7459.9974160206712</v>
      </c>
      <c r="H11" s="327"/>
      <c r="I11" s="328"/>
      <c r="L11" s="329"/>
    </row>
    <row r="12" spans="1:14" ht="16.2" hidden="1" thickBot="1">
      <c r="B12" s="330" t="s">
        <v>847</v>
      </c>
      <c r="C12" s="330"/>
      <c r="D12" s="324">
        <v>680321</v>
      </c>
      <c r="E12" s="324">
        <v>210</v>
      </c>
      <c r="F12" s="325">
        <v>1441.35</v>
      </c>
      <c r="G12" s="326">
        <f>(D12*12/(F12-E12))</f>
        <v>6630.0012181751745</v>
      </c>
      <c r="H12" s="99" t="s">
        <v>901</v>
      </c>
    </row>
    <row r="13" spans="1:14" ht="16.2" hidden="1" thickBot="1">
      <c r="B13" s="81" t="s">
        <v>681</v>
      </c>
      <c r="C13" s="81"/>
      <c r="D13" s="324">
        <v>851305.82</v>
      </c>
      <c r="E13" s="324">
        <v>432</v>
      </c>
      <c r="F13" s="325">
        <v>2296.17</v>
      </c>
      <c r="G13" s="326">
        <f>(D13*12/(F13-E13))</f>
        <v>5480.0097845153605</v>
      </c>
      <c r="H13" s="331">
        <f>(365-53)*16</f>
        <v>4992</v>
      </c>
      <c r="I13" s="26" t="s">
        <v>892</v>
      </c>
      <c r="L13" s="172" t="s">
        <v>892</v>
      </c>
    </row>
    <row r="14" spans="1:14" ht="16.2" hidden="1" thickBot="1">
      <c r="B14" s="85"/>
      <c r="C14" s="85"/>
      <c r="D14" s="332"/>
      <c r="E14" s="332"/>
      <c r="F14" s="333"/>
      <c r="G14" s="326"/>
      <c r="H14" s="331"/>
    </row>
    <row r="15" spans="1:14" ht="16.2" thickBot="1">
      <c r="A15" s="4400"/>
      <c r="B15" s="4403" t="s">
        <v>902</v>
      </c>
      <c r="C15" s="683"/>
      <c r="D15" s="4406" t="s">
        <v>903</v>
      </c>
      <c r="E15" s="4407"/>
      <c r="F15" s="334" t="s">
        <v>904</v>
      </c>
      <c r="G15" s="335"/>
      <c r="H15" s="336"/>
      <c r="I15" s="337" t="s">
        <v>905</v>
      </c>
      <c r="J15" s="338"/>
      <c r="K15" s="338"/>
      <c r="L15" s="339"/>
      <c r="M15" s="340"/>
      <c r="N15" s="341"/>
    </row>
    <row r="16" spans="1:14" ht="27.6">
      <c r="A16" s="4401"/>
      <c r="B16" s="4404"/>
      <c r="C16" s="711"/>
      <c r="D16" s="4408"/>
      <c r="E16" s="4409"/>
      <c r="F16" s="342" t="s">
        <v>906</v>
      </c>
      <c r="G16" s="343"/>
      <c r="H16" s="344" t="s">
        <v>907</v>
      </c>
      <c r="I16" s="345" t="s">
        <v>908</v>
      </c>
      <c r="J16" s="346"/>
      <c r="K16" s="347"/>
      <c r="L16" s="756" t="s">
        <v>1248</v>
      </c>
      <c r="M16" s="348"/>
      <c r="N16" s="1448"/>
    </row>
    <row r="17" spans="1:19" s="357" customFormat="1" ht="80.25" customHeight="1">
      <c r="A17" s="4402"/>
      <c r="B17" s="4405"/>
      <c r="C17" s="682"/>
      <c r="D17" s="174" t="s">
        <v>909</v>
      </c>
      <c r="E17" s="349" t="s">
        <v>910</v>
      </c>
      <c r="F17" s="350" t="s">
        <v>911</v>
      </c>
      <c r="G17" s="17" t="s">
        <v>912</v>
      </c>
      <c r="H17" s="351" t="s">
        <v>913</v>
      </c>
      <c r="I17" s="352" t="s">
        <v>914</v>
      </c>
      <c r="J17" s="174" t="s">
        <v>915</v>
      </c>
      <c r="K17" s="353" t="s">
        <v>419</v>
      </c>
      <c r="L17" s="354" t="s">
        <v>1260</v>
      </c>
      <c r="M17" s="355" t="s">
        <v>915</v>
      </c>
      <c r="N17" s="356" t="s">
        <v>419</v>
      </c>
    </row>
    <row r="18" spans="1:19" s="369" customFormat="1" ht="28.5" customHeight="1">
      <c r="A18" s="358">
        <v>1</v>
      </c>
      <c r="B18" s="359">
        <v>2</v>
      </c>
      <c r="C18" s="359"/>
      <c r="D18" s="360">
        <v>3</v>
      </c>
      <c r="E18" s="361">
        <v>4</v>
      </c>
      <c r="F18" s="362">
        <v>5</v>
      </c>
      <c r="G18" s="360">
        <v>6</v>
      </c>
      <c r="H18" s="363">
        <v>7</v>
      </c>
      <c r="I18" s="364" t="s">
        <v>916</v>
      </c>
      <c r="J18" s="365" t="s">
        <v>917</v>
      </c>
      <c r="K18" s="366" t="s">
        <v>918</v>
      </c>
      <c r="L18" s="362">
        <v>11</v>
      </c>
      <c r="M18" s="360">
        <v>12</v>
      </c>
      <c r="N18" s="363">
        <v>13</v>
      </c>
      <c r="O18" s="367" t="s">
        <v>919</v>
      </c>
      <c r="P18" s="368"/>
      <c r="Q18" s="1452" t="s">
        <v>1806</v>
      </c>
      <c r="R18" s="1453"/>
      <c r="S18" s="1454"/>
    </row>
    <row r="19" spans="1:19" ht="17.399999999999999">
      <c r="A19" s="370" t="s">
        <v>920</v>
      </c>
      <c r="B19" s="300" t="s">
        <v>921</v>
      </c>
      <c r="C19" s="300"/>
      <c r="D19" s="371"/>
      <c r="E19" s="372"/>
      <c r="F19" s="373"/>
      <c r="G19" s="371"/>
      <c r="H19" s="374"/>
      <c r="I19" s="375">
        <f>'НВВ на содержание'!G8</f>
        <v>2006.8</v>
      </c>
      <c r="J19" s="376">
        <f>E40*E41/1000</f>
        <v>4275.3192945394321</v>
      </c>
      <c r="K19" s="377">
        <f>ROUND((I19+J19),1)</f>
        <v>6282.1</v>
      </c>
      <c r="L19" s="378"/>
      <c r="M19" s="379"/>
      <c r="N19" s="380">
        <f>N23-N31+N34</f>
        <v>12180.921282063948</v>
      </c>
      <c r="O19" s="367">
        <f>$E$40*$E$41/1000</f>
        <v>4275.3192945394321</v>
      </c>
      <c r="Q19" s="1452">
        <f>N23+K34-N32-K33</f>
        <v>12090.577342386528</v>
      </c>
      <c r="R19" s="1454"/>
      <c r="S19" s="1455"/>
    </row>
    <row r="20" spans="1:19" ht="16.2" thickBot="1">
      <c r="A20" s="381"/>
      <c r="B20" s="371" t="s">
        <v>922</v>
      </c>
      <c r="C20" s="371"/>
      <c r="D20" s="371"/>
      <c r="E20" s="372"/>
      <c r="F20" s="382"/>
      <c r="G20" s="383"/>
      <c r="H20" s="384"/>
      <c r="I20" s="729">
        <f>I23+I34-I31</f>
        <v>8926.9439707289348</v>
      </c>
      <c r="J20" s="385">
        <f>ROUND((J23+J34-J31),1)</f>
        <v>2970.5</v>
      </c>
      <c r="K20" s="377">
        <f>ROUND((I20+J20),1)</f>
        <v>11897.4</v>
      </c>
      <c r="L20" s="386"/>
      <c r="M20" s="298"/>
      <c r="N20" s="387"/>
      <c r="Q20" s="367"/>
    </row>
    <row r="21" spans="1:19" ht="1.5" hidden="1" customHeight="1">
      <c r="A21" s="388"/>
      <c r="B21" s="389" t="s">
        <v>923</v>
      </c>
      <c r="C21" s="389"/>
      <c r="D21" s="389"/>
      <c r="E21" s="390"/>
      <c r="F21" s="391"/>
      <c r="G21" s="392"/>
      <c r="H21" s="393"/>
      <c r="I21" s="394">
        <f>K19-K20</f>
        <v>-5615.2999999999993</v>
      </c>
      <c r="J21" s="395"/>
      <c r="K21" s="396"/>
      <c r="L21" s="397"/>
      <c r="M21" s="398"/>
      <c r="N21" s="399"/>
    </row>
    <row r="22" spans="1:19" ht="15.75" customHeight="1">
      <c r="A22" s="4385" t="s">
        <v>924</v>
      </c>
      <c r="B22" s="4387" t="s">
        <v>1799</v>
      </c>
      <c r="C22" s="4388"/>
      <c r="D22" s="4389"/>
      <c r="E22" s="4389"/>
      <c r="F22" s="400"/>
      <c r="G22" s="401"/>
      <c r="H22" s="402"/>
      <c r="I22" s="403" t="s">
        <v>925</v>
      </c>
      <c r="J22" s="404"/>
      <c r="K22" s="405"/>
      <c r="L22" s="406" t="s">
        <v>926</v>
      </c>
      <c r="M22" s="404"/>
      <c r="N22" s="407"/>
    </row>
    <row r="23" spans="1:19" ht="24" customHeight="1">
      <c r="A23" s="4386"/>
      <c r="B23" s="4390"/>
      <c r="C23" s="4391"/>
      <c r="D23" s="4391"/>
      <c r="E23" s="4391"/>
      <c r="F23" s="408"/>
      <c r="G23" s="409"/>
      <c r="H23" s="410"/>
      <c r="I23" s="411">
        <f>SUM(I25:I29)</f>
        <v>10368.683251818535</v>
      </c>
      <c r="J23" s="412">
        <f>SUM(J25:J29)</f>
        <v>3019.3427738000005</v>
      </c>
      <c r="K23" s="413">
        <f>I23+J23</f>
        <v>13388.026025618536</v>
      </c>
      <c r="L23" s="386"/>
      <c r="M23" s="298"/>
      <c r="N23" s="413">
        <f>SUM(N25:N29)</f>
        <v>13587.599999999999</v>
      </c>
      <c r="O23" s="716">
        <f>N23-K23</f>
        <v>199.5739743814629</v>
      </c>
      <c r="P23" s="730">
        <f>N19-K20</f>
        <v>283.52128206394809</v>
      </c>
    </row>
    <row r="24" spans="1:19" ht="27.75" customHeight="1">
      <c r="A24" s="373"/>
      <c r="B24" s="371" t="s">
        <v>927</v>
      </c>
      <c r="C24" s="712" t="s">
        <v>1250</v>
      </c>
      <c r="D24" s="1442">
        <f>SUM(D25:D29)</f>
        <v>1.2624265030200459</v>
      </c>
      <c r="E24" s="1441">
        <f>SUM(E25:E29)</f>
        <v>9965.9600000000009</v>
      </c>
      <c r="F24" s="373"/>
      <c r="G24" s="371"/>
      <c r="H24" s="374"/>
      <c r="I24" s="411"/>
      <c r="J24" s="412"/>
      <c r="K24" s="413"/>
      <c r="L24" s="386"/>
      <c r="M24" s="298"/>
      <c r="N24" s="413"/>
    </row>
    <row r="25" spans="1:19">
      <c r="A25" s="381"/>
      <c r="B25" s="415" t="s">
        <v>1798</v>
      </c>
      <c r="C25" s="1457">
        <f>E25/D25</f>
        <v>8214</v>
      </c>
      <c r="D25" s="1464">
        <f>E25/8214</f>
        <v>0.49549549549549549</v>
      </c>
      <c r="E25" s="1465">
        <v>4070</v>
      </c>
      <c r="F25" s="416">
        <f>E62</f>
        <v>364484.63</v>
      </c>
      <c r="G25" s="417">
        <f>F62</f>
        <v>151.36000000000001</v>
      </c>
      <c r="H25" s="418">
        <f>G62</f>
        <v>671</v>
      </c>
      <c r="I25" s="664">
        <f>D25*F25*12/1000</f>
        <v>2167.2059081081079</v>
      </c>
      <c r="J25" s="664">
        <f>E25*G25/1000</f>
        <v>616.03520000000003</v>
      </c>
      <c r="K25" s="669">
        <f>I25+J25</f>
        <v>2783.2411081081082</v>
      </c>
      <c r="L25" s="1444"/>
      <c r="M25" s="664"/>
      <c r="N25" s="669">
        <f>ROUND((E25*H25/1000),1)</f>
        <v>2731</v>
      </c>
    </row>
    <row r="26" spans="1:19">
      <c r="A26" s="381"/>
      <c r="B26" s="415" t="s">
        <v>928</v>
      </c>
      <c r="C26" s="1457">
        <f>E26/D26</f>
        <v>7841</v>
      </c>
      <c r="D26" s="1442">
        <f>E26/7841</f>
        <v>0.68810100752455039</v>
      </c>
      <c r="E26" s="1465">
        <v>5395.4</v>
      </c>
      <c r="F26" s="416">
        <f t="shared" ref="F26:H28" si="0">E64</f>
        <v>942948.34</v>
      </c>
      <c r="G26" s="417">
        <f t="shared" si="0"/>
        <v>414.16</v>
      </c>
      <c r="H26" s="418">
        <f t="shared" si="0"/>
        <v>1847.1</v>
      </c>
      <c r="I26" s="664">
        <f>D26*F26*12/1000</f>
        <v>7786.1244335712272</v>
      </c>
      <c r="J26" s="664">
        <f>E26*G26/1000</f>
        <v>2234.5588640000001</v>
      </c>
      <c r="K26" s="669">
        <f>I26+J26</f>
        <v>10020.683297571228</v>
      </c>
      <c r="L26" s="1444"/>
      <c r="M26" s="664"/>
      <c r="N26" s="669">
        <f>ROUND((E26*H26/1000),1)</f>
        <v>9965.7999999999993</v>
      </c>
    </row>
    <row r="27" spans="1:19">
      <c r="A27" s="381"/>
      <c r="B27" s="419" t="s">
        <v>1797</v>
      </c>
      <c r="C27" s="1457">
        <f>E27/D27</f>
        <v>18199.624530663335</v>
      </c>
      <c r="D27" s="1442">
        <f>Мощность!G28-'пл.об расч.по инд.межсет.та (2)'!D29</f>
        <v>1.5979999999999998E-2</v>
      </c>
      <c r="E27" s="1441">
        <f>'Прилож.2 структура 2011г.-2012г'!F35</f>
        <v>290.83000000000004</v>
      </c>
      <c r="F27" s="416">
        <f t="shared" si="0"/>
        <v>1640145.12</v>
      </c>
      <c r="G27" s="417">
        <f t="shared" si="0"/>
        <v>472.06</v>
      </c>
      <c r="H27" s="418">
        <f t="shared" si="0"/>
        <v>2747.68</v>
      </c>
      <c r="I27" s="664">
        <f>D27*F27*12/1000</f>
        <v>314.51422821119996</v>
      </c>
      <c r="J27" s="664">
        <f>E27*G27/1000</f>
        <v>137.28920980000001</v>
      </c>
      <c r="K27" s="669">
        <f>I27+J27</f>
        <v>451.8034380112</v>
      </c>
      <c r="L27" s="1444"/>
      <c r="M27" s="664"/>
      <c r="N27" s="669">
        <f>ROUND((E27*H27/1000),1)</f>
        <v>799.1</v>
      </c>
    </row>
    <row r="28" spans="1:19" s="485" customFormat="1" ht="28.2">
      <c r="A28" s="381"/>
      <c r="B28" s="419" t="s">
        <v>1796</v>
      </c>
      <c r="C28" s="1457">
        <f>E28/D28</f>
        <v>504.36835891381344</v>
      </c>
      <c r="D28" s="1442">
        <f>'П 1.6.'!K14</f>
        <v>4.2349999999999999E-2</v>
      </c>
      <c r="E28" s="1441">
        <f>'Прилож.2 структура 2011г.-2012г'!E26</f>
        <v>21.36</v>
      </c>
      <c r="F28" s="416">
        <f t="shared" si="0"/>
        <v>133702.84</v>
      </c>
      <c r="G28" s="417">
        <f t="shared" si="0"/>
        <v>150</v>
      </c>
      <c r="H28" s="418">
        <f t="shared" si="0"/>
        <v>437.28</v>
      </c>
      <c r="I28" s="664">
        <f>D28*F28*12/1000</f>
        <v>67.947783287999997</v>
      </c>
      <c r="J28" s="664">
        <f>E28*G28/1000</f>
        <v>3.2040000000000002</v>
      </c>
      <c r="K28" s="669">
        <f>I28+J28</f>
        <v>71.15178328799999</v>
      </c>
      <c r="L28" s="1444"/>
      <c r="M28" s="664"/>
      <c r="N28" s="669">
        <f>ROUND((E28*H28/1000),1)</f>
        <v>9.3000000000000007</v>
      </c>
    </row>
    <row r="29" spans="1:19" s="485" customFormat="1" ht="28.8" thickBot="1">
      <c r="A29" s="495"/>
      <c r="B29" s="419" t="s">
        <v>929</v>
      </c>
      <c r="C29" s="734">
        <f>E29/D29</f>
        <v>9188.7804878048773</v>
      </c>
      <c r="D29" s="1443">
        <f>'П 1.6.'!L14</f>
        <v>2.0500000000000001E-2</v>
      </c>
      <c r="E29" s="421">
        <f>'Прилож.2 структура 2011г.-2012г'!F26</f>
        <v>188.37</v>
      </c>
      <c r="F29" s="502">
        <f>F28</f>
        <v>133702.84</v>
      </c>
      <c r="G29" s="503">
        <f>G28</f>
        <v>150</v>
      </c>
      <c r="H29" s="504">
        <f>G66</f>
        <v>437.28</v>
      </c>
      <c r="I29" s="422">
        <f>D29*F29*12/1000</f>
        <v>32.890898639999996</v>
      </c>
      <c r="J29" s="423">
        <f>E29*G29/1000</f>
        <v>28.255500000000001</v>
      </c>
      <c r="K29" s="424">
        <f>I29+J29</f>
        <v>61.146398640000001</v>
      </c>
      <c r="L29" s="422"/>
      <c r="M29" s="1445"/>
      <c r="N29" s="424">
        <f>ROUND((E29*H29/1000),1)</f>
        <v>82.4</v>
      </c>
      <c r="O29" s="26"/>
    </row>
    <row r="30" spans="1:19" ht="16.5" customHeight="1">
      <c r="A30" s="4392" t="s">
        <v>930</v>
      </c>
      <c r="B30" s="4393" t="s">
        <v>1800</v>
      </c>
      <c r="C30" s="1458"/>
      <c r="D30" s="425" t="s">
        <v>931</v>
      </c>
      <c r="E30" s="456"/>
      <c r="F30" s="458" t="s">
        <v>932</v>
      </c>
      <c r="G30" s="425"/>
      <c r="H30" s="425"/>
      <c r="I30" s="426" t="s">
        <v>925</v>
      </c>
      <c r="J30" s="427"/>
      <c r="K30" s="428"/>
      <c r="L30" s="406" t="s">
        <v>926</v>
      </c>
      <c r="M30" s="427"/>
      <c r="N30" s="428"/>
    </row>
    <row r="31" spans="1:19" ht="27.6">
      <c r="A31" s="4386"/>
      <c r="B31" s="4394"/>
      <c r="C31" s="1459"/>
      <c r="D31" s="355" t="s">
        <v>909</v>
      </c>
      <c r="E31" s="457" t="s">
        <v>910</v>
      </c>
      <c r="F31" s="459" t="s">
        <v>933</v>
      </c>
      <c r="G31" s="429" t="s">
        <v>251</v>
      </c>
      <c r="H31" s="506" t="s">
        <v>1118</v>
      </c>
      <c r="I31" s="1444">
        <f>SUM(I32:I33)</f>
        <v>5162.2075864799999</v>
      </c>
      <c r="J31" s="664">
        <f>SUM(J32:J33)</f>
        <v>1930.7856701799999</v>
      </c>
      <c r="K31" s="1456">
        <f>SUM(K32:K33)</f>
        <v>7092.99325666</v>
      </c>
      <c r="L31" s="722">
        <f>SUM(L33:L33)</f>
        <v>0</v>
      </c>
      <c r="M31" s="573">
        <f>SUM(M33:M33)</f>
        <v>0</v>
      </c>
      <c r="N31" s="735">
        <f>SUM(N32:N33)</f>
        <v>7010.0425975200005</v>
      </c>
    </row>
    <row r="32" spans="1:19" ht="22.5" customHeight="1">
      <c r="A32" s="430">
        <v>1</v>
      </c>
      <c r="B32" s="371" t="s">
        <v>1802</v>
      </c>
      <c r="C32" s="733">
        <f>E32/D32</f>
        <v>7183.2162162162167</v>
      </c>
      <c r="D32" s="1449">
        <f>'П1.30 - 07.06.11г.'!D137</f>
        <v>7.3999999999999996E-2</v>
      </c>
      <c r="E32" s="1450">
        <f>'П1.30 - 07.06.11г.'!C137</f>
        <v>531.55799999999999</v>
      </c>
      <c r="F32" s="720">
        <v>279175.21000000002</v>
      </c>
      <c r="G32" s="721">
        <v>108.71</v>
      </c>
      <c r="H32" s="1451">
        <f>K32/E32*1000+12.17</f>
        <v>587.25918435993799</v>
      </c>
      <c r="I32" s="386">
        <f>$D32*$F32*12/1000</f>
        <v>247.90758647999999</v>
      </c>
      <c r="J32" s="298">
        <f>$E32*$G32/1000</f>
        <v>57.785670179999997</v>
      </c>
      <c r="K32" s="387">
        <f>I32+J32</f>
        <v>305.69325665999997</v>
      </c>
      <c r="L32" s="573"/>
      <c r="M32" s="573"/>
      <c r="N32" s="710">
        <f>E32*H32/1000</f>
        <v>312.16231751999993</v>
      </c>
    </row>
    <row r="33" spans="1:15" ht="22.5" customHeight="1" thickBot="1">
      <c r="A33" s="430">
        <v>1</v>
      </c>
      <c r="B33" s="371" t="s">
        <v>1803</v>
      </c>
      <c r="C33" s="733">
        <f>E33/D33</f>
        <v>4242.727272727273</v>
      </c>
      <c r="D33" s="414">
        <v>0.22</v>
      </c>
      <c r="E33" s="1440">
        <v>933.4</v>
      </c>
      <c r="F33" s="720">
        <v>1861465.03</v>
      </c>
      <c r="G33" s="721">
        <v>2006.61</v>
      </c>
      <c r="H33" s="1451">
        <f>K33/E33*1000-95.8</f>
        <v>7175.7877437325915</v>
      </c>
      <c r="I33" s="664">
        <f>ROUND(($D$33*$F$33*12/1000),1)</f>
        <v>4914.3</v>
      </c>
      <c r="J33" s="664">
        <f>ROUND(($E$33*$G$33/1000),1)</f>
        <v>1873</v>
      </c>
      <c r="K33" s="669">
        <f>I33+J33</f>
        <v>6787.3</v>
      </c>
      <c r="L33" s="573"/>
      <c r="M33" s="573"/>
      <c r="N33" s="710">
        <f>E33*H33/1000</f>
        <v>6697.8802800000003</v>
      </c>
    </row>
    <row r="34" spans="1:15" ht="47.4" thickBot="1">
      <c r="A34" s="744" t="s">
        <v>935</v>
      </c>
      <c r="B34" s="745" t="s">
        <v>1801</v>
      </c>
      <c r="C34" s="1460"/>
      <c r="D34" s="746"/>
      <c r="E34" s="747"/>
      <c r="F34" s="748" t="s">
        <v>933</v>
      </c>
      <c r="G34" s="749" t="s">
        <v>251</v>
      </c>
      <c r="H34" s="750" t="s">
        <v>251</v>
      </c>
      <c r="I34" s="751">
        <f>SUM(I35:I37)</f>
        <v>3720.4683053904</v>
      </c>
      <c r="J34" s="752">
        <f>SUM(J35:J37)</f>
        <v>1881.9713545161289</v>
      </c>
      <c r="K34" s="753">
        <f>SUM(K35:K37)</f>
        <v>5602.4396599065294</v>
      </c>
      <c r="L34" s="754">
        <f>SUM(L36:L37)</f>
        <v>0</v>
      </c>
      <c r="M34" s="755">
        <f>SUM(M36:M37)</f>
        <v>0</v>
      </c>
      <c r="N34" s="753">
        <f>SUM(N35:N37)</f>
        <v>5603.3638795839488</v>
      </c>
    </row>
    <row r="35" spans="1:15">
      <c r="A35" s="736">
        <v>1</v>
      </c>
      <c r="B35" s="454" t="s">
        <v>934</v>
      </c>
      <c r="C35" s="737">
        <f>E35/D35</f>
        <v>10579.474030008745</v>
      </c>
      <c r="D35" s="1447">
        <f>Мощность!C8</f>
        <v>2.9119899999999999</v>
      </c>
      <c r="E35" s="1446">
        <f>'Прилож.2 структура 2011г.-2012г'!G23+'Прилож.2 структура 2011г.-2012г'!G21+'Прилож.2 структура 2011г.-2012г'!G17</f>
        <v>30807.322580645166</v>
      </c>
      <c r="F35" s="738">
        <v>451.08</v>
      </c>
      <c r="G35" s="739">
        <v>0.82</v>
      </c>
      <c r="H35" s="1451">
        <f>K35/E35*1000+0.03</f>
        <v>1.3616473640037399</v>
      </c>
      <c r="I35" s="740">
        <f>$D$35*$F$35*12/1000</f>
        <v>15.762485390399997</v>
      </c>
      <c r="J35" s="741">
        <f>$E$35*$G$35/1000</f>
        <v>25.262004516129036</v>
      </c>
      <c r="K35" s="742">
        <f>I35+J35</f>
        <v>41.024489906529034</v>
      </c>
      <c r="L35" s="743"/>
      <c r="M35" s="741"/>
      <c r="N35" s="742">
        <f>E35*H35/1000</f>
        <v>41.948709583948379</v>
      </c>
    </row>
    <row r="36" spans="1:15">
      <c r="A36" s="455">
        <v>2</v>
      </c>
      <c r="B36" s="371" t="s">
        <v>960</v>
      </c>
      <c r="C36" s="733">
        <f>E36/D36</f>
        <v>8643.75</v>
      </c>
      <c r="D36" s="414">
        <f>1.56+0.04</f>
        <v>1.6</v>
      </c>
      <c r="E36" s="713">
        <f>13465+365</f>
        <v>13830</v>
      </c>
      <c r="F36" s="723">
        <v>169906.8</v>
      </c>
      <c r="G36" s="724">
        <v>114.55</v>
      </c>
      <c r="H36" s="725">
        <f>K36/E36*1000</f>
        <v>350.42928850325382</v>
      </c>
      <c r="I36" s="386">
        <f>$D36*$F36*12/1000</f>
        <v>3262.21056</v>
      </c>
      <c r="J36" s="298">
        <f>$E36*$G36/1000</f>
        <v>1584.2265</v>
      </c>
      <c r="K36" s="387">
        <f>I36+J36</f>
        <v>4846.4370600000002</v>
      </c>
      <c r="L36" s="501"/>
      <c r="M36" s="298"/>
      <c r="N36" s="387">
        <f>E36*H36/1000</f>
        <v>4846.4370600000002</v>
      </c>
    </row>
    <row r="37" spans="1:15" ht="16.2" thickBot="1">
      <c r="A37" s="431">
        <v>3</v>
      </c>
      <c r="B37" s="383" t="s">
        <v>1804</v>
      </c>
      <c r="C37" s="734">
        <f>E37/D37</f>
        <v>4553.3333333333339</v>
      </c>
      <c r="D37" s="420">
        <v>0.15</v>
      </c>
      <c r="E37" s="714">
        <v>683</v>
      </c>
      <c r="F37" s="726">
        <v>245830.7</v>
      </c>
      <c r="G37" s="727">
        <v>398.95</v>
      </c>
      <c r="H37" s="728">
        <f>K37/E37*1000</f>
        <v>1046.8200732064422</v>
      </c>
      <c r="I37" s="719">
        <f>$D$37*$F$37*12/1000</f>
        <v>442.49526000000003</v>
      </c>
      <c r="J37" s="718">
        <f>$E$37*$G$37/1000</f>
        <v>272.48284999999998</v>
      </c>
      <c r="K37" s="757">
        <f>I37+J37</f>
        <v>714.97811000000002</v>
      </c>
      <c r="L37" s="731"/>
      <c r="M37" s="732"/>
      <c r="N37" s="424">
        <f>E37*H37/1000</f>
        <v>714.97811000000002</v>
      </c>
    </row>
    <row r="38" spans="1:15" hidden="1">
      <c r="F38" s="172"/>
      <c r="G38" s="172"/>
      <c r="H38" s="172"/>
      <c r="L38" s="26"/>
      <c r="M38" s="26"/>
      <c r="N38" s="26"/>
    </row>
    <row r="39" spans="1:15">
      <c r="B39" s="99" t="s">
        <v>851</v>
      </c>
      <c r="C39" s="99"/>
      <c r="L39" s="26"/>
      <c r="M39" s="26"/>
      <c r="N39" s="26"/>
    </row>
    <row r="40" spans="1:15">
      <c r="D40" s="99" t="s">
        <v>1805</v>
      </c>
      <c r="E40" s="1463">
        <f>Электроэнергия!C19*1000</f>
        <v>1406.4739</v>
      </c>
      <c r="F40" s="26" t="s">
        <v>936</v>
      </c>
      <c r="H40" s="715">
        <f>E36+E37+E29+E40</f>
        <v>16107.8439</v>
      </c>
      <c r="L40" s="26"/>
      <c r="M40" s="26"/>
      <c r="N40" s="26"/>
    </row>
    <row r="41" spans="1:15">
      <c r="D41" s="99" t="s">
        <v>937</v>
      </c>
      <c r="E41" s="432">
        <f>Расчет!G1*1000</f>
        <v>3039.7430727576475</v>
      </c>
      <c r="F41" s="26" t="s">
        <v>938</v>
      </c>
      <c r="L41" s="26"/>
      <c r="M41" s="26"/>
      <c r="N41" s="26"/>
    </row>
    <row r="42" spans="1:15" hidden="1"/>
    <row r="43" spans="1:15" hidden="1">
      <c r="E43" s="26" t="s">
        <v>938</v>
      </c>
      <c r="G43" s="507" t="s">
        <v>1257</v>
      </c>
      <c r="H43" s="507"/>
      <c r="I43" s="507"/>
      <c r="J43" s="507"/>
      <c r="K43" s="507"/>
    </row>
    <row r="44" spans="1:15" hidden="1">
      <c r="E44" s="514"/>
      <c r="F44" s="513"/>
      <c r="G44" s="508" t="s">
        <v>932</v>
      </c>
      <c r="H44" s="508"/>
      <c r="I44" s="508"/>
      <c r="J44" s="512" t="s">
        <v>1119</v>
      </c>
      <c r="K44" s="512"/>
      <c r="L44" s="26"/>
      <c r="M44" s="26"/>
      <c r="N44" s="26"/>
      <c r="O44" s="433"/>
    </row>
    <row r="45" spans="1:15" ht="27" hidden="1">
      <c r="E45" s="514"/>
      <c r="F45" s="513"/>
      <c r="G45" s="509" t="s">
        <v>933</v>
      </c>
      <c r="H45" s="509" t="s">
        <v>251</v>
      </c>
      <c r="I45" s="510" t="s">
        <v>1118</v>
      </c>
      <c r="J45" s="507"/>
      <c r="K45" s="507"/>
      <c r="L45" s="26"/>
      <c r="M45" s="26"/>
      <c r="N45" s="26"/>
      <c r="O45" s="434"/>
    </row>
    <row r="46" spans="1:15" hidden="1">
      <c r="E46" s="514"/>
      <c r="F46" s="513"/>
      <c r="G46" s="231"/>
      <c r="H46" s="231"/>
      <c r="I46" s="231"/>
      <c r="J46" s="507"/>
      <c r="K46" s="507"/>
      <c r="L46" s="26"/>
      <c r="M46" s="26"/>
      <c r="N46" s="26"/>
      <c r="O46" s="433"/>
    </row>
    <row r="47" spans="1:15" hidden="1">
      <c r="E47" s="514"/>
      <c r="F47" s="513" t="s">
        <v>1258</v>
      </c>
      <c r="G47" s="231"/>
      <c r="H47" s="231"/>
      <c r="I47" s="231"/>
      <c r="J47" s="507"/>
      <c r="K47" s="507"/>
    </row>
    <row r="48" spans="1:15" hidden="1">
      <c r="E48" s="514"/>
      <c r="F48" s="513" t="s">
        <v>934</v>
      </c>
      <c r="G48" s="511"/>
      <c r="H48" s="511"/>
      <c r="I48" s="511"/>
      <c r="J48" s="507"/>
      <c r="K48" s="511"/>
    </row>
    <row r="49" spans="2:14" hidden="1">
      <c r="E49" s="514"/>
      <c r="F49" s="513" t="s">
        <v>960</v>
      </c>
      <c r="G49" s="511"/>
      <c r="H49" s="511"/>
      <c r="I49" s="511"/>
      <c r="J49" s="507"/>
      <c r="K49" s="511"/>
    </row>
    <row r="50" spans="2:14" hidden="1">
      <c r="E50" s="514"/>
      <c r="F50" s="513" t="s">
        <v>1255</v>
      </c>
      <c r="G50" s="511"/>
      <c r="H50" s="511"/>
      <c r="I50" s="511"/>
      <c r="J50" s="507"/>
      <c r="K50" s="511"/>
    </row>
    <row r="51" spans="2:14" hidden="1">
      <c r="E51" s="514"/>
      <c r="F51" s="513" t="s">
        <v>640</v>
      </c>
      <c r="G51" s="511"/>
      <c r="H51" s="511"/>
      <c r="I51" s="511"/>
      <c r="J51" s="507"/>
      <c r="K51" s="511"/>
    </row>
    <row r="52" spans="2:14" hidden="1"/>
    <row r="53" spans="2:14" hidden="1"/>
    <row r="54" spans="2:14" hidden="1">
      <c r="K54" s="172"/>
      <c r="L54" s="26"/>
      <c r="M54" s="26"/>
      <c r="N54" s="26"/>
    </row>
    <row r="55" spans="2:14" hidden="1"/>
    <row r="56" spans="2:14" hidden="1"/>
    <row r="57" spans="2:14" ht="12.75" customHeight="1">
      <c r="B57" s="10" t="s">
        <v>1120</v>
      </c>
      <c r="C57" s="10"/>
      <c r="D57" s="10"/>
      <c r="E57" s="10"/>
      <c r="F57" s="10"/>
      <c r="G57" s="206"/>
      <c r="H57" s="207"/>
    </row>
    <row r="58" spans="2:14">
      <c r="B58" s="4209" t="s">
        <v>836</v>
      </c>
      <c r="C58" s="12"/>
      <c r="D58" s="12"/>
      <c r="E58" s="4395" t="s">
        <v>837</v>
      </c>
      <c r="F58" s="39" t="s">
        <v>838</v>
      </c>
      <c r="G58" s="4209" t="s">
        <v>839</v>
      </c>
      <c r="H58" s="10"/>
    </row>
    <row r="59" spans="2:14" ht="66.599999999999994">
      <c r="B59" s="4216"/>
      <c r="C59" s="21"/>
      <c r="D59" s="21"/>
      <c r="E59" s="4396"/>
      <c r="F59" s="39" t="s">
        <v>840</v>
      </c>
      <c r="G59" s="4210"/>
      <c r="H59" s="10"/>
    </row>
    <row r="60" spans="2:14" ht="16.8">
      <c r="B60" s="4216"/>
      <c r="C60" s="21"/>
      <c r="D60" s="21"/>
      <c r="E60" s="176" t="s">
        <v>841</v>
      </c>
      <c r="F60" s="176" t="s">
        <v>842</v>
      </c>
      <c r="G60" s="17"/>
      <c r="H60" s="207" t="s">
        <v>835</v>
      </c>
    </row>
    <row r="61" spans="2:14" ht="15.75" customHeight="1">
      <c r="B61" s="4210"/>
      <c r="C61" s="14"/>
      <c r="D61" s="14"/>
      <c r="E61" s="17" t="s">
        <v>291</v>
      </c>
      <c r="F61" s="17" t="s">
        <v>843</v>
      </c>
      <c r="G61" s="17" t="s">
        <v>843</v>
      </c>
      <c r="H61" s="206"/>
    </row>
    <row r="62" spans="2:14">
      <c r="B62" s="17" t="s">
        <v>697</v>
      </c>
      <c r="C62" s="690"/>
      <c r="D62" s="690"/>
      <c r="E62" s="691">
        <v>364484.63</v>
      </c>
      <c r="F62" s="691">
        <v>151.36000000000001</v>
      </c>
      <c r="G62" s="691">
        <v>671</v>
      </c>
      <c r="H62" s="692">
        <f>(E62*12/(G62-F62))</f>
        <v>8417.0109306442937</v>
      </c>
    </row>
    <row r="63" spans="2:14">
      <c r="B63" s="17" t="s">
        <v>676</v>
      </c>
      <c r="C63" s="17"/>
      <c r="D63" s="17"/>
      <c r="E63" s="313">
        <v>684381.17</v>
      </c>
      <c r="F63" s="313">
        <v>162.12</v>
      </c>
      <c r="G63" s="313">
        <v>1153.6500000000001</v>
      </c>
      <c r="H63" s="206">
        <f>(E63*12/(G63-F63))</f>
        <v>8282.7287525339634</v>
      </c>
    </row>
    <row r="64" spans="2:14">
      <c r="B64" s="39" t="s">
        <v>847</v>
      </c>
      <c r="C64" s="39"/>
      <c r="D64" s="39"/>
      <c r="E64" s="313">
        <v>942948.34</v>
      </c>
      <c r="F64" s="313">
        <v>414.16</v>
      </c>
      <c r="G64" s="313">
        <v>1847.1</v>
      </c>
      <c r="H64" s="206">
        <f>(E64*12/(G64-F64))</f>
        <v>7896.6181975518875</v>
      </c>
    </row>
    <row r="65" spans="2:8">
      <c r="B65" s="17" t="s">
        <v>681</v>
      </c>
      <c r="C65" s="690"/>
      <c r="D65" s="690"/>
      <c r="E65" s="691">
        <v>1640145.12</v>
      </c>
      <c r="F65" s="691">
        <v>472.06</v>
      </c>
      <c r="G65" s="691">
        <v>2747.68</v>
      </c>
      <c r="H65" s="692">
        <f>(E65*12/(G65-F65))</f>
        <v>8648.9578400611717</v>
      </c>
    </row>
    <row r="66" spans="2:8">
      <c r="B66" s="465" t="s">
        <v>962</v>
      </c>
      <c r="C66" s="465"/>
      <c r="D66" s="465"/>
      <c r="E66" s="466">
        <v>133702.84</v>
      </c>
      <c r="F66" s="466">
        <v>150</v>
      </c>
      <c r="G66" s="466">
        <v>437.28</v>
      </c>
      <c r="H66" s="320">
        <f>(E66*12/(G66-F66))</f>
        <v>5584.9139515455308</v>
      </c>
    </row>
    <row r="67" spans="2:8">
      <c r="B67" s="106"/>
      <c r="C67" s="106"/>
      <c r="D67" s="106"/>
      <c r="E67" s="106"/>
      <c r="F67" s="106"/>
      <c r="G67" s="106"/>
      <c r="H67" s="106"/>
    </row>
  </sheetData>
  <mergeCells count="14">
    <mergeCell ref="G58:G59"/>
    <mergeCell ref="A22:A23"/>
    <mergeCell ref="B22:E23"/>
    <mergeCell ref="A30:A31"/>
    <mergeCell ref="B30:B31"/>
    <mergeCell ref="B58:B61"/>
    <mergeCell ref="E58:E59"/>
    <mergeCell ref="B6:B9"/>
    <mergeCell ref="D6:D7"/>
    <mergeCell ref="E6:E7"/>
    <mergeCell ref="F6:F7"/>
    <mergeCell ref="A15:A17"/>
    <mergeCell ref="B15:B17"/>
    <mergeCell ref="D15:E16"/>
  </mergeCells>
  <printOptions horizontalCentered="1"/>
  <pageMargins left="0.39370078740157483" right="0.39370078740157483" top="0.19685039370078741" bottom="3.937007874015748E-2" header="0.11811023622047245" footer="3.937007874015748E-2"/>
  <pageSetup paperSize="9" scale="61" orientation="landscape" r:id="rId1"/>
  <headerFooter alignWithMargins="0">
    <oddFooter>&amp;L&amp;8________________________________________________________________________
&amp;F&amp;A</oddFooter>
  </headerFooter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1">
    <tabColor theme="9" tint="0.59999389629810485"/>
  </sheetPr>
  <dimension ref="A1:S67"/>
  <sheetViews>
    <sheetView topLeftCell="A18" workbookViewId="0">
      <selection activeCell="K8" sqref="K8"/>
    </sheetView>
  </sheetViews>
  <sheetFormatPr defaultColWidth="9.109375" defaultRowHeight="15.6"/>
  <cols>
    <col min="1" max="1" width="6" style="26" customWidth="1"/>
    <col min="2" max="2" width="42.6640625" style="26" customWidth="1"/>
    <col min="3" max="3" width="7.6640625" style="26" customWidth="1"/>
    <col min="4" max="4" width="11.109375" style="26" customWidth="1"/>
    <col min="5" max="5" width="12.44140625" style="26" customWidth="1"/>
    <col min="6" max="6" width="12.88671875" style="26" customWidth="1"/>
    <col min="7" max="7" width="12.44140625" style="26" customWidth="1"/>
    <col min="8" max="8" width="11" style="26" customWidth="1"/>
    <col min="9" max="9" width="13.109375" style="26" customWidth="1"/>
    <col min="10" max="10" width="10.44140625" style="26" customWidth="1"/>
    <col min="11" max="11" width="12" style="26" customWidth="1"/>
    <col min="12" max="13" width="9" style="172" customWidth="1"/>
    <col min="14" max="14" width="12.5546875" style="172" bestFit="1" customWidth="1"/>
    <col min="15" max="15" width="9.109375" style="26"/>
    <col min="16" max="16" width="10.44140625" style="26" customWidth="1"/>
    <col min="17" max="18" width="9.109375" style="26"/>
    <col min="19" max="19" width="11.6640625" style="26" customWidth="1"/>
    <col min="20" max="16384" width="9.109375" style="26"/>
  </cols>
  <sheetData>
    <row r="1" spans="1:14">
      <c r="A1" s="109" t="s">
        <v>1256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321"/>
      <c r="M1" s="321"/>
      <c r="N1" s="321"/>
    </row>
    <row r="2" spans="1:14">
      <c r="A2" s="109" t="s">
        <v>1262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321"/>
      <c r="M2" s="321"/>
      <c r="N2" s="321"/>
    </row>
    <row r="3" spans="1:14" ht="16.2" thickBot="1">
      <c r="A3" s="109"/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321"/>
      <c r="M3" s="321"/>
      <c r="N3" s="321"/>
    </row>
    <row r="4" spans="1:14" ht="16.2" hidden="1" thickBot="1">
      <c r="B4" s="322" t="s">
        <v>893</v>
      </c>
      <c r="C4" s="322"/>
      <c r="D4" s="172"/>
      <c r="E4" s="172"/>
      <c r="F4" s="172"/>
      <c r="G4" s="172"/>
      <c r="H4" s="172"/>
      <c r="I4" s="172"/>
    </row>
    <row r="5" spans="1:14" ht="16.2" hidden="1" thickBot="1">
      <c r="B5" s="172"/>
      <c r="C5" s="172"/>
      <c r="D5" s="172"/>
      <c r="E5" s="172"/>
      <c r="H5" s="172"/>
      <c r="I5" s="172"/>
    </row>
    <row r="6" spans="1:14" ht="27.75" hidden="1" customHeight="1">
      <c r="B6" s="4202" t="s">
        <v>836</v>
      </c>
      <c r="C6" s="679"/>
      <c r="D6" s="4397" t="s">
        <v>837</v>
      </c>
      <c r="E6" s="4397" t="s">
        <v>898</v>
      </c>
      <c r="F6" s="4399" t="s">
        <v>839</v>
      </c>
    </row>
    <row r="7" spans="1:14" ht="48" hidden="1" customHeight="1">
      <c r="B7" s="4203"/>
      <c r="C7" s="680"/>
      <c r="D7" s="4398"/>
      <c r="E7" s="4398"/>
      <c r="F7" s="4399"/>
    </row>
    <row r="8" spans="1:14" ht="18.600000000000001" hidden="1" thickBot="1">
      <c r="B8" s="4203"/>
      <c r="C8" s="680"/>
      <c r="D8" s="323" t="s">
        <v>899</v>
      </c>
      <c r="E8" s="323" t="s">
        <v>900</v>
      </c>
      <c r="F8" s="81"/>
    </row>
    <row r="9" spans="1:14" ht="31.8" hidden="1" thickBot="1">
      <c r="B9" s="4204"/>
      <c r="C9" s="681"/>
      <c r="D9" s="81" t="s">
        <v>291</v>
      </c>
      <c r="E9" s="81" t="s">
        <v>251</v>
      </c>
      <c r="F9" s="81" t="s">
        <v>251</v>
      </c>
      <c r="G9" s="322" t="s">
        <v>835</v>
      </c>
    </row>
    <row r="10" spans="1:14" ht="16.2" hidden="1" thickBot="1">
      <c r="B10" s="81" t="s">
        <v>697</v>
      </c>
      <c r="C10" s="81"/>
      <c r="D10" s="324">
        <v>300621.82</v>
      </c>
      <c r="E10" s="324">
        <v>176.8</v>
      </c>
      <c r="F10" s="325">
        <v>592.41</v>
      </c>
      <c r="G10" s="326">
        <f>(D10*12/(F10-E10))</f>
        <v>8679.9206948822211</v>
      </c>
    </row>
    <row r="11" spans="1:14" ht="16.2" hidden="1" thickBot="1">
      <c r="B11" s="81" t="s">
        <v>676</v>
      </c>
      <c r="C11" s="81"/>
      <c r="D11" s="324">
        <v>490793.23</v>
      </c>
      <c r="E11" s="324">
        <v>180</v>
      </c>
      <c r="F11" s="325">
        <v>969.48</v>
      </c>
      <c r="G11" s="326">
        <f>(D11*12/(F11-E11))</f>
        <v>7459.9974160206712</v>
      </c>
      <c r="H11" s="327"/>
      <c r="I11" s="328"/>
      <c r="L11" s="329"/>
    </row>
    <row r="12" spans="1:14" ht="16.2" hidden="1" thickBot="1">
      <c r="B12" s="330" t="s">
        <v>847</v>
      </c>
      <c r="C12" s="330"/>
      <c r="D12" s="324">
        <v>680321</v>
      </c>
      <c r="E12" s="324">
        <v>210</v>
      </c>
      <c r="F12" s="325">
        <v>1441.35</v>
      </c>
      <c r="G12" s="326">
        <f>(D12*12/(F12-E12))</f>
        <v>6630.0012181751745</v>
      </c>
      <c r="H12" s="99" t="s">
        <v>901</v>
      </c>
    </row>
    <row r="13" spans="1:14" ht="16.2" hidden="1" thickBot="1">
      <c r="B13" s="81" t="s">
        <v>681</v>
      </c>
      <c r="C13" s="81"/>
      <c r="D13" s="324">
        <v>851305.82</v>
      </c>
      <c r="E13" s="324">
        <v>432</v>
      </c>
      <c r="F13" s="325">
        <v>2296.17</v>
      </c>
      <c r="G13" s="326">
        <f>(D13*12/(F13-E13))</f>
        <v>5480.0097845153605</v>
      </c>
      <c r="H13" s="331">
        <f>(365-53)*16</f>
        <v>4992</v>
      </c>
      <c r="I13" s="26" t="s">
        <v>892</v>
      </c>
      <c r="L13" s="172" t="s">
        <v>892</v>
      </c>
    </row>
    <row r="14" spans="1:14" ht="16.2" hidden="1" thickBot="1">
      <c r="B14" s="85"/>
      <c r="C14" s="85"/>
      <c r="D14" s="332"/>
      <c r="E14" s="332"/>
      <c r="F14" s="333"/>
      <c r="G14" s="326"/>
      <c r="H14" s="331"/>
    </row>
    <row r="15" spans="1:14" ht="16.2" thickBot="1">
      <c r="A15" s="4400"/>
      <c r="B15" s="4403" t="s">
        <v>902</v>
      </c>
      <c r="C15" s="683"/>
      <c r="D15" s="4406" t="s">
        <v>903</v>
      </c>
      <c r="E15" s="4407"/>
      <c r="F15" s="334" t="s">
        <v>904</v>
      </c>
      <c r="G15" s="335"/>
      <c r="H15" s="336"/>
      <c r="I15" s="337" t="s">
        <v>905</v>
      </c>
      <c r="J15" s="338"/>
      <c r="K15" s="338"/>
      <c r="L15" s="339"/>
      <c r="M15" s="340"/>
      <c r="N15" s="341"/>
    </row>
    <row r="16" spans="1:14" ht="27.6">
      <c r="A16" s="4401"/>
      <c r="B16" s="4404"/>
      <c r="C16" s="711"/>
      <c r="D16" s="4408"/>
      <c r="E16" s="4409"/>
      <c r="F16" s="342" t="s">
        <v>906</v>
      </c>
      <c r="G16" s="343"/>
      <c r="H16" s="344" t="s">
        <v>907</v>
      </c>
      <c r="I16" s="345" t="s">
        <v>908</v>
      </c>
      <c r="J16" s="346"/>
      <c r="K16" s="347"/>
      <c r="L16" s="756" t="s">
        <v>1248</v>
      </c>
      <c r="M16" s="348"/>
      <c r="N16" s="1448"/>
    </row>
    <row r="17" spans="1:19" s="357" customFormat="1" ht="80.25" customHeight="1">
      <c r="A17" s="4402"/>
      <c r="B17" s="4405"/>
      <c r="C17" s="682"/>
      <c r="D17" s="174" t="s">
        <v>909</v>
      </c>
      <c r="E17" s="349" t="s">
        <v>910</v>
      </c>
      <c r="F17" s="350" t="s">
        <v>911</v>
      </c>
      <c r="G17" s="17" t="s">
        <v>912</v>
      </c>
      <c r="H17" s="351" t="s">
        <v>913</v>
      </c>
      <c r="I17" s="352" t="s">
        <v>914</v>
      </c>
      <c r="J17" s="174" t="s">
        <v>915</v>
      </c>
      <c r="K17" s="353" t="s">
        <v>419</v>
      </c>
      <c r="L17" s="354" t="s">
        <v>1260</v>
      </c>
      <c r="M17" s="355" t="s">
        <v>915</v>
      </c>
      <c r="N17" s="356" t="s">
        <v>419</v>
      </c>
    </row>
    <row r="18" spans="1:19" s="369" customFormat="1" ht="28.5" customHeight="1">
      <c r="A18" s="358">
        <v>1</v>
      </c>
      <c r="B18" s="359">
        <v>2</v>
      </c>
      <c r="C18" s="359"/>
      <c r="D18" s="360">
        <v>3</v>
      </c>
      <c r="E18" s="361">
        <v>4</v>
      </c>
      <c r="F18" s="362">
        <v>5</v>
      </c>
      <c r="G18" s="360">
        <v>6</v>
      </c>
      <c r="H18" s="363">
        <v>7</v>
      </c>
      <c r="I18" s="364" t="s">
        <v>916</v>
      </c>
      <c r="J18" s="365" t="s">
        <v>917</v>
      </c>
      <c r="K18" s="366" t="s">
        <v>918</v>
      </c>
      <c r="L18" s="362">
        <v>11</v>
      </c>
      <c r="M18" s="360">
        <v>12</v>
      </c>
      <c r="N18" s="363">
        <v>13</v>
      </c>
      <c r="O18" s="367" t="s">
        <v>919</v>
      </c>
      <c r="P18" s="368"/>
      <c r="Q18" s="1452" t="s">
        <v>1806</v>
      </c>
      <c r="R18" s="1453"/>
      <c r="S18" s="1454"/>
    </row>
    <row r="19" spans="1:19" ht="17.399999999999999">
      <c r="A19" s="370" t="s">
        <v>920</v>
      </c>
      <c r="B19" s="300" t="s">
        <v>921</v>
      </c>
      <c r="C19" s="300"/>
      <c r="D19" s="371"/>
      <c r="E19" s="372"/>
      <c r="F19" s="373"/>
      <c r="G19" s="371"/>
      <c r="H19" s="374"/>
      <c r="I19" s="375">
        <f>'НВВ на содержание'!G8</f>
        <v>2006.8</v>
      </c>
      <c r="J19" s="376">
        <f>E40*E41/1000</f>
        <v>4275.3192945394321</v>
      </c>
      <c r="K19" s="377">
        <f>ROUND((I19+J19),1)</f>
        <v>6282.1</v>
      </c>
      <c r="L19" s="378"/>
      <c r="M19" s="379"/>
      <c r="N19" s="380">
        <f>N23-N31+N34</f>
        <v>15731.92128206395</v>
      </c>
      <c r="O19" s="367">
        <f>$E$40*$E$41/1000</f>
        <v>4275.3192945394321</v>
      </c>
      <c r="Q19" s="1452">
        <f>N23+K34-N32-K33</f>
        <v>15641.577342386532</v>
      </c>
      <c r="R19" s="1454"/>
      <c r="S19" s="1455"/>
    </row>
    <row r="20" spans="1:19" ht="16.2" thickBot="1">
      <c r="A20" s="381"/>
      <c r="B20" s="371" t="s">
        <v>922</v>
      </c>
      <c r="C20" s="371"/>
      <c r="D20" s="371"/>
      <c r="E20" s="372"/>
      <c r="F20" s="382"/>
      <c r="G20" s="383"/>
      <c r="H20" s="384"/>
      <c r="I20" s="729">
        <f>I23+I34-I31</f>
        <v>9753.6902501675977</v>
      </c>
      <c r="J20" s="385">
        <f>ROUND((J23+J34-J31),1)</f>
        <v>3768.4</v>
      </c>
      <c r="K20" s="377">
        <f>ROUND((I20+J20),1)</f>
        <v>13522.1</v>
      </c>
      <c r="L20" s="386"/>
      <c r="M20" s="298"/>
      <c r="N20" s="387"/>
      <c r="Q20" s="367"/>
    </row>
    <row r="21" spans="1:19" ht="1.5" hidden="1" customHeight="1">
      <c r="A21" s="388"/>
      <c r="B21" s="389" t="s">
        <v>923</v>
      </c>
      <c r="C21" s="389"/>
      <c r="D21" s="389"/>
      <c r="E21" s="390"/>
      <c r="F21" s="391"/>
      <c r="G21" s="392"/>
      <c r="H21" s="393"/>
      <c r="I21" s="394">
        <f>K19-K20</f>
        <v>-7240</v>
      </c>
      <c r="J21" s="395"/>
      <c r="K21" s="396"/>
      <c r="L21" s="397"/>
      <c r="M21" s="398"/>
      <c r="N21" s="399"/>
    </row>
    <row r="22" spans="1:19" ht="15.75" customHeight="1">
      <c r="A22" s="4385" t="s">
        <v>924</v>
      </c>
      <c r="B22" s="4387" t="s">
        <v>1799</v>
      </c>
      <c r="C22" s="4388"/>
      <c r="D22" s="4389"/>
      <c r="E22" s="4389"/>
      <c r="F22" s="400"/>
      <c r="G22" s="401"/>
      <c r="H22" s="402"/>
      <c r="I22" s="403" t="s">
        <v>925</v>
      </c>
      <c r="J22" s="404"/>
      <c r="K22" s="405"/>
      <c r="L22" s="406" t="s">
        <v>926</v>
      </c>
      <c r="M22" s="404"/>
      <c r="N22" s="407"/>
    </row>
    <row r="23" spans="1:19" ht="24" customHeight="1">
      <c r="A23" s="4386"/>
      <c r="B23" s="4390"/>
      <c r="C23" s="4391"/>
      <c r="D23" s="4391"/>
      <c r="E23" s="4391"/>
      <c r="F23" s="408"/>
      <c r="G23" s="409"/>
      <c r="H23" s="410"/>
      <c r="I23" s="411">
        <f>SUM(I25:I29)</f>
        <v>11195.429531257198</v>
      </c>
      <c r="J23" s="412">
        <f>SUM(J25:J29)</f>
        <v>3817.2356842000013</v>
      </c>
      <c r="K23" s="413">
        <f>I23+J23</f>
        <v>15012.665215457198</v>
      </c>
      <c r="L23" s="386"/>
      <c r="M23" s="298"/>
      <c r="N23" s="413">
        <f>SUM(N25:N29)</f>
        <v>17138.600000000002</v>
      </c>
      <c r="O23" s="716">
        <f>N23-K23</f>
        <v>2125.9347845428038</v>
      </c>
      <c r="P23" s="730">
        <f>N19-K20</f>
        <v>2209.8212820639492</v>
      </c>
    </row>
    <row r="24" spans="1:19" ht="27.75" customHeight="1">
      <c r="A24" s="373"/>
      <c r="B24" s="371" t="s">
        <v>927</v>
      </c>
      <c r="C24" s="712" t="s">
        <v>1250</v>
      </c>
      <c r="D24" s="1442">
        <f>SUM(D25:D29)</f>
        <v>0.80467</v>
      </c>
      <c r="E24" s="1441">
        <f>SUM(E25:E29)</f>
        <v>13071.400000000001</v>
      </c>
      <c r="F24" s="373"/>
      <c r="G24" s="371"/>
      <c r="H24" s="374"/>
      <c r="I24" s="411"/>
      <c r="J24" s="412"/>
      <c r="K24" s="413"/>
      <c r="L24" s="386"/>
      <c r="M24" s="298"/>
      <c r="N24" s="413"/>
    </row>
    <row r="25" spans="1:19">
      <c r="A25" s="381"/>
      <c r="B25" s="415" t="s">
        <v>1798</v>
      </c>
      <c r="C25" s="1457">
        <f>E25/D25</f>
        <v>-16030.449714702945</v>
      </c>
      <c r="D25" s="1442">
        <f>Мощность!D28-'пл.об расч.по инд.межсет.тар.11'!D33-'пл.об расч.по инд.межсет.тар.11'!D37-1.56</f>
        <v>-0.36978999999999984</v>
      </c>
      <c r="E25" s="1441">
        <f>'Прилож.2 структура 2011г.-2012г'!C35</f>
        <v>5927.9</v>
      </c>
      <c r="F25" s="416">
        <f>E62</f>
        <v>364484.63</v>
      </c>
      <c r="G25" s="417">
        <f>F62</f>
        <v>151.36000000000001</v>
      </c>
      <c r="H25" s="418">
        <f>G62</f>
        <v>671</v>
      </c>
      <c r="I25" s="664">
        <f>D25*F25*12/1000</f>
        <v>-1617.3932559323994</v>
      </c>
      <c r="J25" s="664">
        <f>E25*G25/1000</f>
        <v>897.24694399999998</v>
      </c>
      <c r="K25" s="669">
        <f>I25+J25</f>
        <v>-720.14631193239939</v>
      </c>
      <c r="L25" s="1444"/>
      <c r="M25" s="664"/>
      <c r="N25" s="669">
        <f>ROUND((E25*H25/1000),1)</f>
        <v>3977.6</v>
      </c>
    </row>
    <row r="26" spans="1:19">
      <c r="A26" s="381"/>
      <c r="B26" s="415" t="s">
        <v>928</v>
      </c>
      <c r="C26" s="1457">
        <f>E26/D26</f>
        <v>6063.1234997216225</v>
      </c>
      <c r="D26" s="1442">
        <f>Мощность!F28-0.04</f>
        <v>1.0956299999999999</v>
      </c>
      <c r="E26" s="1441">
        <f>'Прилож.2 структура 2011г.-2012г'!E35</f>
        <v>6642.9400000000005</v>
      </c>
      <c r="F26" s="416">
        <f t="shared" ref="F26:H28" si="0">E64</f>
        <v>942948.34</v>
      </c>
      <c r="G26" s="417">
        <f t="shared" si="0"/>
        <v>414.16</v>
      </c>
      <c r="H26" s="418">
        <f t="shared" si="0"/>
        <v>1847.1</v>
      </c>
      <c r="I26" s="664">
        <f>D26*F26*12/1000</f>
        <v>12397.469877050398</v>
      </c>
      <c r="J26" s="664">
        <f>E26*G26/1000</f>
        <v>2751.2400304000007</v>
      </c>
      <c r="K26" s="669">
        <f>I26+J26</f>
        <v>15148.709907450399</v>
      </c>
      <c r="L26" s="1444"/>
      <c r="M26" s="664"/>
      <c r="N26" s="669">
        <f>ROUND((E26*H26/1000),1)</f>
        <v>12270.2</v>
      </c>
    </row>
    <row r="27" spans="1:19">
      <c r="A27" s="381"/>
      <c r="B27" s="419" t="s">
        <v>1797</v>
      </c>
      <c r="C27" s="1457">
        <f>E27/D27</f>
        <v>18199.624530663335</v>
      </c>
      <c r="D27" s="1442">
        <f>Мощность!G28-'пл.об расч.по инд.межсет.тар.11'!D29</f>
        <v>1.5979999999999998E-2</v>
      </c>
      <c r="E27" s="1441">
        <f>'Прилож.2 структура 2011г.-2012г'!F35</f>
        <v>290.83000000000004</v>
      </c>
      <c r="F27" s="416">
        <f t="shared" si="0"/>
        <v>1640145.12</v>
      </c>
      <c r="G27" s="417">
        <f t="shared" si="0"/>
        <v>472.06</v>
      </c>
      <c r="H27" s="418">
        <f t="shared" si="0"/>
        <v>2747.68</v>
      </c>
      <c r="I27" s="664">
        <f>D27*F27*12/1000</f>
        <v>314.51422821119996</v>
      </c>
      <c r="J27" s="664">
        <f>E27*G27/1000</f>
        <v>137.28920980000001</v>
      </c>
      <c r="K27" s="669">
        <f>I27+J27</f>
        <v>451.8034380112</v>
      </c>
      <c r="L27" s="1444"/>
      <c r="M27" s="664"/>
      <c r="N27" s="669">
        <f>ROUND((E27*H27/1000),1)</f>
        <v>799.1</v>
      </c>
    </row>
    <row r="28" spans="1:19" s="485" customFormat="1" ht="28.2">
      <c r="A28" s="381"/>
      <c r="B28" s="419" t="s">
        <v>1796</v>
      </c>
      <c r="C28" s="1457">
        <f>E28/D28</f>
        <v>504.36835891381344</v>
      </c>
      <c r="D28" s="1442">
        <f>'П 1.6.'!K14</f>
        <v>4.2349999999999999E-2</v>
      </c>
      <c r="E28" s="1441">
        <f>'Прилож.2 структура 2011г.-2012г'!E26</f>
        <v>21.36</v>
      </c>
      <c r="F28" s="416">
        <f t="shared" si="0"/>
        <v>133702.84</v>
      </c>
      <c r="G28" s="417">
        <f t="shared" si="0"/>
        <v>150</v>
      </c>
      <c r="H28" s="418">
        <f t="shared" si="0"/>
        <v>437.28</v>
      </c>
      <c r="I28" s="664">
        <f>D28*F28*12/1000</f>
        <v>67.947783287999997</v>
      </c>
      <c r="J28" s="664">
        <f>E28*G28/1000</f>
        <v>3.2040000000000002</v>
      </c>
      <c r="K28" s="669">
        <f>I28+J28</f>
        <v>71.15178328799999</v>
      </c>
      <c r="L28" s="1444"/>
      <c r="M28" s="664"/>
      <c r="N28" s="669">
        <f>ROUND((E28*H28/1000),1)</f>
        <v>9.3000000000000007</v>
      </c>
    </row>
    <row r="29" spans="1:19" s="485" customFormat="1" ht="28.8" thickBot="1">
      <c r="A29" s="495"/>
      <c r="B29" s="419" t="s">
        <v>929</v>
      </c>
      <c r="C29" s="734">
        <f>E29/D29</f>
        <v>9188.7804878048773</v>
      </c>
      <c r="D29" s="1443">
        <f>'П 1.6.'!L14</f>
        <v>2.0500000000000001E-2</v>
      </c>
      <c r="E29" s="421">
        <f>'Прилож.2 структура 2011г.-2012г'!F26</f>
        <v>188.37</v>
      </c>
      <c r="F29" s="502">
        <f>F28</f>
        <v>133702.84</v>
      </c>
      <c r="G29" s="503">
        <f>G28</f>
        <v>150</v>
      </c>
      <c r="H29" s="504">
        <f>G66</f>
        <v>437.28</v>
      </c>
      <c r="I29" s="422">
        <f>D29*F29*12/1000</f>
        <v>32.890898639999996</v>
      </c>
      <c r="J29" s="423">
        <f>E29*G29/1000</f>
        <v>28.255500000000001</v>
      </c>
      <c r="K29" s="424">
        <f>I29+J29</f>
        <v>61.146398640000001</v>
      </c>
      <c r="L29" s="422"/>
      <c r="M29" s="1445"/>
      <c r="N29" s="424">
        <f>ROUND((E29*H29/1000),1)</f>
        <v>82.4</v>
      </c>
      <c r="O29" s="26"/>
    </row>
    <row r="30" spans="1:19" ht="16.5" customHeight="1">
      <c r="A30" s="4392" t="s">
        <v>930</v>
      </c>
      <c r="B30" s="4393" t="s">
        <v>1800</v>
      </c>
      <c r="C30" s="1458"/>
      <c r="D30" s="425" t="s">
        <v>931</v>
      </c>
      <c r="E30" s="456"/>
      <c r="F30" s="458" t="s">
        <v>932</v>
      </c>
      <c r="G30" s="425"/>
      <c r="H30" s="425"/>
      <c r="I30" s="426" t="s">
        <v>925</v>
      </c>
      <c r="J30" s="427"/>
      <c r="K30" s="428"/>
      <c r="L30" s="406" t="s">
        <v>926</v>
      </c>
      <c r="M30" s="427"/>
      <c r="N30" s="428"/>
    </row>
    <row r="31" spans="1:19" ht="27.6">
      <c r="A31" s="4386"/>
      <c r="B31" s="4394"/>
      <c r="C31" s="1459"/>
      <c r="D31" s="355" t="s">
        <v>909</v>
      </c>
      <c r="E31" s="457" t="s">
        <v>910</v>
      </c>
      <c r="F31" s="459" t="s">
        <v>933</v>
      </c>
      <c r="G31" s="429" t="s">
        <v>251</v>
      </c>
      <c r="H31" s="506" t="s">
        <v>1118</v>
      </c>
      <c r="I31" s="1444">
        <f>SUM(I32:I33)</f>
        <v>5162.2075864799999</v>
      </c>
      <c r="J31" s="664">
        <f>SUM(J32:J33)</f>
        <v>1930.7856701799999</v>
      </c>
      <c r="K31" s="1456">
        <f>SUM(K32:K33)</f>
        <v>7092.99325666</v>
      </c>
      <c r="L31" s="722">
        <f>SUM(L33:L33)</f>
        <v>0</v>
      </c>
      <c r="M31" s="573">
        <f>SUM(M33:M33)</f>
        <v>0</v>
      </c>
      <c r="N31" s="735">
        <f>SUM(N32:N33)</f>
        <v>7010.0425975200005</v>
      </c>
    </row>
    <row r="32" spans="1:19" ht="22.5" customHeight="1">
      <c r="A32" s="430">
        <v>1</v>
      </c>
      <c r="B32" s="371" t="s">
        <v>1802</v>
      </c>
      <c r="C32" s="733">
        <f>E32/D32</f>
        <v>7183.2162162162167</v>
      </c>
      <c r="D32" s="1449">
        <f>'П1.30 - 07.06.11г.'!D137</f>
        <v>7.3999999999999996E-2</v>
      </c>
      <c r="E32" s="1450">
        <f>'П1.30 - 07.06.11г.'!C137</f>
        <v>531.55799999999999</v>
      </c>
      <c r="F32" s="720">
        <v>279175.21000000002</v>
      </c>
      <c r="G32" s="721">
        <v>108.71</v>
      </c>
      <c r="H32" s="1451">
        <f>K32/E32*1000+12.17</f>
        <v>587.25918435993799</v>
      </c>
      <c r="I32" s="386">
        <f>$D32*$F32*12/1000</f>
        <v>247.90758647999999</v>
      </c>
      <c r="J32" s="298">
        <f>$E32*$G32/1000</f>
        <v>57.785670179999997</v>
      </c>
      <c r="K32" s="387">
        <f>I32+J32</f>
        <v>305.69325665999997</v>
      </c>
      <c r="L32" s="573"/>
      <c r="M32" s="573"/>
      <c r="N32" s="710">
        <f>E32*H32/1000</f>
        <v>312.16231751999993</v>
      </c>
    </row>
    <row r="33" spans="1:15" ht="22.5" customHeight="1" thickBot="1">
      <c r="A33" s="430">
        <v>1</v>
      </c>
      <c r="B33" s="371" t="s">
        <v>1803</v>
      </c>
      <c r="C33" s="733">
        <f>E33/D33</f>
        <v>4242.727272727273</v>
      </c>
      <c r="D33" s="414">
        <v>0.22</v>
      </c>
      <c r="E33" s="1440">
        <v>933.4</v>
      </c>
      <c r="F33" s="720">
        <v>1861465.03</v>
      </c>
      <c r="G33" s="721">
        <v>2006.61</v>
      </c>
      <c r="H33" s="1451">
        <f>K33/E33*1000-95.8</f>
        <v>7175.7877437325915</v>
      </c>
      <c r="I33" s="664">
        <f>ROUND(($D$33*$F$33*12/1000),1)</f>
        <v>4914.3</v>
      </c>
      <c r="J33" s="664">
        <f>ROUND(($E$33*$G$33/1000),1)</f>
        <v>1873</v>
      </c>
      <c r="K33" s="669">
        <f>I33+J33</f>
        <v>6787.3</v>
      </c>
      <c r="L33" s="573"/>
      <c r="M33" s="573"/>
      <c r="N33" s="710">
        <f>E33*H33/1000</f>
        <v>6697.8802800000003</v>
      </c>
    </row>
    <row r="34" spans="1:15" ht="47.4" thickBot="1">
      <c r="A34" s="744" t="s">
        <v>935</v>
      </c>
      <c r="B34" s="745" t="s">
        <v>1801</v>
      </c>
      <c r="C34" s="1460"/>
      <c r="D34" s="746"/>
      <c r="E34" s="747"/>
      <c r="F34" s="748" t="s">
        <v>933</v>
      </c>
      <c r="G34" s="749" t="s">
        <v>251</v>
      </c>
      <c r="H34" s="750" t="s">
        <v>251</v>
      </c>
      <c r="I34" s="751">
        <f>SUM(I35:I37)</f>
        <v>3720.4683053904</v>
      </c>
      <c r="J34" s="752">
        <f>SUM(J35:J37)</f>
        <v>1881.9713545161289</v>
      </c>
      <c r="K34" s="753">
        <f>SUM(K35:K37)</f>
        <v>5602.4396599065294</v>
      </c>
      <c r="L34" s="754">
        <f>SUM(L36:L37)</f>
        <v>0</v>
      </c>
      <c r="M34" s="755">
        <f>SUM(M36:M37)</f>
        <v>0</v>
      </c>
      <c r="N34" s="753">
        <f>SUM(N35:N37)</f>
        <v>5603.3638795839488</v>
      </c>
    </row>
    <row r="35" spans="1:15">
      <c r="A35" s="736">
        <v>1</v>
      </c>
      <c r="B35" s="454" t="s">
        <v>934</v>
      </c>
      <c r="C35" s="737">
        <f>E35/D35</f>
        <v>10579.474030008745</v>
      </c>
      <c r="D35" s="1447">
        <f>Мощность!C8</f>
        <v>2.9119899999999999</v>
      </c>
      <c r="E35" s="1446">
        <f>'Прилож.2 структура 2011г.-2012г'!G23+'Прилож.2 структура 2011г.-2012г'!G21+'Прилож.2 структура 2011г.-2012г'!G17</f>
        <v>30807.322580645166</v>
      </c>
      <c r="F35" s="738">
        <v>451.08</v>
      </c>
      <c r="G35" s="739">
        <v>0.82</v>
      </c>
      <c r="H35" s="1451">
        <f>K35/E35*1000+0.03</f>
        <v>1.3616473640037399</v>
      </c>
      <c r="I35" s="740">
        <f>$D$35*$F$35*12/1000</f>
        <v>15.762485390399997</v>
      </c>
      <c r="J35" s="741">
        <f>$E$35*$G$35/1000</f>
        <v>25.262004516129036</v>
      </c>
      <c r="K35" s="742">
        <f>I35+J35</f>
        <v>41.024489906529034</v>
      </c>
      <c r="L35" s="743"/>
      <c r="M35" s="741"/>
      <c r="N35" s="742">
        <f>E35*H35/1000</f>
        <v>41.948709583948379</v>
      </c>
    </row>
    <row r="36" spans="1:15">
      <c r="A36" s="455">
        <v>2</v>
      </c>
      <c r="B36" s="371" t="s">
        <v>960</v>
      </c>
      <c r="C36" s="733">
        <f>E36/D36</f>
        <v>8643.75</v>
      </c>
      <c r="D36" s="414">
        <f>1.56+0.04</f>
        <v>1.6</v>
      </c>
      <c r="E36" s="713">
        <f>13465+365</f>
        <v>13830</v>
      </c>
      <c r="F36" s="723">
        <v>169906.8</v>
      </c>
      <c r="G36" s="724">
        <v>114.55</v>
      </c>
      <c r="H36" s="725">
        <f>K36/E36*1000</f>
        <v>350.42928850325382</v>
      </c>
      <c r="I36" s="386">
        <f>$D36*$F36*12/1000</f>
        <v>3262.21056</v>
      </c>
      <c r="J36" s="298">
        <f>$E36*$G36/1000</f>
        <v>1584.2265</v>
      </c>
      <c r="K36" s="387">
        <f>I36+J36</f>
        <v>4846.4370600000002</v>
      </c>
      <c r="L36" s="501"/>
      <c r="M36" s="298"/>
      <c r="N36" s="387">
        <f>E36*H36/1000</f>
        <v>4846.4370600000002</v>
      </c>
    </row>
    <row r="37" spans="1:15" ht="16.2" thickBot="1">
      <c r="A37" s="431">
        <v>3</v>
      </c>
      <c r="B37" s="383" t="s">
        <v>1804</v>
      </c>
      <c r="C37" s="734">
        <f>E37/D37</f>
        <v>4553.3333333333339</v>
      </c>
      <c r="D37" s="420">
        <v>0.15</v>
      </c>
      <c r="E37" s="714">
        <v>683</v>
      </c>
      <c r="F37" s="726">
        <v>245830.7</v>
      </c>
      <c r="G37" s="727">
        <v>398.95</v>
      </c>
      <c r="H37" s="728">
        <f>K37/E37*1000</f>
        <v>1046.8200732064422</v>
      </c>
      <c r="I37" s="719">
        <f>$D$37*$F$37*12/1000</f>
        <v>442.49526000000003</v>
      </c>
      <c r="J37" s="718">
        <f>$E$37*$G$37/1000</f>
        <v>272.48284999999998</v>
      </c>
      <c r="K37" s="757">
        <f>I37+J37</f>
        <v>714.97811000000002</v>
      </c>
      <c r="L37" s="731"/>
      <c r="M37" s="732"/>
      <c r="N37" s="424">
        <f>E37*H37/1000</f>
        <v>714.97811000000002</v>
      </c>
    </row>
    <row r="38" spans="1:15" hidden="1">
      <c r="F38" s="172"/>
      <c r="G38" s="172"/>
      <c r="H38" s="172"/>
      <c r="L38" s="26"/>
      <c r="M38" s="26"/>
      <c r="N38" s="26"/>
    </row>
    <row r="39" spans="1:15">
      <c r="B39" s="99" t="s">
        <v>851</v>
      </c>
      <c r="C39" s="99"/>
      <c r="L39" s="26"/>
      <c r="M39" s="26"/>
      <c r="N39" s="26"/>
    </row>
    <row r="40" spans="1:15">
      <c r="D40" s="99" t="s">
        <v>1805</v>
      </c>
      <c r="E40" s="1463">
        <f>Электроэнергия!C19*1000</f>
        <v>1406.4739</v>
      </c>
      <c r="F40" s="26" t="s">
        <v>936</v>
      </c>
      <c r="H40" s="715">
        <f>E36+E37+E29+E40</f>
        <v>16107.8439</v>
      </c>
      <c r="L40" s="26"/>
      <c r="M40" s="26"/>
      <c r="N40" s="26"/>
    </row>
    <row r="41" spans="1:15">
      <c r="D41" s="99" t="s">
        <v>937</v>
      </c>
      <c r="E41" s="432">
        <f>Расчет!G1*1000</f>
        <v>3039.7430727576475</v>
      </c>
      <c r="F41" s="26" t="s">
        <v>938</v>
      </c>
      <c r="L41" s="26"/>
      <c r="M41" s="26"/>
      <c r="N41" s="26"/>
    </row>
    <row r="42" spans="1:15" hidden="1"/>
    <row r="43" spans="1:15" hidden="1">
      <c r="E43" s="26" t="s">
        <v>938</v>
      </c>
      <c r="G43" s="507" t="s">
        <v>1257</v>
      </c>
      <c r="H43" s="507"/>
      <c r="I43" s="507"/>
      <c r="J43" s="507"/>
      <c r="K43" s="507"/>
    </row>
    <row r="44" spans="1:15" hidden="1">
      <c r="E44" s="514"/>
      <c r="F44" s="513"/>
      <c r="G44" s="508" t="s">
        <v>932</v>
      </c>
      <c r="H44" s="508"/>
      <c r="I44" s="508"/>
      <c r="J44" s="512" t="s">
        <v>1119</v>
      </c>
      <c r="K44" s="512"/>
      <c r="L44" s="26"/>
      <c r="M44" s="26"/>
      <c r="N44" s="26"/>
      <c r="O44" s="433"/>
    </row>
    <row r="45" spans="1:15" ht="27" hidden="1">
      <c r="E45" s="514"/>
      <c r="F45" s="513"/>
      <c r="G45" s="509" t="s">
        <v>933</v>
      </c>
      <c r="H45" s="509" t="s">
        <v>251</v>
      </c>
      <c r="I45" s="510" t="s">
        <v>1118</v>
      </c>
      <c r="J45" s="507"/>
      <c r="K45" s="507"/>
      <c r="L45" s="26"/>
      <c r="M45" s="26"/>
      <c r="N45" s="26"/>
      <c r="O45" s="434"/>
    </row>
    <row r="46" spans="1:15" hidden="1">
      <c r="E46" s="514"/>
      <c r="F46" s="513"/>
      <c r="G46" s="231"/>
      <c r="H46" s="231"/>
      <c r="I46" s="231"/>
      <c r="J46" s="507"/>
      <c r="K46" s="507"/>
      <c r="L46" s="26"/>
      <c r="M46" s="26"/>
      <c r="N46" s="26"/>
      <c r="O46" s="433"/>
    </row>
    <row r="47" spans="1:15" hidden="1">
      <c r="E47" s="514"/>
      <c r="F47" s="513" t="s">
        <v>1258</v>
      </c>
      <c r="G47" s="231"/>
      <c r="H47" s="231"/>
      <c r="I47" s="231"/>
      <c r="J47" s="507"/>
      <c r="K47" s="507"/>
    </row>
    <row r="48" spans="1:15" hidden="1">
      <c r="E48" s="514"/>
      <c r="F48" s="513" t="s">
        <v>934</v>
      </c>
      <c r="G48" s="511"/>
      <c r="H48" s="511"/>
      <c r="I48" s="511"/>
      <c r="J48" s="507"/>
      <c r="K48" s="511"/>
    </row>
    <row r="49" spans="2:14" hidden="1">
      <c r="E49" s="514"/>
      <c r="F49" s="513" t="s">
        <v>960</v>
      </c>
      <c r="G49" s="511"/>
      <c r="H49" s="511"/>
      <c r="I49" s="511"/>
      <c r="J49" s="507"/>
      <c r="K49" s="511"/>
    </row>
    <row r="50" spans="2:14" hidden="1">
      <c r="E50" s="514"/>
      <c r="F50" s="513" t="s">
        <v>1255</v>
      </c>
      <c r="G50" s="511"/>
      <c r="H50" s="511"/>
      <c r="I50" s="511"/>
      <c r="J50" s="507"/>
      <c r="K50" s="511"/>
    </row>
    <row r="51" spans="2:14" hidden="1">
      <c r="E51" s="514"/>
      <c r="F51" s="513" t="s">
        <v>640</v>
      </c>
      <c r="G51" s="511"/>
      <c r="H51" s="511"/>
      <c r="I51" s="511"/>
      <c r="J51" s="507"/>
      <c r="K51" s="511"/>
    </row>
    <row r="52" spans="2:14" hidden="1"/>
    <row r="53" spans="2:14" hidden="1"/>
    <row r="54" spans="2:14" hidden="1">
      <c r="K54" s="172"/>
      <c r="L54" s="26"/>
      <c r="M54" s="26"/>
      <c r="N54" s="26"/>
    </row>
    <row r="55" spans="2:14" hidden="1"/>
    <row r="56" spans="2:14" hidden="1"/>
    <row r="57" spans="2:14" ht="12.75" customHeight="1">
      <c r="B57" s="10" t="s">
        <v>1120</v>
      </c>
      <c r="C57" s="10"/>
      <c r="D57" s="10"/>
      <c r="E57" s="10"/>
      <c r="F57" s="10"/>
      <c r="G57" s="206"/>
      <c r="H57" s="207"/>
    </row>
    <row r="58" spans="2:14">
      <c r="B58" s="4209" t="s">
        <v>836</v>
      </c>
      <c r="C58" s="12"/>
      <c r="D58" s="12"/>
      <c r="E58" s="4395" t="s">
        <v>837</v>
      </c>
      <c r="F58" s="39" t="s">
        <v>838</v>
      </c>
      <c r="G58" s="4209" t="s">
        <v>839</v>
      </c>
      <c r="H58" s="10"/>
    </row>
    <row r="59" spans="2:14" ht="66.599999999999994">
      <c r="B59" s="4216"/>
      <c r="C59" s="21"/>
      <c r="D59" s="21"/>
      <c r="E59" s="4396"/>
      <c r="F59" s="39" t="s">
        <v>840</v>
      </c>
      <c r="G59" s="4210"/>
      <c r="H59" s="10"/>
    </row>
    <row r="60" spans="2:14" ht="16.8">
      <c r="B60" s="4216"/>
      <c r="C60" s="21"/>
      <c r="D60" s="21"/>
      <c r="E60" s="176" t="s">
        <v>841</v>
      </c>
      <c r="F60" s="176" t="s">
        <v>842</v>
      </c>
      <c r="G60" s="17"/>
      <c r="H60" s="207" t="s">
        <v>835</v>
      </c>
    </row>
    <row r="61" spans="2:14" ht="15.75" customHeight="1">
      <c r="B61" s="4210"/>
      <c r="C61" s="14"/>
      <c r="D61" s="14"/>
      <c r="E61" s="17" t="s">
        <v>291</v>
      </c>
      <c r="F61" s="17" t="s">
        <v>843</v>
      </c>
      <c r="G61" s="17" t="s">
        <v>843</v>
      </c>
      <c r="H61" s="206"/>
    </row>
    <row r="62" spans="2:14">
      <c r="B62" s="17" t="s">
        <v>697</v>
      </c>
      <c r="C62" s="690"/>
      <c r="D62" s="690"/>
      <c r="E62" s="691">
        <v>364484.63</v>
      </c>
      <c r="F62" s="691">
        <v>151.36000000000001</v>
      </c>
      <c r="G62" s="691">
        <v>671</v>
      </c>
      <c r="H62" s="692">
        <f>(E62*12/(G62-F62))</f>
        <v>8417.0109306442937</v>
      </c>
    </row>
    <row r="63" spans="2:14">
      <c r="B63" s="17" t="s">
        <v>676</v>
      </c>
      <c r="C63" s="17"/>
      <c r="D63" s="17"/>
      <c r="E63" s="313">
        <v>684381.17</v>
      </c>
      <c r="F63" s="313">
        <v>162.12</v>
      </c>
      <c r="G63" s="313">
        <v>1153.6500000000001</v>
      </c>
      <c r="H63" s="206">
        <f>(E63*12/(G63-F63))</f>
        <v>8282.7287525339634</v>
      </c>
    </row>
    <row r="64" spans="2:14">
      <c r="B64" s="39" t="s">
        <v>847</v>
      </c>
      <c r="C64" s="39"/>
      <c r="D64" s="39"/>
      <c r="E64" s="313">
        <v>942948.34</v>
      </c>
      <c r="F64" s="313">
        <v>414.16</v>
      </c>
      <c r="G64" s="313">
        <v>1847.1</v>
      </c>
      <c r="H64" s="206">
        <f>(E64*12/(G64-F64))</f>
        <v>7896.6181975518875</v>
      </c>
    </row>
    <row r="65" spans="2:8">
      <c r="B65" s="17" t="s">
        <v>681</v>
      </c>
      <c r="C65" s="690"/>
      <c r="D65" s="690"/>
      <c r="E65" s="691">
        <v>1640145.12</v>
      </c>
      <c r="F65" s="691">
        <v>472.06</v>
      </c>
      <c r="G65" s="691">
        <v>2747.68</v>
      </c>
      <c r="H65" s="692">
        <f>(E65*12/(G65-F65))</f>
        <v>8648.9578400611717</v>
      </c>
    </row>
    <row r="66" spans="2:8">
      <c r="B66" s="465" t="s">
        <v>962</v>
      </c>
      <c r="C66" s="465"/>
      <c r="D66" s="465"/>
      <c r="E66" s="466">
        <v>133702.84</v>
      </c>
      <c r="F66" s="466">
        <v>150</v>
      </c>
      <c r="G66" s="466">
        <v>437.28</v>
      </c>
      <c r="H66" s="320">
        <f>(E66*12/(G66-F66))</f>
        <v>5584.9139515455308</v>
      </c>
    </row>
    <row r="67" spans="2:8">
      <c r="B67" s="106"/>
      <c r="C67" s="106"/>
      <c r="D67" s="106"/>
      <c r="E67" s="106"/>
      <c r="F67" s="106"/>
      <c r="G67" s="106"/>
      <c r="H67" s="106"/>
    </row>
  </sheetData>
  <mergeCells count="14">
    <mergeCell ref="F6:F7"/>
    <mergeCell ref="B15:B17"/>
    <mergeCell ref="D15:E16"/>
    <mergeCell ref="A15:A17"/>
    <mergeCell ref="B6:B9"/>
    <mergeCell ref="D6:D7"/>
    <mergeCell ref="E6:E7"/>
    <mergeCell ref="B58:B61"/>
    <mergeCell ref="E58:E59"/>
    <mergeCell ref="A22:A23"/>
    <mergeCell ref="B22:E23"/>
    <mergeCell ref="G58:G59"/>
    <mergeCell ref="A30:A31"/>
    <mergeCell ref="B30:B31"/>
  </mergeCells>
  <printOptions horizontalCentered="1"/>
  <pageMargins left="0.39370078740157483" right="0.39370078740157483" top="0.19685039370078741" bottom="3.937007874015748E-2" header="0.11811023622047245" footer="3.937007874015748E-2"/>
  <pageSetup paperSize="9" scale="61" orientation="landscape" r:id="rId1"/>
  <headerFooter alignWithMargins="0">
    <oddFooter>&amp;L&amp;8________________________________________________________________________
&amp;F&amp;A</oddFooter>
  </headerFooter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2">
    <tabColor theme="9" tint="0.59999389629810485"/>
  </sheetPr>
  <dimension ref="A1:S67"/>
  <sheetViews>
    <sheetView topLeftCell="A18" workbookViewId="0">
      <selection activeCell="K8" sqref="K8"/>
    </sheetView>
  </sheetViews>
  <sheetFormatPr defaultColWidth="9.109375" defaultRowHeight="15.6"/>
  <cols>
    <col min="1" max="1" width="6" style="26" customWidth="1"/>
    <col min="2" max="2" width="42.6640625" style="26" customWidth="1"/>
    <col min="3" max="3" width="9" style="26" customWidth="1"/>
    <col min="4" max="4" width="11.109375" style="26" customWidth="1"/>
    <col min="5" max="5" width="12.44140625" style="26" customWidth="1"/>
    <col min="6" max="6" width="12.88671875" style="26" customWidth="1"/>
    <col min="7" max="7" width="12.44140625" style="26" customWidth="1"/>
    <col min="8" max="8" width="11" style="26" customWidth="1"/>
    <col min="9" max="9" width="13.109375" style="26" customWidth="1"/>
    <col min="10" max="10" width="10.44140625" style="26" customWidth="1"/>
    <col min="11" max="11" width="12" style="26" customWidth="1"/>
    <col min="12" max="13" width="9" style="172" customWidth="1"/>
    <col min="14" max="14" width="12.5546875" style="172" bestFit="1" customWidth="1"/>
    <col min="15" max="15" width="9.109375" style="26"/>
    <col min="16" max="16" width="10.44140625" style="26" customWidth="1"/>
    <col min="17" max="18" width="9.109375" style="26"/>
    <col min="19" max="19" width="11.6640625" style="26" customWidth="1"/>
    <col min="20" max="16384" width="9.109375" style="26"/>
  </cols>
  <sheetData>
    <row r="1" spans="1:14">
      <c r="A1" s="109" t="s">
        <v>1256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321"/>
      <c r="M1" s="321"/>
      <c r="N1" s="321"/>
    </row>
    <row r="2" spans="1:14">
      <c r="A2" s="109" t="s">
        <v>1262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321"/>
      <c r="M2" s="321"/>
      <c r="N2" s="321"/>
    </row>
    <row r="3" spans="1:14" ht="16.2" thickBot="1">
      <c r="A3" s="109"/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321"/>
      <c r="M3" s="321"/>
      <c r="N3" s="321"/>
    </row>
    <row r="4" spans="1:14" ht="16.2" hidden="1" thickBot="1">
      <c r="B4" s="322" t="s">
        <v>893</v>
      </c>
      <c r="C4" s="322"/>
      <c r="D4" s="172"/>
      <c r="E4" s="172"/>
      <c r="F4" s="172"/>
      <c r="G4" s="172"/>
      <c r="H4" s="172"/>
      <c r="I4" s="172"/>
    </row>
    <row r="5" spans="1:14" ht="16.2" hidden="1" thickBot="1">
      <c r="B5" s="172"/>
      <c r="C5" s="172"/>
      <c r="D5" s="172"/>
      <c r="E5" s="172"/>
      <c r="H5" s="172"/>
      <c r="I5" s="172"/>
    </row>
    <row r="6" spans="1:14" ht="27.75" hidden="1" customHeight="1">
      <c r="B6" s="4202" t="s">
        <v>836</v>
      </c>
      <c r="C6" s="679"/>
      <c r="D6" s="4397" t="s">
        <v>837</v>
      </c>
      <c r="E6" s="4397" t="s">
        <v>898</v>
      </c>
      <c r="F6" s="4399" t="s">
        <v>839</v>
      </c>
    </row>
    <row r="7" spans="1:14" ht="48" hidden="1" customHeight="1">
      <c r="B7" s="4203"/>
      <c r="C7" s="680"/>
      <c r="D7" s="4398"/>
      <c r="E7" s="4398"/>
      <c r="F7" s="4399"/>
    </row>
    <row r="8" spans="1:14" ht="18.600000000000001" hidden="1" thickBot="1">
      <c r="B8" s="4203"/>
      <c r="C8" s="680"/>
      <c r="D8" s="323" t="s">
        <v>899</v>
      </c>
      <c r="E8" s="323" t="s">
        <v>900</v>
      </c>
      <c r="F8" s="81"/>
    </row>
    <row r="9" spans="1:14" ht="31.8" hidden="1" thickBot="1">
      <c r="B9" s="4204"/>
      <c r="C9" s="681"/>
      <c r="D9" s="81" t="s">
        <v>291</v>
      </c>
      <c r="E9" s="81" t="s">
        <v>251</v>
      </c>
      <c r="F9" s="81" t="s">
        <v>251</v>
      </c>
      <c r="G9" s="322" t="s">
        <v>835</v>
      </c>
    </row>
    <row r="10" spans="1:14" ht="16.2" hidden="1" thickBot="1">
      <c r="B10" s="81" t="s">
        <v>697</v>
      </c>
      <c r="C10" s="81"/>
      <c r="D10" s="324">
        <v>300621.82</v>
      </c>
      <c r="E10" s="324">
        <v>176.8</v>
      </c>
      <c r="F10" s="325">
        <v>592.41</v>
      </c>
      <c r="G10" s="326">
        <f>(D10*12/(F10-E10))</f>
        <v>8679.9206948822211</v>
      </c>
    </row>
    <row r="11" spans="1:14" ht="16.2" hidden="1" thickBot="1">
      <c r="B11" s="81" t="s">
        <v>676</v>
      </c>
      <c r="C11" s="81"/>
      <c r="D11" s="324">
        <v>490793.23</v>
      </c>
      <c r="E11" s="324">
        <v>180</v>
      </c>
      <c r="F11" s="325">
        <v>969.48</v>
      </c>
      <c r="G11" s="326">
        <f>(D11*12/(F11-E11))</f>
        <v>7459.9974160206712</v>
      </c>
      <c r="H11" s="327"/>
      <c r="I11" s="328"/>
      <c r="L11" s="329"/>
    </row>
    <row r="12" spans="1:14" ht="16.2" hidden="1" thickBot="1">
      <c r="B12" s="330" t="s">
        <v>847</v>
      </c>
      <c r="C12" s="330"/>
      <c r="D12" s="324">
        <v>680321</v>
      </c>
      <c r="E12" s="324">
        <v>210</v>
      </c>
      <c r="F12" s="325">
        <v>1441.35</v>
      </c>
      <c r="G12" s="326">
        <f>(D12*12/(F12-E12))</f>
        <v>6630.0012181751745</v>
      </c>
      <c r="H12" s="99" t="s">
        <v>901</v>
      </c>
    </row>
    <row r="13" spans="1:14" ht="16.2" hidden="1" thickBot="1">
      <c r="B13" s="81" t="s">
        <v>681</v>
      </c>
      <c r="C13" s="81"/>
      <c r="D13" s="324">
        <v>851305.82</v>
      </c>
      <c r="E13" s="324">
        <v>432</v>
      </c>
      <c r="F13" s="325">
        <v>2296.17</v>
      </c>
      <c r="G13" s="326">
        <f>(D13*12/(F13-E13))</f>
        <v>5480.0097845153605</v>
      </c>
      <c r="H13" s="331">
        <f>(365-53)*16</f>
        <v>4992</v>
      </c>
      <c r="I13" s="26" t="s">
        <v>892</v>
      </c>
      <c r="L13" s="172" t="s">
        <v>892</v>
      </c>
    </row>
    <row r="14" spans="1:14" ht="16.2" hidden="1" thickBot="1">
      <c r="B14" s="85"/>
      <c r="C14" s="85"/>
      <c r="D14" s="332"/>
      <c r="E14" s="332"/>
      <c r="F14" s="333"/>
      <c r="G14" s="326"/>
      <c r="H14" s="331"/>
    </row>
    <row r="15" spans="1:14" ht="16.2" thickBot="1">
      <c r="A15" s="4400"/>
      <c r="B15" s="4403" t="s">
        <v>902</v>
      </c>
      <c r="C15" s="683"/>
      <c r="D15" s="4406" t="s">
        <v>903</v>
      </c>
      <c r="E15" s="4407"/>
      <c r="F15" s="334" t="s">
        <v>904</v>
      </c>
      <c r="G15" s="335"/>
      <c r="H15" s="336"/>
      <c r="I15" s="337" t="s">
        <v>905</v>
      </c>
      <c r="J15" s="338"/>
      <c r="K15" s="338"/>
      <c r="L15" s="339"/>
      <c r="M15" s="340"/>
      <c r="N15" s="341"/>
    </row>
    <row r="16" spans="1:14" ht="27.6">
      <c r="A16" s="4401"/>
      <c r="B16" s="4404"/>
      <c r="C16" s="711"/>
      <c r="D16" s="4408"/>
      <c r="E16" s="4409"/>
      <c r="F16" s="342" t="s">
        <v>906</v>
      </c>
      <c r="G16" s="343"/>
      <c r="H16" s="344" t="s">
        <v>907</v>
      </c>
      <c r="I16" s="345" t="s">
        <v>908</v>
      </c>
      <c r="J16" s="346"/>
      <c r="K16" s="347"/>
      <c r="L16" s="756" t="s">
        <v>1248</v>
      </c>
      <c r="M16" s="348"/>
      <c r="N16" s="1448"/>
    </row>
    <row r="17" spans="1:19" s="357" customFormat="1" ht="80.25" customHeight="1">
      <c r="A17" s="4402"/>
      <c r="B17" s="4405"/>
      <c r="C17" s="682"/>
      <c r="D17" s="174" t="s">
        <v>909</v>
      </c>
      <c r="E17" s="349" t="s">
        <v>910</v>
      </c>
      <c r="F17" s="350" t="s">
        <v>911</v>
      </c>
      <c r="G17" s="17" t="s">
        <v>912</v>
      </c>
      <c r="H17" s="351" t="s">
        <v>913</v>
      </c>
      <c r="I17" s="352" t="s">
        <v>914</v>
      </c>
      <c r="J17" s="174" t="s">
        <v>915</v>
      </c>
      <c r="K17" s="353" t="s">
        <v>419</v>
      </c>
      <c r="L17" s="354" t="s">
        <v>1260</v>
      </c>
      <c r="M17" s="355" t="s">
        <v>915</v>
      </c>
      <c r="N17" s="356" t="s">
        <v>419</v>
      </c>
    </row>
    <row r="18" spans="1:19" s="369" customFormat="1" ht="28.5" customHeight="1">
      <c r="A18" s="358">
        <v>1</v>
      </c>
      <c r="B18" s="359">
        <v>2</v>
      </c>
      <c r="C18" s="359"/>
      <c r="D18" s="360">
        <v>3</v>
      </c>
      <c r="E18" s="361">
        <v>4</v>
      </c>
      <c r="F18" s="362">
        <v>5</v>
      </c>
      <c r="G18" s="360">
        <v>6</v>
      </c>
      <c r="H18" s="363">
        <v>7</v>
      </c>
      <c r="I18" s="364" t="s">
        <v>916</v>
      </c>
      <c r="J18" s="365" t="s">
        <v>917</v>
      </c>
      <c r="K18" s="366" t="s">
        <v>918</v>
      </c>
      <c r="L18" s="362">
        <v>11</v>
      </c>
      <c r="M18" s="360">
        <v>12</v>
      </c>
      <c r="N18" s="363">
        <v>13</v>
      </c>
      <c r="O18" s="367" t="s">
        <v>919</v>
      </c>
      <c r="P18" s="368"/>
      <c r="Q18" s="1452" t="s">
        <v>1806</v>
      </c>
      <c r="R18" s="1453"/>
      <c r="S18" s="1454"/>
    </row>
    <row r="19" spans="1:19" ht="17.399999999999999">
      <c r="A19" s="370" t="s">
        <v>920</v>
      </c>
      <c r="B19" s="300" t="s">
        <v>921</v>
      </c>
      <c r="C19" s="300"/>
      <c r="D19" s="371"/>
      <c r="E19" s="372"/>
      <c r="F19" s="373"/>
      <c r="G19" s="371"/>
      <c r="H19" s="374"/>
      <c r="I19" s="375">
        <f>'НВВ на содержание'!G8</f>
        <v>2006.8</v>
      </c>
      <c r="J19" s="376">
        <f>2623.4</f>
        <v>2623.4</v>
      </c>
      <c r="K19" s="377">
        <f>ROUND((I19+J19),1)</f>
        <v>4630.2</v>
      </c>
      <c r="L19" s="378"/>
      <c r="M19" s="379"/>
      <c r="N19" s="380">
        <f>N23-N31+N34</f>
        <v>4083.7720925900003</v>
      </c>
      <c r="O19" s="367">
        <f>$E$40*$E$41/1000</f>
        <v>5261.7952589434881</v>
      </c>
      <c r="Q19" s="1452">
        <f>N23+K34-N32-K33</f>
        <v>3994.6604458200009</v>
      </c>
      <c r="R19" s="1454"/>
      <c r="S19" s="1455"/>
    </row>
    <row r="20" spans="1:19" ht="16.2" thickBot="1">
      <c r="A20" s="381"/>
      <c r="B20" s="371" t="s">
        <v>922</v>
      </c>
      <c r="C20" s="371"/>
      <c r="D20" s="371"/>
      <c r="E20" s="372"/>
      <c r="F20" s="382"/>
      <c r="G20" s="383"/>
      <c r="H20" s="384"/>
      <c r="I20" s="729">
        <f>I23+I34-I31</f>
        <v>3727.0075812000005</v>
      </c>
      <c r="J20" s="385">
        <f>ROUND((J23+J34-J31),1)</f>
        <v>1165.2</v>
      </c>
      <c r="K20" s="377">
        <f>ROUND((I20+J20),1)</f>
        <v>4892.2</v>
      </c>
      <c r="L20" s="386"/>
      <c r="M20" s="298"/>
      <c r="N20" s="387"/>
      <c r="Q20" s="367"/>
    </row>
    <row r="21" spans="1:19" ht="1.5" hidden="1" customHeight="1">
      <c r="A21" s="388"/>
      <c r="B21" s="389" t="s">
        <v>923</v>
      </c>
      <c r="C21" s="389"/>
      <c r="D21" s="389"/>
      <c r="E21" s="390"/>
      <c r="F21" s="391"/>
      <c r="G21" s="392"/>
      <c r="H21" s="393"/>
      <c r="I21" s="394">
        <f>K19-K20</f>
        <v>-262</v>
      </c>
      <c r="J21" s="395"/>
      <c r="K21" s="396"/>
      <c r="L21" s="397"/>
      <c r="M21" s="398"/>
      <c r="N21" s="399"/>
    </row>
    <row r="22" spans="1:19" ht="15.75" customHeight="1">
      <c r="A22" s="4385" t="s">
        <v>924</v>
      </c>
      <c r="B22" s="4387" t="s">
        <v>1799</v>
      </c>
      <c r="C22" s="4388"/>
      <c r="D22" s="4389"/>
      <c r="E22" s="4389"/>
      <c r="F22" s="400"/>
      <c r="G22" s="401"/>
      <c r="H22" s="402"/>
      <c r="I22" s="403" t="s">
        <v>925</v>
      </c>
      <c r="J22" s="404"/>
      <c r="K22" s="405"/>
      <c r="L22" s="406" t="s">
        <v>926</v>
      </c>
      <c r="M22" s="404"/>
      <c r="N22" s="407"/>
    </row>
    <row r="23" spans="1:19" ht="24" customHeight="1">
      <c r="A23" s="4386"/>
      <c r="B23" s="4390"/>
      <c r="C23" s="4391"/>
      <c r="D23" s="4391"/>
      <c r="E23" s="4391"/>
      <c r="F23" s="408"/>
      <c r="G23" s="409"/>
      <c r="H23" s="410"/>
      <c r="I23" s="411">
        <f>SUM(I25:I29)</f>
        <v>5163.4637591999999</v>
      </c>
      <c r="J23" s="412">
        <f>SUM(J25:J29)</f>
        <v>1214.0162800000001</v>
      </c>
      <c r="K23" s="413">
        <f>I23+J23</f>
        <v>6377.4800391999997</v>
      </c>
      <c r="L23" s="386"/>
      <c r="M23" s="298"/>
      <c r="N23" s="413">
        <f>SUM(N25:N29)</f>
        <v>5486.4000000000005</v>
      </c>
      <c r="O23" s="716">
        <f>N23-K23</f>
        <v>-891.08003919999919</v>
      </c>
      <c r="P23" s="730">
        <f>N19-K20</f>
        <v>-808.42790740999953</v>
      </c>
    </row>
    <row r="24" spans="1:19" ht="27.75" customHeight="1">
      <c r="A24" s="373"/>
      <c r="B24" s="371" t="s">
        <v>927</v>
      </c>
      <c r="C24" s="712" t="s">
        <v>1250</v>
      </c>
      <c r="D24" s="1442">
        <f>SUM(D25:D29)</f>
        <v>1.05</v>
      </c>
      <c r="E24" s="1441">
        <f>SUM(E25:E29)</f>
        <v>7417.25</v>
      </c>
      <c r="F24" s="373"/>
      <c r="G24" s="371"/>
      <c r="H24" s="374"/>
      <c r="I24" s="411"/>
      <c r="J24" s="412"/>
      <c r="K24" s="413"/>
      <c r="L24" s="386"/>
      <c r="M24" s="298"/>
      <c r="N24" s="413"/>
    </row>
    <row r="25" spans="1:19">
      <c r="A25" s="381"/>
      <c r="B25" s="415" t="s">
        <v>1798</v>
      </c>
      <c r="C25" s="1457">
        <f>E25/D25</f>
        <v>7205.2083333333339</v>
      </c>
      <c r="D25" s="1461">
        <v>0.96</v>
      </c>
      <c r="E25" s="1462">
        <v>6917</v>
      </c>
      <c r="F25" s="416">
        <f>E62</f>
        <v>364484.63</v>
      </c>
      <c r="G25" s="417">
        <f>F62</f>
        <v>151.36000000000001</v>
      </c>
      <c r="H25" s="418">
        <f>G62</f>
        <v>671</v>
      </c>
      <c r="I25" s="664">
        <f>D25*F25*12/1000</f>
        <v>4198.8629375999999</v>
      </c>
      <c r="J25" s="664">
        <f>E25*G25/1000</f>
        <v>1046.95712</v>
      </c>
      <c r="K25" s="669">
        <f>I25+J25</f>
        <v>5245.8200575999999</v>
      </c>
      <c r="L25" s="1444"/>
      <c r="M25" s="664"/>
      <c r="N25" s="669">
        <f>ROUND((E25*H25/1000),1)</f>
        <v>4641.3</v>
      </c>
    </row>
    <row r="26" spans="1:19">
      <c r="A26" s="381"/>
      <c r="B26" s="415" t="s">
        <v>928</v>
      </c>
      <c r="C26" s="1457">
        <f>E26/D26</f>
        <v>6965</v>
      </c>
      <c r="D26" s="1461">
        <v>0.01</v>
      </c>
      <c r="E26" s="1462">
        <v>69.650000000000006</v>
      </c>
      <c r="F26" s="416">
        <f t="shared" ref="F26:H28" si="0">E64</f>
        <v>942948.34</v>
      </c>
      <c r="G26" s="417">
        <f t="shared" si="0"/>
        <v>414.16</v>
      </c>
      <c r="H26" s="418">
        <f t="shared" si="0"/>
        <v>1847.1</v>
      </c>
      <c r="I26" s="664">
        <f>D26*F26*12/1000</f>
        <v>113.1538008</v>
      </c>
      <c r="J26" s="664">
        <f>E26*G26/1000</f>
        <v>28.846244000000002</v>
      </c>
      <c r="K26" s="669">
        <f>I26+J26</f>
        <v>142.00004480000001</v>
      </c>
      <c r="L26" s="1444"/>
      <c r="M26" s="664"/>
      <c r="N26" s="669">
        <f>ROUND((E26*H26/1000),1)</f>
        <v>128.69999999999999</v>
      </c>
    </row>
    <row r="27" spans="1:19">
      <c r="A27" s="381"/>
      <c r="B27" s="419" t="s">
        <v>1797</v>
      </c>
      <c r="C27" s="1457">
        <f>E27/D27</f>
        <v>5715</v>
      </c>
      <c r="D27" s="1442">
        <v>0.04</v>
      </c>
      <c r="E27" s="1441">
        <v>228.6</v>
      </c>
      <c r="F27" s="416">
        <f t="shared" si="0"/>
        <v>1640145.12</v>
      </c>
      <c r="G27" s="417">
        <f t="shared" si="0"/>
        <v>472.06</v>
      </c>
      <c r="H27" s="418">
        <f t="shared" si="0"/>
        <v>2747.68</v>
      </c>
      <c r="I27" s="664">
        <f>D27*F27*12/1000</f>
        <v>787.26965760000019</v>
      </c>
      <c r="J27" s="664">
        <f>E27*G27/1000</f>
        <v>107.912916</v>
      </c>
      <c r="K27" s="669">
        <f>I27+J27</f>
        <v>895.18257360000018</v>
      </c>
      <c r="L27" s="1444"/>
      <c r="M27" s="664"/>
      <c r="N27" s="669">
        <f>ROUND((E27*H27/1000),1)</f>
        <v>628.1</v>
      </c>
    </row>
    <row r="28" spans="1:19" s="485" customFormat="1" ht="28.2">
      <c r="A28" s="381"/>
      <c r="B28" s="419" t="s">
        <v>1796</v>
      </c>
      <c r="C28" s="1457" t="e">
        <f>E28/D28</f>
        <v>#DIV/0!</v>
      </c>
      <c r="D28" s="1442"/>
      <c r="E28" s="1441"/>
      <c r="F28" s="416">
        <f t="shared" si="0"/>
        <v>133702.84</v>
      </c>
      <c r="G28" s="417">
        <f t="shared" si="0"/>
        <v>150</v>
      </c>
      <c r="H28" s="418">
        <f t="shared" si="0"/>
        <v>437.28</v>
      </c>
      <c r="I28" s="664">
        <f>D28*F28*12/1000</f>
        <v>0</v>
      </c>
      <c r="J28" s="664">
        <f>E28*G28/1000</f>
        <v>0</v>
      </c>
      <c r="K28" s="669">
        <f>I28+J28</f>
        <v>0</v>
      </c>
      <c r="L28" s="1444"/>
      <c r="M28" s="664"/>
      <c r="N28" s="669">
        <f>ROUND((E28*H28/1000),1)</f>
        <v>0</v>
      </c>
    </row>
    <row r="29" spans="1:19" s="485" customFormat="1" ht="28.8" thickBot="1">
      <c r="A29" s="495"/>
      <c r="B29" s="419" t="s">
        <v>929</v>
      </c>
      <c r="C29" s="734">
        <f>E29/D29</f>
        <v>5050</v>
      </c>
      <c r="D29" s="1443">
        <v>0.04</v>
      </c>
      <c r="E29" s="421">
        <v>202</v>
      </c>
      <c r="F29" s="502">
        <f>F28</f>
        <v>133702.84</v>
      </c>
      <c r="G29" s="503">
        <f>G28</f>
        <v>150</v>
      </c>
      <c r="H29" s="504">
        <f>G66</f>
        <v>437.28</v>
      </c>
      <c r="I29" s="422">
        <f>D29*F29*12/1000</f>
        <v>64.177363199999988</v>
      </c>
      <c r="J29" s="423">
        <f>E29*G29/1000</f>
        <v>30.3</v>
      </c>
      <c r="K29" s="424">
        <f>I29+J29</f>
        <v>94.477363199999985</v>
      </c>
      <c r="L29" s="422"/>
      <c r="M29" s="1445"/>
      <c r="N29" s="424">
        <f>ROUND((E29*H29/1000),1)</f>
        <v>88.3</v>
      </c>
      <c r="O29" s="26"/>
    </row>
    <row r="30" spans="1:19" ht="16.5" customHeight="1">
      <c r="A30" s="4392" t="s">
        <v>930</v>
      </c>
      <c r="B30" s="4393" t="s">
        <v>1800</v>
      </c>
      <c r="C30" s="1458"/>
      <c r="D30" s="425" t="s">
        <v>931</v>
      </c>
      <c r="E30" s="456"/>
      <c r="F30" s="458" t="s">
        <v>932</v>
      </c>
      <c r="G30" s="425"/>
      <c r="H30" s="425"/>
      <c r="I30" s="426" t="s">
        <v>925</v>
      </c>
      <c r="J30" s="427"/>
      <c r="K30" s="428"/>
      <c r="L30" s="406" t="s">
        <v>926</v>
      </c>
      <c r="M30" s="427"/>
      <c r="N30" s="428"/>
    </row>
    <row r="31" spans="1:19" ht="27.6">
      <c r="A31" s="4386"/>
      <c r="B31" s="4394"/>
      <c r="C31" s="1459"/>
      <c r="D31" s="355" t="s">
        <v>909</v>
      </c>
      <c r="E31" s="457" t="s">
        <v>910</v>
      </c>
      <c r="F31" s="459" t="s">
        <v>933</v>
      </c>
      <c r="G31" s="429" t="s">
        <v>251</v>
      </c>
      <c r="H31" s="506" t="s">
        <v>1118</v>
      </c>
      <c r="I31" s="1444">
        <f>SUM(I32:I33)</f>
        <v>5162.2075864799999</v>
      </c>
      <c r="J31" s="664">
        <f>SUM(J32:J33)</f>
        <v>1930.7856701799999</v>
      </c>
      <c r="K31" s="1456">
        <f>SUM(K32:K33)</f>
        <v>7092.99325666</v>
      </c>
      <c r="L31" s="722">
        <f>SUM(L33:L33)</f>
        <v>0</v>
      </c>
      <c r="M31" s="573">
        <f>SUM(M33:M33)</f>
        <v>0</v>
      </c>
      <c r="N31" s="735">
        <f>SUM(N32:N33)</f>
        <v>7010.0425975200005</v>
      </c>
    </row>
    <row r="32" spans="1:19" ht="22.5" customHeight="1">
      <c r="A32" s="430">
        <v>1</v>
      </c>
      <c r="B32" s="371" t="s">
        <v>1802</v>
      </c>
      <c r="C32" s="733">
        <f>E32/D32</f>
        <v>7183.2162162162167</v>
      </c>
      <c r="D32" s="1449">
        <f>'П1.30 - 07.06.11г.'!D137</f>
        <v>7.3999999999999996E-2</v>
      </c>
      <c r="E32" s="1450">
        <f>'П1.30 - 07.06.11г.'!C137</f>
        <v>531.55799999999999</v>
      </c>
      <c r="F32" s="720">
        <v>279175.21000000002</v>
      </c>
      <c r="G32" s="721">
        <v>108.71</v>
      </c>
      <c r="H32" s="1451">
        <f>K32/E32*1000+12.17</f>
        <v>587.25918435993799</v>
      </c>
      <c r="I32" s="386">
        <f>$D32*$F32*12/1000</f>
        <v>247.90758647999999</v>
      </c>
      <c r="J32" s="298">
        <f>$E32*$G32/1000</f>
        <v>57.785670179999997</v>
      </c>
      <c r="K32" s="387">
        <f>I32+J32</f>
        <v>305.69325665999997</v>
      </c>
      <c r="L32" s="573"/>
      <c r="M32" s="573"/>
      <c r="N32" s="710">
        <f>E32*H32/1000</f>
        <v>312.16231751999993</v>
      </c>
    </row>
    <row r="33" spans="1:15" ht="22.5" customHeight="1" thickBot="1">
      <c r="A33" s="430">
        <v>1</v>
      </c>
      <c r="B33" s="371" t="s">
        <v>1803</v>
      </c>
      <c r="C33" s="733">
        <f>E33/D33</f>
        <v>4242.727272727273</v>
      </c>
      <c r="D33" s="414">
        <v>0.22</v>
      </c>
      <c r="E33" s="1440">
        <v>933.4</v>
      </c>
      <c r="F33" s="720">
        <v>1861465.03</v>
      </c>
      <c r="G33" s="721">
        <v>2006.61</v>
      </c>
      <c r="H33" s="1451">
        <f>K33/E33*1000-95.8</f>
        <v>7175.7877437325915</v>
      </c>
      <c r="I33" s="664">
        <f>ROUND(($D$33*$F$33*12/1000),1)</f>
        <v>4914.3</v>
      </c>
      <c r="J33" s="664">
        <f>ROUND(($E$33*$G$33/1000),1)</f>
        <v>1873</v>
      </c>
      <c r="K33" s="669">
        <f>I33+J33</f>
        <v>6787.3</v>
      </c>
      <c r="L33" s="573"/>
      <c r="M33" s="573"/>
      <c r="N33" s="710">
        <f>E33*H33/1000</f>
        <v>6697.8802800000003</v>
      </c>
    </row>
    <row r="34" spans="1:15" ht="47.4" thickBot="1">
      <c r="A34" s="744" t="s">
        <v>935</v>
      </c>
      <c r="B34" s="745" t="s">
        <v>1801</v>
      </c>
      <c r="C34" s="1460"/>
      <c r="D34" s="746"/>
      <c r="E34" s="747"/>
      <c r="F34" s="748" t="s">
        <v>933</v>
      </c>
      <c r="G34" s="749" t="s">
        <v>251</v>
      </c>
      <c r="H34" s="750" t="s">
        <v>251</v>
      </c>
      <c r="I34" s="751">
        <f>SUM(I35:I37)</f>
        <v>3725.75140848</v>
      </c>
      <c r="J34" s="752">
        <f>SUM(J35:J37)</f>
        <v>1881.9713548599998</v>
      </c>
      <c r="K34" s="753">
        <f>SUM(K35:K37)</f>
        <v>5607.7227633399998</v>
      </c>
      <c r="L34" s="754">
        <f>SUM(L36:L37)</f>
        <v>0</v>
      </c>
      <c r="M34" s="755">
        <f>SUM(M36:M37)</f>
        <v>0</v>
      </c>
      <c r="N34" s="753">
        <f>SUM(N35:N37)</f>
        <v>5607.4146901100003</v>
      </c>
    </row>
    <row r="35" spans="1:15">
      <c r="A35" s="736">
        <v>1</v>
      </c>
      <c r="B35" s="454" t="s">
        <v>934</v>
      </c>
      <c r="C35" s="737">
        <f>E35/D35</f>
        <v>7923.6941872427988</v>
      </c>
      <c r="D35" s="1446">
        <v>3.8879999999999999</v>
      </c>
      <c r="E35" s="1446">
        <v>30807.323</v>
      </c>
      <c r="F35" s="738">
        <v>451.08</v>
      </c>
      <c r="G35" s="739">
        <v>0.82</v>
      </c>
      <c r="H35" s="1451">
        <f>K35/E35*1000-0.01</f>
        <v>1.4931359050573787</v>
      </c>
      <c r="I35" s="740">
        <f>$D$35*$F$35*12/1000</f>
        <v>21.045588479999999</v>
      </c>
      <c r="J35" s="741">
        <f>$E$35*$G$35/1000</f>
        <v>25.262004859999998</v>
      </c>
      <c r="K35" s="742">
        <f>I35+J35</f>
        <v>46.307593339999997</v>
      </c>
      <c r="L35" s="743"/>
      <c r="M35" s="741"/>
      <c r="N35" s="742">
        <f>E35*H35/1000</f>
        <v>45.999520109999999</v>
      </c>
    </row>
    <row r="36" spans="1:15">
      <c r="A36" s="455">
        <v>2</v>
      </c>
      <c r="B36" s="371" t="s">
        <v>960</v>
      </c>
      <c r="C36" s="733">
        <f>E36/D36</f>
        <v>8643.75</v>
      </c>
      <c r="D36" s="414">
        <f>1.56+0.04</f>
        <v>1.6</v>
      </c>
      <c r="E36" s="713">
        <f>13465+365</f>
        <v>13830</v>
      </c>
      <c r="F36" s="723">
        <v>169906.8</v>
      </c>
      <c r="G36" s="724">
        <v>114.55</v>
      </c>
      <c r="H36" s="725">
        <f>K36/E36*1000</f>
        <v>350.42928850325382</v>
      </c>
      <c r="I36" s="386">
        <f>$D36*$F36*12/1000</f>
        <v>3262.21056</v>
      </c>
      <c r="J36" s="298">
        <f>$E36*$G36/1000</f>
        <v>1584.2265</v>
      </c>
      <c r="K36" s="387">
        <f>I36+J36</f>
        <v>4846.4370600000002</v>
      </c>
      <c r="L36" s="501"/>
      <c r="M36" s="298"/>
      <c r="N36" s="387">
        <f>E36*H36/1000</f>
        <v>4846.4370600000002</v>
      </c>
    </row>
    <row r="37" spans="1:15" ht="16.2" thickBot="1">
      <c r="A37" s="431">
        <v>3</v>
      </c>
      <c r="B37" s="383" t="s">
        <v>1804</v>
      </c>
      <c r="C37" s="734">
        <f>E37/D37</f>
        <v>4553.3333333333339</v>
      </c>
      <c r="D37" s="420">
        <v>0.15</v>
      </c>
      <c r="E37" s="714">
        <v>683</v>
      </c>
      <c r="F37" s="726">
        <v>245830.7</v>
      </c>
      <c r="G37" s="727">
        <v>398.95</v>
      </c>
      <c r="H37" s="728">
        <f>K37/E37*1000</f>
        <v>1046.8200732064422</v>
      </c>
      <c r="I37" s="719">
        <f>$D$37*$F$37*12/1000</f>
        <v>442.49526000000003</v>
      </c>
      <c r="J37" s="718">
        <f>$E$37*$G$37/1000</f>
        <v>272.48284999999998</v>
      </c>
      <c r="K37" s="757">
        <f>I37+J37</f>
        <v>714.97811000000002</v>
      </c>
      <c r="L37" s="731"/>
      <c r="M37" s="732"/>
      <c r="N37" s="424">
        <f>E37*H37/1000</f>
        <v>714.97811000000002</v>
      </c>
    </row>
    <row r="38" spans="1:15" hidden="1">
      <c r="F38" s="172"/>
      <c r="G38" s="172"/>
      <c r="H38" s="172"/>
      <c r="L38" s="26"/>
      <c r="M38" s="26"/>
      <c r="N38" s="26"/>
    </row>
    <row r="39" spans="1:15">
      <c r="B39" s="99" t="s">
        <v>851</v>
      </c>
      <c r="C39" s="99"/>
      <c r="L39" s="26"/>
      <c r="M39" s="26"/>
      <c r="N39" s="26"/>
    </row>
    <row r="40" spans="1:15">
      <c r="D40" s="99" t="s">
        <v>1805</v>
      </c>
      <c r="E40" s="331">
        <v>1731</v>
      </c>
      <c r="F40" s="26" t="s">
        <v>936</v>
      </c>
      <c r="H40" s="715">
        <f>E36+E37+E29+E40</f>
        <v>16446</v>
      </c>
      <c r="L40" s="26"/>
      <c r="M40" s="26"/>
      <c r="N40" s="26"/>
    </row>
    <row r="41" spans="1:15">
      <c r="D41" s="99" t="s">
        <v>937</v>
      </c>
      <c r="E41" s="432">
        <f>Расчет!G1*1000</f>
        <v>3039.7430727576475</v>
      </c>
      <c r="F41" s="26" t="s">
        <v>938</v>
      </c>
      <c r="L41" s="26"/>
      <c r="M41" s="26"/>
      <c r="N41" s="26"/>
    </row>
    <row r="42" spans="1:15" hidden="1"/>
    <row r="43" spans="1:15" hidden="1">
      <c r="E43" s="26" t="s">
        <v>938</v>
      </c>
      <c r="G43" s="507" t="s">
        <v>1257</v>
      </c>
      <c r="H43" s="507"/>
      <c r="I43" s="507"/>
      <c r="J43" s="507"/>
      <c r="K43" s="507"/>
    </row>
    <row r="44" spans="1:15" hidden="1">
      <c r="E44" s="514"/>
      <c r="F44" s="513"/>
      <c r="G44" s="508" t="s">
        <v>932</v>
      </c>
      <c r="H44" s="508"/>
      <c r="I44" s="508"/>
      <c r="J44" s="512" t="s">
        <v>1119</v>
      </c>
      <c r="K44" s="512"/>
      <c r="L44" s="26"/>
      <c r="M44" s="26"/>
      <c r="N44" s="26"/>
      <c r="O44" s="433"/>
    </row>
    <row r="45" spans="1:15" ht="27" hidden="1">
      <c r="E45" s="514"/>
      <c r="F45" s="513"/>
      <c r="G45" s="509" t="s">
        <v>933</v>
      </c>
      <c r="H45" s="509" t="s">
        <v>251</v>
      </c>
      <c r="I45" s="510" t="s">
        <v>1118</v>
      </c>
      <c r="J45" s="507"/>
      <c r="K45" s="507"/>
      <c r="L45" s="26"/>
      <c r="M45" s="26"/>
      <c r="N45" s="26"/>
      <c r="O45" s="434"/>
    </row>
    <row r="46" spans="1:15" hidden="1">
      <c r="E46" s="514"/>
      <c r="F46" s="513"/>
      <c r="G46" s="231"/>
      <c r="H46" s="231"/>
      <c r="I46" s="231"/>
      <c r="J46" s="507"/>
      <c r="K46" s="507"/>
      <c r="L46" s="26"/>
      <c r="M46" s="26"/>
      <c r="N46" s="26"/>
      <c r="O46" s="433"/>
    </row>
    <row r="47" spans="1:15" hidden="1">
      <c r="E47" s="514"/>
      <c r="F47" s="513" t="s">
        <v>1258</v>
      </c>
      <c r="G47" s="231"/>
      <c r="H47" s="231"/>
      <c r="I47" s="231"/>
      <c r="J47" s="507"/>
      <c r="K47" s="507"/>
    </row>
    <row r="48" spans="1:15" hidden="1">
      <c r="E48" s="514"/>
      <c r="F48" s="513" t="s">
        <v>934</v>
      </c>
      <c r="G48" s="511"/>
      <c r="H48" s="511"/>
      <c r="I48" s="511"/>
      <c r="J48" s="507"/>
      <c r="K48" s="511"/>
    </row>
    <row r="49" spans="2:14" hidden="1">
      <c r="E49" s="514"/>
      <c r="F49" s="513" t="s">
        <v>960</v>
      </c>
      <c r="G49" s="511"/>
      <c r="H49" s="511"/>
      <c r="I49" s="511"/>
      <c r="J49" s="507"/>
      <c r="K49" s="511"/>
    </row>
    <row r="50" spans="2:14" hidden="1">
      <c r="E50" s="514"/>
      <c r="F50" s="513" t="s">
        <v>1255</v>
      </c>
      <c r="G50" s="511"/>
      <c r="H50" s="511"/>
      <c r="I50" s="511"/>
      <c r="J50" s="507"/>
      <c r="K50" s="511"/>
    </row>
    <row r="51" spans="2:14" hidden="1">
      <c r="E51" s="514"/>
      <c r="F51" s="513" t="s">
        <v>640</v>
      </c>
      <c r="G51" s="511"/>
      <c r="H51" s="511"/>
      <c r="I51" s="511"/>
      <c r="J51" s="507"/>
      <c r="K51" s="511"/>
    </row>
    <row r="52" spans="2:14" hidden="1"/>
    <row r="53" spans="2:14" hidden="1"/>
    <row r="54" spans="2:14" hidden="1">
      <c r="K54" s="172"/>
      <c r="L54" s="26"/>
      <c r="M54" s="26"/>
      <c r="N54" s="26"/>
    </row>
    <row r="55" spans="2:14" hidden="1"/>
    <row r="56" spans="2:14" hidden="1"/>
    <row r="57" spans="2:14" ht="12.75" customHeight="1">
      <c r="B57" s="10" t="s">
        <v>1120</v>
      </c>
      <c r="C57" s="10"/>
      <c r="D57" s="10"/>
      <c r="E57" s="10"/>
      <c r="F57" s="10"/>
      <c r="G57" s="206"/>
      <c r="H57" s="207"/>
    </row>
    <row r="58" spans="2:14">
      <c r="B58" s="4209" t="s">
        <v>836</v>
      </c>
      <c r="C58" s="12"/>
      <c r="D58" s="12"/>
      <c r="E58" s="4395" t="s">
        <v>837</v>
      </c>
      <c r="F58" s="39" t="s">
        <v>838</v>
      </c>
      <c r="G58" s="4209" t="s">
        <v>839</v>
      </c>
      <c r="H58" s="10"/>
    </row>
    <row r="59" spans="2:14" ht="66.599999999999994">
      <c r="B59" s="4216"/>
      <c r="C59" s="21"/>
      <c r="D59" s="21"/>
      <c r="E59" s="4396"/>
      <c r="F59" s="39" t="s">
        <v>840</v>
      </c>
      <c r="G59" s="4210"/>
      <c r="H59" s="10"/>
    </row>
    <row r="60" spans="2:14" ht="16.8">
      <c r="B60" s="4216"/>
      <c r="C60" s="21"/>
      <c r="D60" s="21"/>
      <c r="E60" s="176" t="s">
        <v>841</v>
      </c>
      <c r="F60" s="176" t="s">
        <v>842</v>
      </c>
      <c r="G60" s="17"/>
      <c r="H60" s="207" t="s">
        <v>835</v>
      </c>
    </row>
    <row r="61" spans="2:14" ht="15.75" customHeight="1">
      <c r="B61" s="4210"/>
      <c r="C61" s="14"/>
      <c r="D61" s="14"/>
      <c r="E61" s="17" t="s">
        <v>291</v>
      </c>
      <c r="F61" s="17" t="s">
        <v>843</v>
      </c>
      <c r="G61" s="17" t="s">
        <v>843</v>
      </c>
      <c r="H61" s="206"/>
    </row>
    <row r="62" spans="2:14">
      <c r="B62" s="17" t="s">
        <v>697</v>
      </c>
      <c r="C62" s="690"/>
      <c r="D62" s="690"/>
      <c r="E62" s="691">
        <v>364484.63</v>
      </c>
      <c r="F62" s="691">
        <v>151.36000000000001</v>
      </c>
      <c r="G62" s="691">
        <v>671</v>
      </c>
      <c r="H62" s="692">
        <f>(E62*12/(G62-F62))</f>
        <v>8417.0109306442937</v>
      </c>
    </row>
    <row r="63" spans="2:14">
      <c r="B63" s="17" t="s">
        <v>676</v>
      </c>
      <c r="C63" s="17"/>
      <c r="D63" s="17"/>
      <c r="E63" s="313">
        <v>684381.17</v>
      </c>
      <c r="F63" s="313">
        <v>162.12</v>
      </c>
      <c r="G63" s="313">
        <v>1153.6500000000001</v>
      </c>
      <c r="H63" s="206">
        <f>(E63*12/(G63-F63))</f>
        <v>8282.7287525339634</v>
      </c>
    </row>
    <row r="64" spans="2:14">
      <c r="B64" s="39" t="s">
        <v>847</v>
      </c>
      <c r="C64" s="39"/>
      <c r="D64" s="39"/>
      <c r="E64" s="313">
        <v>942948.34</v>
      </c>
      <c r="F64" s="313">
        <v>414.16</v>
      </c>
      <c r="G64" s="313">
        <v>1847.1</v>
      </c>
      <c r="H64" s="206">
        <f>(E64*12/(G64-F64))</f>
        <v>7896.6181975518875</v>
      </c>
    </row>
    <row r="65" spans="2:8">
      <c r="B65" s="17" t="s">
        <v>681</v>
      </c>
      <c r="C65" s="690"/>
      <c r="D65" s="690"/>
      <c r="E65" s="691">
        <v>1640145.12</v>
      </c>
      <c r="F65" s="691">
        <v>472.06</v>
      </c>
      <c r="G65" s="691">
        <v>2747.68</v>
      </c>
      <c r="H65" s="692">
        <f>(E65*12/(G65-F65))</f>
        <v>8648.9578400611717</v>
      </c>
    </row>
    <row r="66" spans="2:8">
      <c r="B66" s="465" t="s">
        <v>962</v>
      </c>
      <c r="C66" s="465"/>
      <c r="D66" s="465"/>
      <c r="E66" s="466">
        <v>133702.84</v>
      </c>
      <c r="F66" s="466">
        <v>150</v>
      </c>
      <c r="G66" s="466">
        <v>437.28</v>
      </c>
      <c r="H66" s="320">
        <f>(E66*12/(G66-F66))</f>
        <v>5584.9139515455308</v>
      </c>
    </row>
    <row r="67" spans="2:8">
      <c r="B67" s="106"/>
      <c r="C67" s="106"/>
      <c r="D67" s="106"/>
      <c r="E67" s="106"/>
      <c r="F67" s="106"/>
      <c r="G67" s="106"/>
      <c r="H67" s="106"/>
    </row>
  </sheetData>
  <mergeCells count="14">
    <mergeCell ref="G58:G59"/>
    <mergeCell ref="A22:A23"/>
    <mergeCell ref="B22:E23"/>
    <mergeCell ref="A30:A31"/>
    <mergeCell ref="B30:B31"/>
    <mergeCell ref="B58:B61"/>
    <mergeCell ref="E58:E59"/>
    <mergeCell ref="B6:B9"/>
    <mergeCell ref="D6:D7"/>
    <mergeCell ref="E6:E7"/>
    <mergeCell ref="F6:F7"/>
    <mergeCell ref="A15:A17"/>
    <mergeCell ref="B15:B17"/>
    <mergeCell ref="D15:E16"/>
  </mergeCells>
  <printOptions horizontalCentered="1"/>
  <pageMargins left="0.39370078740157483" right="0.39370078740157483" top="0.19685039370078741" bottom="3.937007874015748E-2" header="0.11811023622047245" footer="3.937007874015748E-2"/>
  <pageSetup paperSize="9" scale="61" orientation="landscape" r:id="rId1"/>
  <headerFooter alignWithMargins="0">
    <oddFooter>&amp;L&amp;8________________________________________________________________________
&amp;F&amp;A</oddFooter>
  </headerFooter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3">
    <tabColor rgb="FF92D050"/>
  </sheetPr>
  <dimension ref="A1:V68"/>
  <sheetViews>
    <sheetView workbookViewId="0">
      <pane xSplit="2" ySplit="10" topLeftCell="C13" activePane="bottomRight" state="frozenSplit"/>
      <selection activeCell="K8" sqref="K8"/>
      <selection pane="topRight" activeCell="K8" sqref="K8"/>
      <selection pane="bottomLeft" activeCell="K8" sqref="K8"/>
      <selection pane="bottomRight" activeCell="K8" sqref="K8"/>
    </sheetView>
  </sheetViews>
  <sheetFormatPr defaultColWidth="9.109375" defaultRowHeight="13.2"/>
  <cols>
    <col min="1" max="1" width="4.44140625" style="38" customWidth="1"/>
    <col min="2" max="2" width="38.88671875" style="38" customWidth="1"/>
    <col min="3" max="3" width="10.88671875" style="38" customWidth="1"/>
    <col min="4" max="4" width="8.5546875" style="38" customWidth="1"/>
    <col min="5" max="5" width="10.109375" style="38" customWidth="1"/>
    <col min="6" max="6" width="8.88671875" style="38" customWidth="1"/>
    <col min="7" max="7" width="9.109375" style="38"/>
    <col min="8" max="8" width="10" style="38" customWidth="1"/>
    <col min="9" max="9" width="10.109375" style="38" customWidth="1"/>
    <col min="10" max="10" width="9.33203125" style="38" customWidth="1"/>
    <col min="11" max="11" width="9" style="38" customWidth="1"/>
    <col min="12" max="12" width="10.109375" style="38" customWidth="1"/>
    <col min="13" max="13" width="10" style="38" customWidth="1"/>
    <col min="14" max="14" width="9.88671875" style="38" bestFit="1" customWidth="1"/>
    <col min="15" max="15" width="9.109375" style="38"/>
    <col min="16" max="16" width="12" style="38" customWidth="1"/>
    <col min="17" max="16384" width="9.109375" style="38"/>
  </cols>
  <sheetData>
    <row r="1" spans="1:17">
      <c r="L1" s="1363" t="s">
        <v>1724</v>
      </c>
      <c r="M1" s="1364" t="s">
        <v>1725</v>
      </c>
      <c r="N1" s="1365"/>
      <c r="O1" s="1365"/>
      <c r="P1" s="1365"/>
      <c r="Q1" s="1365"/>
    </row>
    <row r="2" spans="1:17">
      <c r="L2" s="1363" t="s">
        <v>1726</v>
      </c>
      <c r="M2" s="1366">
        <f>'[19]П 1.4.'!$H$18/100</f>
        <v>7.0001066190093802E-2</v>
      </c>
      <c r="N2" s="1367"/>
    </row>
    <row r="3" spans="1:17">
      <c r="L3" s="1363" t="s">
        <v>1727</v>
      </c>
      <c r="M3" s="1366">
        <f>L17/L11</f>
        <v>6.9999929343517828E-2</v>
      </c>
      <c r="N3" s="1368">
        <v>2012</v>
      </c>
    </row>
    <row r="4" spans="1:17">
      <c r="L4" s="1363"/>
      <c r="M4" s="1366">
        <f>G17/G11</f>
        <v>7.0000000000000062E-2</v>
      </c>
      <c r="N4" s="38">
        <v>2011</v>
      </c>
    </row>
    <row r="5" spans="1:17" ht="15.6">
      <c r="A5" s="1369" t="s">
        <v>1728</v>
      </c>
      <c r="B5" s="1370"/>
      <c r="C5" s="1371"/>
      <c r="D5" s="1371"/>
      <c r="E5" s="1371"/>
      <c r="F5" s="1371"/>
      <c r="G5" s="1371"/>
      <c r="H5" s="1371"/>
      <c r="I5" s="1371"/>
      <c r="J5" s="1371"/>
      <c r="K5" s="1371"/>
      <c r="L5" s="1372"/>
    </row>
    <row r="6" spans="1:17" ht="17.399999999999999">
      <c r="A6" s="1373"/>
      <c r="B6" s="1374"/>
      <c r="C6" s="1375"/>
      <c r="D6" s="1375"/>
      <c r="E6" s="1376"/>
      <c r="F6" s="1377"/>
      <c r="G6" s="1375"/>
      <c r="H6" s="1376"/>
      <c r="I6" s="1376"/>
      <c r="J6" s="1377"/>
      <c r="K6" s="1376"/>
      <c r="L6" s="1376"/>
    </row>
    <row r="7" spans="1:17" ht="12.75" customHeight="1">
      <c r="A7" s="4421" t="s">
        <v>616</v>
      </c>
      <c r="B7" s="4421" t="s">
        <v>171</v>
      </c>
      <c r="C7" s="1378" t="s">
        <v>1729</v>
      </c>
      <c r="D7" s="1378"/>
      <c r="E7" s="1378"/>
      <c r="F7" s="1378"/>
      <c r="G7" s="1378"/>
      <c r="H7" s="1379" t="s">
        <v>1730</v>
      </c>
      <c r="I7" s="1379"/>
      <c r="J7" s="1379"/>
      <c r="K7" s="1379"/>
      <c r="L7" s="1379"/>
      <c r="M7" s="1380"/>
    </row>
    <row r="8" spans="1:17">
      <c r="A8" s="4421"/>
      <c r="B8" s="4421"/>
      <c r="C8" s="1381" t="s">
        <v>1731</v>
      </c>
      <c r="D8" s="1381"/>
      <c r="E8" s="1381"/>
      <c r="F8" s="1381"/>
      <c r="G8" s="1381"/>
      <c r="H8" s="1382" t="s">
        <v>1731</v>
      </c>
      <c r="I8" s="1382"/>
      <c r="J8" s="1382"/>
      <c r="K8" s="1382"/>
      <c r="L8" s="1382"/>
      <c r="M8" s="1380"/>
    </row>
    <row r="9" spans="1:17" ht="39.6">
      <c r="A9" s="4421"/>
      <c r="B9" s="4421"/>
      <c r="C9" s="1383" t="s">
        <v>1732</v>
      </c>
      <c r="D9" s="1383" t="s">
        <v>1733</v>
      </c>
      <c r="E9" s="1383" t="s">
        <v>1734</v>
      </c>
      <c r="F9" s="1383" t="s">
        <v>1735</v>
      </c>
      <c r="G9" s="1383" t="s">
        <v>1736</v>
      </c>
      <c r="H9" s="1383" t="s">
        <v>1732</v>
      </c>
      <c r="I9" s="1383" t="s">
        <v>1737</v>
      </c>
      <c r="J9" s="1383" t="s">
        <v>1734</v>
      </c>
      <c r="K9" s="1383" t="s">
        <v>1735</v>
      </c>
      <c r="L9" s="1383" t="s">
        <v>1736</v>
      </c>
      <c r="M9" s="1380"/>
    </row>
    <row r="10" spans="1:17" ht="26.4">
      <c r="A10" s="4421"/>
      <c r="B10" s="4421"/>
      <c r="C10" s="1383" t="s">
        <v>1738</v>
      </c>
      <c r="D10" s="1383" t="s">
        <v>1738</v>
      </c>
      <c r="E10" s="1383" t="s">
        <v>1738</v>
      </c>
      <c r="F10" s="1383" t="s">
        <v>1738</v>
      </c>
      <c r="G10" s="1383" t="s">
        <v>1738</v>
      </c>
      <c r="H10" s="1384" t="s">
        <v>1738</v>
      </c>
      <c r="I10" s="1383" t="s">
        <v>1738</v>
      </c>
      <c r="J10" s="1383" t="s">
        <v>1738</v>
      </c>
      <c r="K10" s="1383" t="s">
        <v>1738</v>
      </c>
      <c r="L10" s="1383" t="s">
        <v>1738</v>
      </c>
      <c r="M10" s="1380"/>
    </row>
    <row r="11" spans="1:17">
      <c r="A11" s="1385">
        <v>1</v>
      </c>
      <c r="B11" s="1386" t="s">
        <v>1739</v>
      </c>
      <c r="C11" s="1387">
        <f>C12+C13+C14+C15</f>
        <v>30807.322580645163</v>
      </c>
      <c r="D11" s="101">
        <f>D12+D13+D14+D15</f>
        <v>0</v>
      </c>
      <c r="E11" s="101">
        <f>E12+E13+E14+E15</f>
        <v>0</v>
      </c>
      <c r="F11" s="101">
        <f>F12+F13+F14+F15</f>
        <v>0</v>
      </c>
      <c r="G11" s="1387">
        <f>F11+E11+D11+C11</f>
        <v>30807.322580645163</v>
      </c>
      <c r="H11" s="1387">
        <f>H12+H13+H14+H15</f>
        <v>33929.534000000007</v>
      </c>
      <c r="I11" s="107">
        <f>I12+I13+I14+I15</f>
        <v>462.21499999999997</v>
      </c>
      <c r="J11" s="101">
        <f>J12+J13+J14+J15</f>
        <v>0</v>
      </c>
      <c r="K11" s="101">
        <f>K12+K13+K14+K15</f>
        <v>0</v>
      </c>
      <c r="L11" s="1387">
        <f>K11+J11+I11+H11</f>
        <v>34391.749000000003</v>
      </c>
      <c r="M11" s="1380"/>
    </row>
    <row r="12" spans="1:17">
      <c r="A12" s="24" t="s">
        <v>698</v>
      </c>
      <c r="B12" s="1386" t="s">
        <v>1740</v>
      </c>
      <c r="C12" s="1387"/>
      <c r="D12" s="1387"/>
      <c r="E12" s="1388"/>
      <c r="F12" s="1388"/>
      <c r="G12" s="1387"/>
      <c r="H12" s="1387"/>
      <c r="I12" s="1387"/>
      <c r="J12" s="1389"/>
      <c r="K12" s="1389"/>
      <c r="L12" s="1390"/>
      <c r="M12" s="1380"/>
    </row>
    <row r="13" spans="1:17">
      <c r="A13" s="24" t="s">
        <v>699</v>
      </c>
      <c r="B13" s="1386" t="s">
        <v>1741</v>
      </c>
      <c r="C13" s="1387"/>
      <c r="D13" s="1387"/>
      <c r="E13" s="1388"/>
      <c r="F13" s="1388"/>
      <c r="G13" s="1387"/>
      <c r="H13" s="1387"/>
      <c r="I13" s="1387"/>
      <c r="J13" s="1389"/>
      <c r="K13" s="1389"/>
      <c r="L13" s="1390"/>
      <c r="M13" s="1380"/>
    </row>
    <row r="14" spans="1:17">
      <c r="A14" s="24" t="s">
        <v>241</v>
      </c>
      <c r="B14" s="1391" t="s">
        <v>1742</v>
      </c>
      <c r="C14" s="1392">
        <f>'[19]П 1.4.'!$D$14*1000</f>
        <v>30807.322580645163</v>
      </c>
      <c r="D14" s="1387"/>
      <c r="E14" s="1388"/>
      <c r="F14" s="1388"/>
      <c r="G14" s="1387">
        <f>F14+E14+D14+C14</f>
        <v>30807.322580645163</v>
      </c>
      <c r="H14" s="1392">
        <f>'[20]П 1.4.'!$I$14*1000</f>
        <v>33929.534000000007</v>
      </c>
      <c r="I14" s="1387"/>
      <c r="J14" s="56"/>
      <c r="K14" s="1389"/>
      <c r="L14" s="1387">
        <f>K14+J14+I14+H14</f>
        <v>33929.534000000007</v>
      </c>
      <c r="M14" s="1393">
        <f>G17/G14*100</f>
        <v>7.0000000000000062</v>
      </c>
      <c r="N14" s="870" t="s">
        <v>1743</v>
      </c>
    </row>
    <row r="15" spans="1:17">
      <c r="A15" s="24" t="s">
        <v>544</v>
      </c>
      <c r="B15" s="159" t="s">
        <v>1713</v>
      </c>
      <c r="C15" s="1387"/>
      <c r="D15" s="1387"/>
      <c r="E15" s="1388"/>
      <c r="F15" s="1394"/>
      <c r="G15" s="101">
        <f>F15+E15+D15+C15</f>
        <v>0</v>
      </c>
      <c r="H15" s="1387"/>
      <c r="I15" s="1387">
        <f>'[20]П 1.4.'!$J$15*1000</f>
        <v>462.21499999999997</v>
      </c>
      <c r="J15" s="1395"/>
      <c r="K15" s="1396"/>
      <c r="L15" s="107">
        <f>K15+J15+I15+H15</f>
        <v>462.21499999999997</v>
      </c>
      <c r="M15" s="1393">
        <f>L17/L11*100</f>
        <v>6.9999929343517824</v>
      </c>
      <c r="N15" s="870" t="s">
        <v>1744</v>
      </c>
    </row>
    <row r="16" spans="1:17" ht="26.4">
      <c r="A16" s="1385">
        <v>2</v>
      </c>
      <c r="B16" s="1386" t="s">
        <v>1745</v>
      </c>
      <c r="C16" s="101"/>
      <c r="D16" s="1387"/>
      <c r="E16" s="1394"/>
      <c r="F16" s="1388"/>
      <c r="G16" s="1387"/>
      <c r="H16" s="1387"/>
      <c r="I16" s="1387"/>
      <c r="J16" s="1395"/>
      <c r="K16" s="1395"/>
      <c r="L16" s="1395"/>
      <c r="M16" s="1380"/>
      <c r="N16" s="1397" t="s">
        <v>657</v>
      </c>
    </row>
    <row r="17" spans="1:22">
      <c r="A17" s="1385">
        <v>3</v>
      </c>
      <c r="B17" s="1398" t="s">
        <v>1746</v>
      </c>
      <c r="C17" s="1392">
        <f>'[19]П 1.4.'!$D$17*1000</f>
        <v>1118.3058096774193</v>
      </c>
      <c r="D17" s="1399">
        <v>0</v>
      </c>
      <c r="E17" s="1392">
        <f>'[19]П 1.4.'!$F$17*1000</f>
        <v>992.12644838709866</v>
      </c>
      <c r="F17" s="1392">
        <f>'[19]П 1.4.'!$G$17*1000</f>
        <v>46.080322580645202</v>
      </c>
      <c r="G17" s="1400">
        <f t="shared" ref="G17:G23" si="0">C17+D17+E17+F17</f>
        <v>2156.5125806451633</v>
      </c>
      <c r="H17" s="1392">
        <f>'[20]П 1.4.'!$I$17*1000</f>
        <v>1252</v>
      </c>
      <c r="I17" s="1399">
        <v>0</v>
      </c>
      <c r="J17" s="1392">
        <f>'[20]П 1.4.'!$K$17*1000</f>
        <v>1097.1560000000002</v>
      </c>
      <c r="K17" s="1392">
        <f>'[20]П 1.4.'!$L$17*1000</f>
        <v>58.264000000000003</v>
      </c>
      <c r="L17" s="1400">
        <f t="shared" ref="L17:L23" si="1">K17+J17+I17+H17</f>
        <v>2407.42</v>
      </c>
      <c r="M17" s="1401" t="s">
        <v>1120</v>
      </c>
      <c r="N17" s="1402">
        <f>D18+D19+D20</f>
        <v>0</v>
      </c>
      <c r="O17" s="1402">
        <f>E18+E19+E20</f>
        <v>992.12644838709866</v>
      </c>
      <c r="P17" s="1402">
        <f>F18+F19+F20</f>
        <v>46.080322580645202</v>
      </c>
      <c r="Q17" s="1402">
        <f>G18+G19+G20</f>
        <v>2156.5125806451633</v>
      </c>
    </row>
    <row r="18" spans="1:22" ht="26.4">
      <c r="A18" s="917" t="s">
        <v>723</v>
      </c>
      <c r="B18" s="1398" t="s">
        <v>1747</v>
      </c>
      <c r="C18" s="1399">
        <v>0</v>
      </c>
      <c r="D18" s="1399">
        <v>0</v>
      </c>
      <c r="E18" s="1399">
        <v>0</v>
      </c>
      <c r="F18" s="1399">
        <v>0</v>
      </c>
      <c r="G18" s="1399">
        <f>SUM(C18:F18)</f>
        <v>0</v>
      </c>
      <c r="H18" s="1399">
        <v>0</v>
      </c>
      <c r="I18" s="1399">
        <v>0</v>
      </c>
      <c r="J18" s="1399">
        <v>0</v>
      </c>
      <c r="K18" s="1399">
        <v>0</v>
      </c>
      <c r="L18" s="1399">
        <f>L17-L19-L20</f>
        <v>0</v>
      </c>
      <c r="M18" s="1401" t="s">
        <v>1265</v>
      </c>
      <c r="N18" s="1402">
        <f>I18+I19</f>
        <v>0</v>
      </c>
      <c r="O18" s="1402">
        <f>J18+J19+J20</f>
        <v>1097.1560000000002</v>
      </c>
      <c r="P18" s="1402">
        <f>K18+K19+K20</f>
        <v>58.264000000000003</v>
      </c>
      <c r="Q18" s="1402">
        <f>L18+L19+L20</f>
        <v>2407.42</v>
      </c>
    </row>
    <row r="19" spans="1:22">
      <c r="A19" s="917" t="s">
        <v>268</v>
      </c>
      <c r="B19" s="1403" t="s">
        <v>1748</v>
      </c>
      <c r="C19" s="1399">
        <f>C17</f>
        <v>1118.3058096774193</v>
      </c>
      <c r="D19" s="1399">
        <f>D17</f>
        <v>0</v>
      </c>
      <c r="E19" s="1399">
        <f>E17</f>
        <v>992.12644838709866</v>
      </c>
      <c r="F19" s="1399">
        <f>F17</f>
        <v>46.080322580645202</v>
      </c>
      <c r="G19" s="1404">
        <f>SUM(C19:F19)</f>
        <v>2156.5125806451633</v>
      </c>
      <c r="H19" s="1399">
        <f>H17-H20</f>
        <v>1252</v>
      </c>
      <c r="I19" s="1399">
        <f>I17-I20</f>
        <v>0</v>
      </c>
      <c r="J19" s="1399">
        <f>J17-J20</f>
        <v>1097.1560000000002</v>
      </c>
      <c r="K19" s="1399">
        <f>K17-K20</f>
        <v>58.264000000000003</v>
      </c>
      <c r="L19" s="1404">
        <f>SUM(H19:K19)</f>
        <v>2407.42</v>
      </c>
      <c r="M19" s="1405">
        <f>G18+G19+G20</f>
        <v>2156.5125806451633</v>
      </c>
      <c r="N19" s="1406">
        <f>L18+L19+L20</f>
        <v>2407.42</v>
      </c>
      <c r="O19" s="870"/>
      <c r="P19" s="870"/>
      <c r="T19" s="870"/>
      <c r="U19" s="870"/>
      <c r="V19" s="870"/>
    </row>
    <row r="20" spans="1:22" ht="26.4">
      <c r="A20" s="917" t="s">
        <v>269</v>
      </c>
      <c r="B20" s="1398" t="s">
        <v>1749</v>
      </c>
      <c r="C20" s="1407">
        <v>0</v>
      </c>
      <c r="D20" s="1407">
        <v>0</v>
      </c>
      <c r="E20" s="1407">
        <v>0</v>
      </c>
      <c r="F20" s="1407">
        <v>0</v>
      </c>
      <c r="G20" s="1408">
        <f>SUM(C20:F20)</f>
        <v>0</v>
      </c>
      <c r="H20" s="1399">
        <v>0</v>
      </c>
      <c r="I20" s="1399">
        <v>0</v>
      </c>
      <c r="J20" s="1399">
        <v>0</v>
      </c>
      <c r="K20" s="1399">
        <v>0</v>
      </c>
      <c r="L20" s="1408">
        <f>SUM(H20:K20)</f>
        <v>0</v>
      </c>
      <c r="M20" s="1409">
        <v>2011</v>
      </c>
      <c r="N20" s="1409">
        <v>2012</v>
      </c>
      <c r="O20" s="870"/>
      <c r="P20" s="870"/>
      <c r="T20" s="870"/>
      <c r="U20" s="870"/>
      <c r="V20" s="870"/>
    </row>
    <row r="21" spans="1:22">
      <c r="A21" s="1385">
        <v>4</v>
      </c>
      <c r="B21" s="1391" t="s">
        <v>1750</v>
      </c>
      <c r="C21" s="517">
        <f>(933.4+683+13465)</f>
        <v>15081.4</v>
      </c>
      <c r="D21" s="101">
        <v>0</v>
      </c>
      <c r="E21" s="517">
        <f>(365)</f>
        <v>365</v>
      </c>
      <c r="F21" s="517">
        <f>(133.01)</f>
        <v>133.01</v>
      </c>
      <c r="G21" s="1410">
        <f t="shared" si="0"/>
        <v>15579.41</v>
      </c>
      <c r="H21" s="1392">
        <f>'[20]2012 Баланс  '!$C$30</f>
        <v>21250.311000000002</v>
      </c>
      <c r="I21" s="101">
        <v>0</v>
      </c>
      <c r="J21" s="1392">
        <f>'[20]2012 Баланс  '!$E$30</f>
        <v>360</v>
      </c>
      <c r="K21" s="1392">
        <f>'[20]2012 Баланс  '!$F$30</f>
        <v>531.55799999999999</v>
      </c>
      <c r="L21" s="1410">
        <f t="shared" si="1"/>
        <v>22141.869000000002</v>
      </c>
      <c r="M21" s="1411">
        <f>'[19]П 1.4.'!$P$33*1000</f>
        <v>15579.410000000002</v>
      </c>
      <c r="N21" s="1412">
        <f>'[19]2012 Баланс  '!$B$30</f>
        <v>23680.321</v>
      </c>
      <c r="O21" s="870"/>
      <c r="P21" s="870"/>
      <c r="T21" s="870"/>
      <c r="U21" s="870"/>
      <c r="V21" s="870"/>
    </row>
    <row r="22" spans="1:22">
      <c r="A22" s="1385">
        <v>5</v>
      </c>
      <c r="B22" s="1391" t="s">
        <v>1431</v>
      </c>
      <c r="C22" s="101">
        <v>0</v>
      </c>
      <c r="D22" s="101">
        <v>0</v>
      </c>
      <c r="E22" s="101">
        <v>0</v>
      </c>
      <c r="F22" s="101">
        <v>0</v>
      </c>
      <c r="G22" s="101">
        <f t="shared" si="0"/>
        <v>0</v>
      </c>
      <c r="H22" s="101">
        <v>0</v>
      </c>
      <c r="I22" s="101">
        <v>0</v>
      </c>
      <c r="J22" s="101">
        <v>0</v>
      </c>
      <c r="K22" s="101">
        <v>0</v>
      </c>
      <c r="L22" s="101">
        <f t="shared" si="1"/>
        <v>0</v>
      </c>
      <c r="M22" s="1411"/>
      <c r="N22" s="1412"/>
      <c r="O22" s="870"/>
      <c r="P22" s="870"/>
      <c r="T22" s="870"/>
      <c r="U22" s="870"/>
      <c r="V22" s="870"/>
    </row>
    <row r="23" spans="1:22" ht="26.4">
      <c r="A23" s="1413">
        <v>6</v>
      </c>
      <c r="B23" s="1414" t="s">
        <v>1751</v>
      </c>
      <c r="C23" s="1415">
        <f>C24+C25+C26+C35+C46</f>
        <v>5927.9</v>
      </c>
      <c r="D23" s="1416">
        <f>D24+D25+D26+D35+D46</f>
        <v>0</v>
      </c>
      <c r="E23" s="1415">
        <f>E24+E25+E26+E35+E46</f>
        <v>6664.3</v>
      </c>
      <c r="F23" s="1415">
        <f>F24+F25+F26+F35+F46</f>
        <v>479.20000000000005</v>
      </c>
      <c r="G23" s="1415">
        <f t="shared" si="0"/>
        <v>13071.400000000001</v>
      </c>
      <c r="H23" s="1415">
        <f>H24+H25+H26+H35+H46</f>
        <v>4940.6400000000003</v>
      </c>
      <c r="I23" s="1416"/>
      <c r="J23" s="1415">
        <f>J24+J25+J26+J35+J46</f>
        <v>4659.2999999999993</v>
      </c>
      <c r="K23" s="1415">
        <f>K24+K25+K26+K35+K46</f>
        <v>242.52</v>
      </c>
      <c r="L23" s="1415">
        <f t="shared" si="1"/>
        <v>9842.4599999999991</v>
      </c>
      <c r="M23" s="1417">
        <f>'[19]П 1.4.'!$C$26*1000</f>
        <v>28650.81</v>
      </c>
      <c r="N23" s="1417">
        <f>'[20]2012 Баланс  '!$B$30+'[20]2012 Баланс  '!$B$17</f>
        <v>31984.329000000002</v>
      </c>
      <c r="O23" s="1418" t="s">
        <v>198</v>
      </c>
      <c r="P23" s="1419"/>
      <c r="T23" s="870"/>
      <c r="U23" s="870"/>
      <c r="V23" s="870"/>
    </row>
    <row r="24" spans="1:22">
      <c r="A24" s="24" t="s">
        <v>252</v>
      </c>
      <c r="B24" s="1420" t="s">
        <v>1752</v>
      </c>
      <c r="C24" s="1421"/>
      <c r="D24" s="1421"/>
      <c r="E24" s="1422">
        <v>0</v>
      </c>
      <c r="F24" s="1422">
        <v>0</v>
      </c>
      <c r="G24" s="1423"/>
      <c r="H24" s="1423"/>
      <c r="I24" s="1423"/>
      <c r="J24" s="1422">
        <v>0</v>
      </c>
      <c r="K24" s="1422">
        <v>0</v>
      </c>
      <c r="L24" s="1395"/>
      <c r="M24" s="1417">
        <f>G21+G23</f>
        <v>28650.81</v>
      </c>
      <c r="N24" s="1417">
        <f>L21+L23</f>
        <v>31984.329000000002</v>
      </c>
      <c r="O24" s="1418"/>
      <c r="P24" s="1406"/>
      <c r="T24" s="870"/>
      <c r="U24" s="870"/>
      <c r="V24" s="870"/>
    </row>
    <row r="25" spans="1:22" ht="26.4">
      <c r="A25" s="24" t="s">
        <v>253</v>
      </c>
      <c r="B25" s="1386" t="s">
        <v>1753</v>
      </c>
      <c r="C25" s="1388"/>
      <c r="D25" s="1388"/>
      <c r="E25" s="1388"/>
      <c r="F25" s="1388"/>
      <c r="G25" s="1388"/>
      <c r="H25" s="1395"/>
      <c r="I25" s="1395"/>
      <c r="J25" s="1395"/>
      <c r="K25" s="1395"/>
      <c r="L25" s="1395"/>
      <c r="M25" s="1411"/>
      <c r="N25" s="1412"/>
      <c r="O25" s="870"/>
      <c r="P25" s="870"/>
      <c r="T25" s="870"/>
      <c r="U25" s="870"/>
      <c r="V25" s="870"/>
    </row>
    <row r="26" spans="1:22" ht="26.4">
      <c r="A26" s="1424" t="s">
        <v>254</v>
      </c>
      <c r="B26" s="1414" t="s">
        <v>1754</v>
      </c>
      <c r="C26" s="1422">
        <v>0</v>
      </c>
      <c r="D26" s="1422">
        <v>0</v>
      </c>
      <c r="E26" s="1425">
        <f>J26</f>
        <v>21.36</v>
      </c>
      <c r="F26" s="1425">
        <f>K26</f>
        <v>188.37</v>
      </c>
      <c r="G26" s="1425">
        <f>SUM(C26:F26)</f>
        <v>209.73000000000002</v>
      </c>
      <c r="H26" s="1422">
        <v>0</v>
      </c>
      <c r="I26" s="1422">
        <v>0</v>
      </c>
      <c r="J26" s="1425">
        <f>'[20]стр-ра пол.отп. 2012г.июнь'!$E$17</f>
        <v>21.36</v>
      </c>
      <c r="K26" s="1425">
        <f>'[20]стр-ра пол.отп. 2012г.июнь'!$F$17</f>
        <v>188.37</v>
      </c>
      <c r="L26" s="1425">
        <f>SUM(H26:K26)</f>
        <v>209.73000000000002</v>
      </c>
      <c r="M26" s="1411">
        <f>'[20]стр-ра пол.отп. 2012г.июнь'!$B$17</f>
        <v>209.73000000000002</v>
      </c>
      <c r="N26" s="1412"/>
      <c r="O26" s="870"/>
      <c r="P26" s="870"/>
      <c r="T26" s="870"/>
      <c r="U26" s="870"/>
      <c r="V26" s="870"/>
    </row>
    <row r="27" spans="1:22">
      <c r="A27" s="24" t="s">
        <v>1755</v>
      </c>
      <c r="B27" s="1386" t="s">
        <v>1756</v>
      </c>
      <c r="C27" s="1388"/>
      <c r="D27" s="1388"/>
      <c r="E27" s="1388"/>
      <c r="F27" s="1388"/>
      <c r="G27" s="1388"/>
      <c r="H27" s="1388"/>
      <c r="I27" s="1388"/>
      <c r="J27" s="1388"/>
      <c r="K27" s="1388"/>
      <c r="L27" s="1388"/>
      <c r="M27" s="1409"/>
      <c r="N27" s="1409"/>
      <c r="O27" s="1426"/>
      <c r="P27" s="1426"/>
      <c r="T27" s="870"/>
      <c r="U27" s="870"/>
      <c r="V27" s="870"/>
    </row>
    <row r="28" spans="1:22">
      <c r="A28" s="24" t="s">
        <v>1757</v>
      </c>
      <c r="B28" s="1386" t="s">
        <v>1758</v>
      </c>
      <c r="C28" s="1388"/>
      <c r="D28" s="1388"/>
      <c r="E28" s="1388"/>
      <c r="F28" s="1388"/>
      <c r="G28" s="1388"/>
      <c r="H28" s="1388"/>
      <c r="I28" s="1388"/>
      <c r="J28" s="1388"/>
      <c r="K28" s="1388"/>
      <c r="L28" s="1388"/>
      <c r="M28" s="1427"/>
      <c r="N28" s="1426"/>
      <c r="O28" s="1426"/>
      <c r="P28" s="1426"/>
      <c r="T28" s="870"/>
      <c r="U28" s="870"/>
      <c r="V28" s="870"/>
    </row>
    <row r="29" spans="1:22">
      <c r="A29" s="24" t="s">
        <v>1759</v>
      </c>
      <c r="B29" s="1386" t="s">
        <v>1760</v>
      </c>
      <c r="C29" s="1388"/>
      <c r="D29" s="1388"/>
      <c r="E29" s="1388"/>
      <c r="F29" s="1388"/>
      <c r="G29" s="1388"/>
      <c r="H29" s="1388"/>
      <c r="I29" s="1388"/>
      <c r="J29" s="1388"/>
      <c r="K29" s="1388"/>
      <c r="L29" s="1388"/>
      <c r="M29" s="1428"/>
      <c r="N29" s="1429"/>
      <c r="O29" s="1429"/>
      <c r="P29" s="870"/>
      <c r="T29" s="870"/>
      <c r="U29" s="870"/>
      <c r="V29" s="870"/>
    </row>
    <row r="30" spans="1:22">
      <c r="A30" s="24" t="s">
        <v>1761</v>
      </c>
      <c r="B30" s="1386" t="s">
        <v>1762</v>
      </c>
      <c r="C30" s="1388"/>
      <c r="D30" s="1388"/>
      <c r="E30" s="1388"/>
      <c r="F30" s="1388"/>
      <c r="G30" s="1388"/>
      <c r="H30" s="1388"/>
      <c r="I30" s="1388"/>
      <c r="J30" s="1388"/>
      <c r="K30" s="1388"/>
      <c r="L30" s="1388"/>
      <c r="M30" s="1428"/>
      <c r="N30" s="1429"/>
      <c r="O30" s="1429"/>
      <c r="P30" s="870"/>
      <c r="T30" s="870"/>
      <c r="U30" s="870"/>
      <c r="V30" s="870"/>
    </row>
    <row r="31" spans="1:22">
      <c r="A31" s="24" t="s">
        <v>1763</v>
      </c>
      <c r="B31" s="1386" t="s">
        <v>1764</v>
      </c>
      <c r="C31" s="1388"/>
      <c r="D31" s="1388"/>
      <c r="E31" s="1388"/>
      <c r="F31" s="1388"/>
      <c r="G31" s="1388"/>
      <c r="H31" s="1388"/>
      <c r="I31" s="1388"/>
      <c r="J31" s="1388"/>
      <c r="K31" s="1388"/>
      <c r="L31" s="1388"/>
      <c r="M31" s="1430"/>
      <c r="N31" s="870"/>
      <c r="O31" s="870"/>
      <c r="P31" s="870"/>
      <c r="T31" s="870"/>
      <c r="U31" s="870"/>
      <c r="V31" s="870"/>
    </row>
    <row r="32" spans="1:22" ht="37.5" customHeight="1">
      <c r="A32" s="24" t="s">
        <v>1765</v>
      </c>
      <c r="B32" s="1386" t="s">
        <v>1766</v>
      </c>
      <c r="C32" s="1388"/>
      <c r="D32" s="1388"/>
      <c r="E32" s="1388"/>
      <c r="F32" s="1388"/>
      <c r="G32" s="1388"/>
      <c r="H32" s="1388"/>
      <c r="I32" s="1388"/>
      <c r="J32" s="1388"/>
      <c r="K32" s="1388"/>
      <c r="L32" s="1388"/>
      <c r="M32" s="1380"/>
      <c r="T32" s="870"/>
      <c r="U32" s="870"/>
      <c r="V32" s="870"/>
    </row>
    <row r="33" spans="1:22" ht="36.75" customHeight="1">
      <c r="A33" s="24" t="s">
        <v>1767</v>
      </c>
      <c r="B33" s="1386" t="s">
        <v>1768</v>
      </c>
      <c r="C33" s="1388"/>
      <c r="D33" s="1388"/>
      <c r="E33" s="1388"/>
      <c r="F33" s="1388"/>
      <c r="G33" s="1388"/>
      <c r="H33" s="1388"/>
      <c r="I33" s="1388"/>
      <c r="J33" s="1388"/>
      <c r="K33" s="1388"/>
      <c r="L33" s="1388"/>
      <c r="M33" s="1380"/>
      <c r="T33" s="870"/>
      <c r="U33" s="870"/>
      <c r="V33" s="870"/>
    </row>
    <row r="34" spans="1:22" ht="26.4">
      <c r="A34" s="24" t="s">
        <v>1769</v>
      </c>
      <c r="B34" s="1386" t="s">
        <v>1770</v>
      </c>
      <c r="C34" s="1388"/>
      <c r="D34" s="1388"/>
      <c r="E34" s="1388"/>
      <c r="F34" s="1388"/>
      <c r="G34" s="1388"/>
      <c r="H34" s="1388"/>
      <c r="I34" s="1388"/>
      <c r="J34" s="1388"/>
      <c r="K34" s="1388"/>
      <c r="L34" s="1388"/>
      <c r="M34" s="1380"/>
      <c r="T34" s="870"/>
      <c r="U34" s="870"/>
      <c r="V34" s="870"/>
    </row>
    <row r="35" spans="1:22">
      <c r="A35" s="1431" t="s">
        <v>1771</v>
      </c>
      <c r="B35" s="1414" t="s">
        <v>1772</v>
      </c>
      <c r="C35" s="1432">
        <f>5927.9-C26</f>
        <v>5927.9</v>
      </c>
      <c r="D35" s="1416">
        <f>SUM(D36:D45)</f>
        <v>0</v>
      </c>
      <c r="E35" s="517">
        <f>(6611+53.3)-E26</f>
        <v>6642.9400000000005</v>
      </c>
      <c r="F35" s="517">
        <f>(231.8+247.4)-F26</f>
        <v>290.83000000000004</v>
      </c>
      <c r="G35" s="1415">
        <f>SUM(C35:F35)</f>
        <v>12861.67</v>
      </c>
      <c r="H35" s="1415">
        <f>'[20]стр-ра пол.отп. 2012г.июнь'!$C$14</f>
        <v>4940.6400000000003</v>
      </c>
      <c r="I35" s="1415">
        <f>'[20]стр-ра пол.отп. 2012г.июнь'!$D$14</f>
        <v>0</v>
      </c>
      <c r="J35" s="1415">
        <f>'[20]стр-ра пол.отп. 2012г.июнь'!$E$14</f>
        <v>4637.9399999999996</v>
      </c>
      <c r="K35" s="1415">
        <f>'[20]стр-ра пол.отп. 2012г.июнь'!$F$14</f>
        <v>54.15</v>
      </c>
      <c r="L35" s="1415">
        <f>SUM(H35:K35)</f>
        <v>9632.73</v>
      </c>
      <c r="M35" s="1412">
        <f>'[20]стр-ра пол.отп. 2012г.июнь'!$B$14</f>
        <v>9632.73</v>
      </c>
      <c r="N35" s="1412"/>
      <c r="T35" s="870"/>
      <c r="U35" s="870"/>
      <c r="V35" s="870"/>
    </row>
    <row r="36" spans="1:22" ht="26.4">
      <c r="A36" s="24" t="s">
        <v>1773</v>
      </c>
      <c r="B36" s="1386" t="s">
        <v>1774</v>
      </c>
      <c r="C36" s="1388"/>
      <c r="D36" s="1388"/>
      <c r="E36" s="1388"/>
      <c r="F36" s="1394"/>
      <c r="G36" s="1394"/>
      <c r="H36" s="1388"/>
      <c r="I36" s="1388"/>
      <c r="J36" s="1388"/>
      <c r="K36" s="1433"/>
      <c r="L36" s="1433"/>
      <c r="M36" s="1380"/>
      <c r="T36" s="870"/>
      <c r="U36" s="870"/>
      <c r="V36" s="870"/>
    </row>
    <row r="37" spans="1:22" ht="26.4">
      <c r="A37" s="24" t="s">
        <v>1775</v>
      </c>
      <c r="B37" s="1386" t="s">
        <v>1776</v>
      </c>
      <c r="C37" s="1388"/>
      <c r="D37" s="1388"/>
      <c r="E37" s="1388"/>
      <c r="F37" s="1394"/>
      <c r="G37" s="1394"/>
      <c r="H37" s="1388"/>
      <c r="I37" s="1388"/>
      <c r="J37" s="1388"/>
      <c r="K37" s="1394"/>
      <c r="L37" s="1394"/>
      <c r="M37" s="1380"/>
      <c r="T37" s="870"/>
      <c r="U37" s="870"/>
      <c r="V37" s="870"/>
    </row>
    <row r="38" spans="1:22" ht="26.4">
      <c r="A38" s="24" t="s">
        <v>1777</v>
      </c>
      <c r="B38" s="1386" t="s">
        <v>1778</v>
      </c>
      <c r="C38" s="1388"/>
      <c r="D38" s="1388"/>
      <c r="E38" s="1388"/>
      <c r="F38" s="1394"/>
      <c r="G38" s="1394"/>
      <c r="H38" s="1388"/>
      <c r="I38" s="1388"/>
      <c r="J38" s="1388"/>
      <c r="K38" s="1394"/>
      <c r="L38" s="1394"/>
      <c r="M38" s="1380"/>
      <c r="T38" s="870"/>
      <c r="U38" s="870"/>
      <c r="V38" s="870"/>
    </row>
    <row r="39" spans="1:22">
      <c r="A39" s="24" t="s">
        <v>1779</v>
      </c>
      <c r="B39" s="1420" t="s">
        <v>1780</v>
      </c>
      <c r="C39" s="141">
        <v>0</v>
      </c>
      <c r="D39" s="141">
        <v>0</v>
      </c>
      <c r="E39" s="141">
        <v>0</v>
      </c>
      <c r="F39" s="141">
        <v>0</v>
      </c>
      <c r="G39" s="304">
        <f>SUM(C39:F39)</f>
        <v>0</v>
      </c>
      <c r="H39" s="141">
        <v>0</v>
      </c>
      <c r="I39" s="141">
        <v>0</v>
      </c>
      <c r="J39" s="141">
        <v>0</v>
      </c>
      <c r="K39" s="141">
        <v>0</v>
      </c>
      <c r="L39" s="304">
        <f>SUM(H39:K39)</f>
        <v>0</v>
      </c>
      <c r="M39" s="1380"/>
      <c r="T39" s="870"/>
      <c r="U39" s="870"/>
      <c r="V39" s="870"/>
    </row>
    <row r="40" spans="1:22" ht="26.4">
      <c r="A40" s="24" t="s">
        <v>1781</v>
      </c>
      <c r="B40" s="1386" t="s">
        <v>1782</v>
      </c>
      <c r="C40" s="1388"/>
      <c r="D40" s="1388"/>
      <c r="E40" s="1388"/>
      <c r="F40" s="1388"/>
      <c r="G40" s="1388"/>
      <c r="H40" s="1388"/>
      <c r="I40" s="1388"/>
      <c r="J40" s="1388"/>
      <c r="K40" s="1388"/>
      <c r="L40" s="1388"/>
      <c r="M40" s="1380"/>
      <c r="T40" s="870"/>
      <c r="U40" s="870"/>
      <c r="V40" s="870"/>
    </row>
    <row r="41" spans="1:22" ht="26.4">
      <c r="A41" s="24" t="s">
        <v>1783</v>
      </c>
      <c r="B41" s="1386" t="s">
        <v>1784</v>
      </c>
      <c r="C41" s="1388"/>
      <c r="D41" s="1388"/>
      <c r="E41" s="1388"/>
      <c r="F41" s="1388"/>
      <c r="G41" s="1388"/>
      <c r="H41" s="1388"/>
      <c r="I41" s="1388"/>
      <c r="J41" s="1388"/>
      <c r="K41" s="1388"/>
      <c r="L41" s="1388"/>
      <c r="M41" s="1380"/>
      <c r="T41" s="870"/>
      <c r="U41" s="870"/>
      <c r="V41" s="870"/>
    </row>
    <row r="42" spans="1:22" ht="26.4">
      <c r="A42" s="24" t="s">
        <v>1785</v>
      </c>
      <c r="B42" s="1386" t="s">
        <v>1786</v>
      </c>
      <c r="C42" s="1388"/>
      <c r="D42" s="1388"/>
      <c r="E42" s="1388"/>
      <c r="F42" s="1388"/>
      <c r="G42" s="1388"/>
      <c r="H42" s="1388"/>
      <c r="I42" s="1388"/>
      <c r="J42" s="1388"/>
      <c r="K42" s="1388"/>
      <c r="L42" s="1388"/>
      <c r="M42" s="1380"/>
      <c r="T42" s="870"/>
      <c r="U42" s="870"/>
      <c r="V42" s="870"/>
    </row>
    <row r="43" spans="1:22" ht="39.6">
      <c r="A43" s="24" t="s">
        <v>1787</v>
      </c>
      <c r="B43" s="1386" t="s">
        <v>1788</v>
      </c>
      <c r="C43" s="1388"/>
      <c r="D43" s="1388"/>
      <c r="E43" s="1388"/>
      <c r="F43" s="1388"/>
      <c r="G43" s="1388"/>
      <c r="H43" s="1388"/>
      <c r="I43" s="1388"/>
      <c r="J43" s="1388"/>
      <c r="K43" s="1388"/>
      <c r="L43" s="1388"/>
      <c r="M43" s="1380"/>
      <c r="T43" s="870"/>
      <c r="U43" s="870"/>
      <c r="V43" s="870"/>
    </row>
    <row r="44" spans="1:22" ht="14.25" customHeight="1">
      <c r="A44" s="24" t="s">
        <v>1789</v>
      </c>
      <c r="B44" s="1386" t="s">
        <v>1790</v>
      </c>
      <c r="C44" s="1388"/>
      <c r="D44" s="1388"/>
      <c r="E44" s="1388"/>
      <c r="F44" s="1388"/>
      <c r="G44" s="1388"/>
      <c r="H44" s="1388"/>
      <c r="I44" s="1388"/>
      <c r="J44" s="1388"/>
      <c r="K44" s="1388"/>
      <c r="L44" s="1388"/>
      <c r="M44" s="1380"/>
    </row>
    <row r="45" spans="1:22">
      <c r="A45" s="24" t="s">
        <v>1791</v>
      </c>
      <c r="B45" s="1386" t="s">
        <v>1792</v>
      </c>
      <c r="C45" s="1388"/>
      <c r="D45" s="1388"/>
      <c r="E45" s="1388"/>
      <c r="F45" s="1388"/>
      <c r="G45" s="1388"/>
      <c r="H45" s="1388"/>
      <c r="I45" s="1388"/>
      <c r="J45" s="1388"/>
      <c r="K45" s="1388"/>
      <c r="L45" s="1388"/>
      <c r="M45" s="1380"/>
    </row>
    <row r="46" spans="1:22" ht="15.75" customHeight="1">
      <c r="A46" s="24" t="s">
        <v>1793</v>
      </c>
      <c r="B46" s="1386" t="s">
        <v>1794</v>
      </c>
      <c r="C46" s="1388"/>
      <c r="D46" s="1388"/>
      <c r="E46" s="1388"/>
      <c r="F46" s="1388"/>
      <c r="G46" s="1388"/>
      <c r="H46" s="1388"/>
      <c r="I46" s="1388"/>
      <c r="J46" s="1388"/>
      <c r="K46" s="1388"/>
      <c r="L46" s="1388"/>
      <c r="M46" s="1380"/>
    </row>
    <row r="47" spans="1:22" ht="15.75" customHeight="1">
      <c r="B47" s="1434"/>
      <c r="C47" s="1435"/>
      <c r="D47" s="1435"/>
      <c r="E47" s="1435"/>
      <c r="F47" s="1435"/>
      <c r="G47" s="1435"/>
      <c r="H47" s="1435"/>
      <c r="I47" s="1435"/>
      <c r="J47" s="1435"/>
      <c r="K47" s="1435"/>
      <c r="L47" s="1436"/>
    </row>
    <row r="49" spans="1:12" s="52" customFormat="1" ht="15.6">
      <c r="B49" s="86"/>
      <c r="C49" s="53"/>
      <c r="J49" s="26"/>
      <c r="L49" s="87"/>
    </row>
    <row r="50" spans="1:12" s="776" customFormat="1" ht="23.25" customHeight="1">
      <c r="A50" s="905" t="s">
        <v>1266</v>
      </c>
      <c r="B50" s="774"/>
      <c r="C50" s="775"/>
      <c r="H50" s="777"/>
    </row>
    <row r="51" spans="1:12" s="776" customFormat="1" ht="15" customHeight="1">
      <c r="A51" s="905" t="s">
        <v>1267</v>
      </c>
      <c r="B51" s="778"/>
      <c r="C51" s="775"/>
      <c r="E51" s="779"/>
      <c r="F51" s="779"/>
      <c r="H51" s="1437" t="s">
        <v>1268</v>
      </c>
    </row>
    <row r="52" spans="1:12" s="52" customFormat="1">
      <c r="A52" s="1438"/>
      <c r="H52" s="872"/>
    </row>
    <row r="53" spans="1:12" s="52" customFormat="1">
      <c r="A53" s="1438"/>
      <c r="H53" s="872"/>
    </row>
    <row r="54" spans="1:12" s="52" customFormat="1">
      <c r="A54" s="1438"/>
      <c r="H54" s="872"/>
    </row>
    <row r="55" spans="1:12" s="52" customFormat="1">
      <c r="A55" s="1438"/>
      <c r="H55" s="872"/>
    </row>
    <row r="56" spans="1:12" s="52" customFormat="1">
      <c r="A56" s="1438"/>
      <c r="H56" s="872"/>
    </row>
    <row r="57" spans="1:12" s="52" customFormat="1">
      <c r="A57" s="1438"/>
      <c r="H57" s="872"/>
    </row>
    <row r="58" spans="1:12" s="52" customFormat="1">
      <c r="A58" s="1438"/>
      <c r="H58" s="872"/>
    </row>
    <row r="59" spans="1:12" s="52" customFormat="1">
      <c r="A59" s="1438"/>
      <c r="H59" s="872"/>
    </row>
    <row r="60" spans="1:12" s="52" customFormat="1">
      <c r="A60" s="1438"/>
      <c r="H60" s="872"/>
    </row>
    <row r="63" spans="1:12" s="52" customFormat="1"/>
    <row r="64" spans="1:12" s="52" customFormat="1"/>
    <row r="65" spans="1:1" s="52" customFormat="1">
      <c r="A65" s="1439" t="s">
        <v>614</v>
      </c>
    </row>
    <row r="66" spans="1:1" s="52" customFormat="1">
      <c r="A66" s="1439" t="s">
        <v>1795</v>
      </c>
    </row>
    <row r="67" spans="1:1" s="52" customFormat="1"/>
    <row r="68" spans="1:1" s="52" customFormat="1"/>
  </sheetData>
  <mergeCells count="2">
    <mergeCell ref="A7:A10"/>
    <mergeCell ref="B7:B10"/>
  </mergeCells>
  <printOptions horizontalCentered="1"/>
  <pageMargins left="0.78740157480314965" right="0.78740157480314965" top="0.59055118110236227" bottom="0.39370078740157483" header="0.51181102362204722" footer="3.937007874015748E-2"/>
  <pageSetup paperSize="9" scale="87" orientation="landscape" r:id="rId1"/>
  <headerFooter alignWithMargins="0">
    <oddFooter>&amp;R&amp;8&amp;P</oddFooter>
  </headerFooter>
  <rowBreaks count="1" manualBreakCount="1">
    <brk id="34" max="11" man="1"/>
  </rowBreaks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4">
    <tabColor rgb="FF7030A0"/>
  </sheetPr>
  <dimension ref="A1:Q82"/>
  <sheetViews>
    <sheetView zoomScale="85" zoomScaleNormal="85" workbookViewId="0">
      <selection activeCell="K8" sqref="K8"/>
    </sheetView>
  </sheetViews>
  <sheetFormatPr defaultColWidth="9.109375" defaultRowHeight="13.8"/>
  <cols>
    <col min="1" max="1" width="11.5546875" style="1669" customWidth="1"/>
    <col min="2" max="2" width="62" style="1669" customWidth="1"/>
    <col min="3" max="3" width="12.6640625" style="1669" customWidth="1"/>
    <col min="4" max="4" width="17.6640625" style="1669" customWidth="1"/>
    <col min="5" max="5" width="17.6640625" style="1669" hidden="1" customWidth="1"/>
    <col min="6" max="6" width="17.6640625" style="1669" customWidth="1"/>
    <col min="7" max="8" width="17.6640625" style="1669" hidden="1" customWidth="1"/>
    <col min="9" max="11" width="17.6640625" style="1669" customWidth="1"/>
    <col min="12" max="12" width="9.109375" style="1669"/>
    <col min="13" max="17" width="0" style="1669" hidden="1" customWidth="1"/>
    <col min="18" max="16384" width="9.109375" style="1669"/>
  </cols>
  <sheetData>
    <row r="1" spans="1:12" ht="18.75" customHeight="1">
      <c r="A1" s="1668" t="s">
        <v>1932</v>
      </c>
      <c r="B1" s="1668"/>
      <c r="C1" s="1668"/>
      <c r="D1" s="1668"/>
      <c r="E1" s="1783"/>
      <c r="F1" s="1668"/>
      <c r="G1" s="1668"/>
      <c r="H1" s="1668"/>
      <c r="I1" s="1668"/>
      <c r="J1" s="1668"/>
      <c r="K1" s="1668"/>
    </row>
    <row r="2" spans="1:12" ht="9" customHeight="1"/>
    <row r="3" spans="1:12" ht="21" customHeight="1">
      <c r="A3" s="4422" t="s">
        <v>1875</v>
      </c>
      <c r="B3" s="4423"/>
      <c r="C3" s="4423"/>
      <c r="D3" s="1670"/>
      <c r="E3" s="1670"/>
      <c r="F3" s="1670"/>
      <c r="G3" s="1670"/>
      <c r="H3" s="1670"/>
      <c r="I3" s="1670"/>
      <c r="J3" s="1670"/>
      <c r="K3" s="1670"/>
    </row>
    <row r="4" spans="1:12" ht="18" customHeight="1">
      <c r="A4" s="1671"/>
      <c r="B4" s="1671"/>
      <c r="C4" s="1671"/>
      <c r="D4" s="1671"/>
      <c r="E4" s="1671"/>
      <c r="F4" s="1671"/>
      <c r="G4" s="1672"/>
      <c r="H4" s="1672"/>
      <c r="I4" s="1671"/>
      <c r="K4" s="872" t="s">
        <v>1401</v>
      </c>
      <c r="L4" s="1673"/>
    </row>
    <row r="5" spans="1:12" ht="58.5" customHeight="1">
      <c r="A5" s="1674" t="s">
        <v>1514</v>
      </c>
      <c r="B5" s="1675" t="s">
        <v>902</v>
      </c>
      <c r="C5" s="1675" t="s">
        <v>389</v>
      </c>
      <c r="D5" s="1676" t="s">
        <v>1876</v>
      </c>
      <c r="E5" s="1676" t="s">
        <v>1935</v>
      </c>
      <c r="F5" s="1676" t="s">
        <v>1877</v>
      </c>
      <c r="G5" s="1677" t="s">
        <v>1878</v>
      </c>
      <c r="H5" s="1677" t="s">
        <v>1879</v>
      </c>
      <c r="I5" s="1676" t="s">
        <v>1900</v>
      </c>
      <c r="J5" s="1676" t="s">
        <v>1933</v>
      </c>
      <c r="K5" s="1678" t="s">
        <v>1880</v>
      </c>
    </row>
    <row r="6" spans="1:12" s="1682" customFormat="1" ht="14.25" customHeight="1">
      <c r="A6" s="1679">
        <v>1</v>
      </c>
      <c r="B6" s="1680">
        <f>A6+1</f>
        <v>2</v>
      </c>
      <c r="C6" s="1681">
        <f>B6+1</f>
        <v>3</v>
      </c>
      <c r="D6" s="1681">
        <f>C6+1</f>
        <v>4</v>
      </c>
      <c r="E6" s="1681">
        <v>5</v>
      </c>
      <c r="F6" s="1681">
        <v>5</v>
      </c>
      <c r="G6" s="1681"/>
      <c r="H6" s="1681"/>
      <c r="I6" s="1681">
        <v>6</v>
      </c>
      <c r="J6" s="1681">
        <v>7</v>
      </c>
      <c r="K6" s="1681">
        <v>8</v>
      </c>
    </row>
    <row r="7" spans="1:12" ht="19.5" customHeight="1">
      <c r="A7" s="1683" t="s">
        <v>995</v>
      </c>
      <c r="B7" s="1684" t="s">
        <v>1881</v>
      </c>
      <c r="C7" s="1685" t="s">
        <v>244</v>
      </c>
      <c r="D7" s="1686">
        <v>6.6000000000000003E-2</v>
      </c>
      <c r="E7" s="1686">
        <v>4.5999999999999999E-2</v>
      </c>
      <c r="F7" s="1686">
        <v>4.5999999999999999E-2</v>
      </c>
      <c r="G7" s="1687"/>
      <c r="H7" s="1688"/>
      <c r="I7" s="1686">
        <v>5.5E-2</v>
      </c>
      <c r="J7" s="1689">
        <v>0.05</v>
      </c>
      <c r="K7" s="1690">
        <v>5.3999999999999999E-2</v>
      </c>
    </row>
    <row r="8" spans="1:12" ht="19.5" customHeight="1">
      <c r="A8" s="1683" t="s">
        <v>996</v>
      </c>
      <c r="B8" s="1684" t="s">
        <v>1882</v>
      </c>
      <c r="C8" s="1685" t="s">
        <v>244</v>
      </c>
      <c r="D8" s="1691"/>
      <c r="E8" s="1691">
        <v>0.01</v>
      </c>
      <c r="F8" s="1686">
        <v>0.01</v>
      </c>
      <c r="G8" s="1692"/>
      <c r="H8" s="1693">
        <v>0.01</v>
      </c>
      <c r="I8" s="1686">
        <v>0.01</v>
      </c>
      <c r="J8" s="1686">
        <v>0.01</v>
      </c>
      <c r="K8" s="1686">
        <v>0.01</v>
      </c>
    </row>
    <row r="9" spans="1:12" ht="19.5" customHeight="1">
      <c r="A9" s="1683" t="s">
        <v>1883</v>
      </c>
      <c r="B9" s="1684" t="s">
        <v>1884</v>
      </c>
      <c r="C9" s="1685" t="s">
        <v>1317</v>
      </c>
      <c r="D9" s="1694"/>
      <c r="E9" s="1694">
        <f>П.2.1.!K7</f>
        <v>0</v>
      </c>
      <c r="F9" s="1694">
        <f>П.2.1.!L7</f>
        <v>656.16269999999997</v>
      </c>
      <c r="G9" s="1695">
        <f>$F$9</f>
        <v>656.16269999999997</v>
      </c>
      <c r="H9" s="1695">
        <f>$F$9</f>
        <v>656.16269999999997</v>
      </c>
      <c r="I9" s="1694">
        <f>F9</f>
        <v>656.16269999999997</v>
      </c>
      <c r="J9" s="1694">
        <f>I9</f>
        <v>656.16269999999997</v>
      </c>
      <c r="K9" s="1778">
        <f>J9</f>
        <v>656.16269999999997</v>
      </c>
    </row>
    <row r="10" spans="1:12" ht="19.5" customHeight="1">
      <c r="A10" s="1683" t="s">
        <v>1885</v>
      </c>
      <c r="B10" s="1684" t="s">
        <v>1886</v>
      </c>
      <c r="C10" s="1685" t="s">
        <v>244</v>
      </c>
      <c r="D10" s="1691"/>
      <c r="E10" s="1691">
        <v>0</v>
      </c>
      <c r="F10" s="1686">
        <f>IF(D9=0,0,(F9-D9)/D9)</f>
        <v>0</v>
      </c>
      <c r="G10" s="1693">
        <f>IF(F9=0,0,(G9-F9)/F9)</f>
        <v>0</v>
      </c>
      <c r="H10" s="1693">
        <f>IF(G9=0,0,(H9-G9)/G9)</f>
        <v>0</v>
      </c>
      <c r="I10" s="1686">
        <f>IF(F9=0,0,(I9-F9)/F9)</f>
        <v>0</v>
      </c>
      <c r="J10" s="1686">
        <f>IF(I9=0,0,(J9-I9)/I9)</f>
        <v>0</v>
      </c>
      <c r="K10" s="1686">
        <f>IF(J9=0,0,(K9-J9)/J9)</f>
        <v>0</v>
      </c>
    </row>
    <row r="11" spans="1:12" ht="19.5" customHeight="1">
      <c r="A11" s="1683" t="s">
        <v>1887</v>
      </c>
      <c r="B11" s="1696" t="s">
        <v>1888</v>
      </c>
      <c r="C11" s="1697"/>
      <c r="D11" s="1698"/>
      <c r="E11" s="1698"/>
      <c r="F11" s="1698"/>
      <c r="G11" s="1699"/>
      <c r="H11" s="1699"/>
      <c r="I11" s="1698">
        <v>0.75</v>
      </c>
      <c r="J11" s="1698">
        <v>0.75</v>
      </c>
      <c r="K11" s="1698">
        <v>0.75</v>
      </c>
    </row>
    <row r="12" spans="1:12" ht="19.5" customHeight="1">
      <c r="A12" s="1700" t="s">
        <v>1889</v>
      </c>
      <c r="B12" s="1696" t="s">
        <v>1890</v>
      </c>
      <c r="C12" s="1697"/>
      <c r="D12" s="1698"/>
      <c r="E12" s="1698">
        <f>(1+E7)</f>
        <v>1.046</v>
      </c>
      <c r="F12" s="1701">
        <f>(1+F7)</f>
        <v>1.046</v>
      </c>
      <c r="G12" s="1699"/>
      <c r="H12" s="1699"/>
      <c r="I12" s="1701">
        <f>(1+I7)*(1-I8)*(1+I10*I11)</f>
        <v>1.0444499999999999</v>
      </c>
      <c r="J12" s="1701">
        <f>(1+J7)*(1-J8)*(1+J10*J11)</f>
        <v>1.0395000000000001</v>
      </c>
      <c r="K12" s="1831">
        <f>(1+K7)*(1-K8)*(1+K10*K11)</f>
        <v>1.0434600000000001</v>
      </c>
    </row>
    <row r="13" spans="1:12" ht="60.75" customHeight="1">
      <c r="A13" s="1702" t="s">
        <v>1891</v>
      </c>
      <c r="B13" s="1703" t="s">
        <v>1892</v>
      </c>
      <c r="C13" s="1704" t="s">
        <v>244</v>
      </c>
      <c r="D13" s="1705"/>
      <c r="E13" s="1705">
        <v>1</v>
      </c>
      <c r="F13" s="1706">
        <v>1</v>
      </c>
      <c r="G13" s="1705"/>
      <c r="H13" s="1705"/>
      <c r="I13" s="1706">
        <v>2</v>
      </c>
      <c r="J13" s="1706">
        <v>2</v>
      </c>
      <c r="K13" s="1706">
        <v>2</v>
      </c>
    </row>
    <row r="14" spans="1:12" ht="38.25" customHeight="1">
      <c r="A14" s="1702" t="s">
        <v>1893</v>
      </c>
      <c r="B14" s="1703" t="s">
        <v>1894</v>
      </c>
      <c r="C14" s="1704"/>
      <c r="D14" s="1707">
        <v>0</v>
      </c>
      <c r="E14" s="1707">
        <v>0.503</v>
      </c>
      <c r="F14" s="1706">
        <v>0.503</v>
      </c>
      <c r="G14" s="1705"/>
      <c r="H14" s="1705"/>
      <c r="I14" s="1706"/>
      <c r="J14" s="1779">
        <f>F14*(1-1.5/100)+0.001</f>
        <v>0.49645499999999998</v>
      </c>
      <c r="K14" s="1779">
        <f>J14*(1-1.5/100)-0.001</f>
        <v>0.48800817499999999</v>
      </c>
    </row>
    <row r="15" spans="1:12" ht="30.75" customHeight="1">
      <c r="A15" s="1702" t="s">
        <v>1895</v>
      </c>
      <c r="B15" s="1703" t="s">
        <v>1896</v>
      </c>
      <c r="C15" s="1704"/>
      <c r="D15" s="1707">
        <v>0</v>
      </c>
      <c r="E15" s="1707">
        <v>0.94799999999999995</v>
      </c>
      <c r="F15" s="1706">
        <v>0.94799999999999995</v>
      </c>
      <c r="G15" s="1705"/>
      <c r="H15" s="1705"/>
      <c r="I15" s="1706"/>
      <c r="J15" s="1706">
        <f>F15</f>
        <v>0.94799999999999995</v>
      </c>
      <c r="K15" s="1706">
        <f>J15</f>
        <v>0.94799999999999995</v>
      </c>
    </row>
    <row r="16" spans="1:12" ht="36" customHeight="1">
      <c r="A16" s="1702" t="s">
        <v>1897</v>
      </c>
      <c r="B16" s="1703" t="s">
        <v>1898</v>
      </c>
      <c r="C16" s="1704"/>
      <c r="D16" s="1707">
        <v>0</v>
      </c>
      <c r="E16" s="1707">
        <v>0.65</v>
      </c>
      <c r="F16" s="1708">
        <v>0.65</v>
      </c>
      <c r="G16" s="1705"/>
      <c r="H16" s="1705"/>
      <c r="I16" s="1708"/>
      <c r="J16" s="1706"/>
      <c r="K16" s="1706"/>
    </row>
    <row r="17" spans="1:14" ht="9" customHeight="1">
      <c r="G17" s="1709"/>
    </row>
    <row r="18" spans="1:14" ht="15.6">
      <c r="A18" s="4422" t="s">
        <v>1899</v>
      </c>
      <c r="B18" s="4423"/>
      <c r="C18" s="4423"/>
      <c r="D18" s="1710"/>
      <c r="E18" s="1710"/>
      <c r="F18" s="1710"/>
      <c r="G18" s="1710"/>
      <c r="H18" s="1710"/>
      <c r="I18" s="1710"/>
      <c r="J18" s="1710"/>
      <c r="K18" s="1710"/>
    </row>
    <row r="19" spans="1:14" ht="11.25" customHeight="1">
      <c r="A19" s="1711"/>
      <c r="B19" s="1711"/>
      <c r="C19" s="1711"/>
      <c r="D19" s="1711"/>
      <c r="E19" s="1711"/>
      <c r="G19" s="1712"/>
    </row>
    <row r="20" spans="1:14" ht="44.25" customHeight="1">
      <c r="A20" s="1674" t="s">
        <v>1514</v>
      </c>
      <c r="B20" s="1675" t="s">
        <v>902</v>
      </c>
      <c r="C20" s="1675" t="s">
        <v>389</v>
      </c>
      <c r="D20" s="1713" t="s">
        <v>1876</v>
      </c>
      <c r="E20" s="1676" t="s">
        <v>1934</v>
      </c>
      <c r="F20" s="1713" t="s">
        <v>1877</v>
      </c>
      <c r="G20" s="1677" t="s">
        <v>1878</v>
      </c>
      <c r="H20" s="1677" t="s">
        <v>1879</v>
      </c>
      <c r="I20" s="1713" t="s">
        <v>1900</v>
      </c>
      <c r="J20" s="1676" t="s">
        <v>1933</v>
      </c>
      <c r="K20" s="1713" t="s">
        <v>1880</v>
      </c>
    </row>
    <row r="21" spans="1:14" s="1714" customFormat="1" ht="14.25" customHeight="1">
      <c r="A21" s="1680">
        <v>1</v>
      </c>
      <c r="B21" s="1680">
        <f>A21+1</f>
        <v>2</v>
      </c>
      <c r="C21" s="1681">
        <f>B21+1</f>
        <v>3</v>
      </c>
      <c r="D21" s="1681">
        <f>C21+1</f>
        <v>4</v>
      </c>
      <c r="E21" s="1681">
        <v>5</v>
      </c>
      <c r="F21" s="1681">
        <v>5</v>
      </c>
      <c r="G21" s="1681">
        <v>7</v>
      </c>
      <c r="H21" s="1681">
        <v>8</v>
      </c>
      <c r="I21" s="1681">
        <v>6</v>
      </c>
      <c r="J21" s="1681">
        <v>7</v>
      </c>
      <c r="K21" s="1681">
        <v>8</v>
      </c>
    </row>
    <row r="22" spans="1:14">
      <c r="N22" s="1785"/>
    </row>
    <row r="23" spans="1:14" ht="15" customHeight="1">
      <c r="A23" s="1715" t="s">
        <v>698</v>
      </c>
      <c r="B23" s="1716" t="s">
        <v>1328</v>
      </c>
      <c r="C23" s="1717" t="s">
        <v>238</v>
      </c>
      <c r="D23" s="1718">
        <f>SUM(D24:D25)</f>
        <v>273</v>
      </c>
      <c r="E23" s="1718">
        <f>SUM(E24:E25)</f>
        <v>1098.1718876144619</v>
      </c>
      <c r="F23" s="1718">
        <f t="shared" ref="F23:K23" si="0">SUM(F24:F25)</f>
        <v>285.55799999999999</v>
      </c>
      <c r="G23" s="1719">
        <f>SUM(G24:G25)</f>
        <v>0</v>
      </c>
      <c r="H23" s="1719">
        <f t="shared" si="0"/>
        <v>0</v>
      </c>
      <c r="I23" s="1718">
        <f t="shared" si="0"/>
        <v>298.25105309999998</v>
      </c>
      <c r="J23" s="1718">
        <f t="shared" si="0"/>
        <v>310.03196969744999</v>
      </c>
      <c r="K23" s="1718">
        <f t="shared" si="0"/>
        <v>353.62938675833385</v>
      </c>
    </row>
    <row r="24" spans="1:14">
      <c r="A24" s="1720" t="s">
        <v>260</v>
      </c>
      <c r="B24" s="1721" t="s">
        <v>1330</v>
      </c>
      <c r="C24" s="1722" t="s">
        <v>238</v>
      </c>
      <c r="D24" s="573">
        <f>'НВВ на содержание'!D11</f>
        <v>0</v>
      </c>
      <c r="E24" s="1723">
        <v>763.3718876144618</v>
      </c>
      <c r="F24" s="573">
        <f>D24*$F$12</f>
        <v>0</v>
      </c>
      <c r="G24" s="1724"/>
      <c r="H24" s="1724"/>
      <c r="I24" s="573">
        <f>F24*$I$12</f>
        <v>0</v>
      </c>
      <c r="J24" s="573">
        <f>I24*$J$12</f>
        <v>0</v>
      </c>
      <c r="K24" s="1723">
        <f>'П 1.15.'!D9</f>
        <v>61.360438460908846</v>
      </c>
    </row>
    <row r="25" spans="1:14" ht="41.4">
      <c r="A25" s="1720" t="s">
        <v>1901</v>
      </c>
      <c r="B25" s="1721" t="s">
        <v>1332</v>
      </c>
      <c r="C25" s="1722" t="s">
        <v>238</v>
      </c>
      <c r="D25" s="1723">
        <f>'НВВ на содержание'!D12</f>
        <v>273</v>
      </c>
      <c r="E25" s="1723">
        <v>334.8</v>
      </c>
      <c r="F25" s="1723">
        <f>D25*$F$12</f>
        <v>285.55799999999999</v>
      </c>
      <c r="G25" s="1724"/>
      <c r="H25" s="1724"/>
      <c r="I25" s="1723">
        <f>F25*$I$12</f>
        <v>298.25105309999998</v>
      </c>
      <c r="J25" s="1723">
        <f t="shared" ref="J25:J40" si="1">I25*$J$12</f>
        <v>310.03196969744999</v>
      </c>
      <c r="K25" s="1723">
        <f>'П 1.15.'!D11</f>
        <v>292.26894829742503</v>
      </c>
    </row>
    <row r="26" spans="1:14">
      <c r="A26" s="1715" t="s">
        <v>699</v>
      </c>
      <c r="B26" s="1716" t="s">
        <v>1333</v>
      </c>
      <c r="C26" s="1717" t="s">
        <v>238</v>
      </c>
      <c r="D26" s="1718">
        <f>'НВВ на содержание'!D13</f>
        <v>1196.5</v>
      </c>
      <c r="E26" s="1718">
        <v>4280.7388780800002</v>
      </c>
      <c r="F26" s="1718">
        <f>D26*1.055-0.3</f>
        <v>1262.0074999999999</v>
      </c>
      <c r="G26" s="1719"/>
      <c r="H26" s="1719"/>
      <c r="I26" s="1718">
        <f>F26*$I$12</f>
        <v>1318.1037333749998</v>
      </c>
      <c r="J26" s="1718">
        <f t="shared" si="1"/>
        <v>1370.1688308433124</v>
      </c>
      <c r="K26" s="1718">
        <f>'П 1.15.'!D17</f>
        <v>12877.195773456002</v>
      </c>
    </row>
    <row r="27" spans="1:14">
      <c r="A27" s="1715" t="s">
        <v>241</v>
      </c>
      <c r="B27" s="1716" t="s">
        <v>1334</v>
      </c>
      <c r="C27" s="1717" t="s">
        <v>238</v>
      </c>
      <c r="D27" s="1718">
        <f>SUM(D28:D29,D36:D40)</f>
        <v>50</v>
      </c>
      <c r="E27" s="1718">
        <f>SUM(E28:E29,E36:E40)</f>
        <v>537.1</v>
      </c>
      <c r="F27" s="1718">
        <f t="shared" ref="F27:K27" si="2">SUM(F28:F29,F36:F40)</f>
        <v>52.300000000000004</v>
      </c>
      <c r="G27" s="1719">
        <f>SUM(G28:G29,G36:G40)</f>
        <v>0</v>
      </c>
      <c r="H27" s="1719">
        <f t="shared" si="2"/>
        <v>0</v>
      </c>
      <c r="I27" s="1718">
        <f t="shared" si="2"/>
        <v>53.400000000000006</v>
      </c>
      <c r="J27" s="1718">
        <f t="shared" si="2"/>
        <v>55.50930000000001</v>
      </c>
      <c r="K27" s="1718">
        <f t="shared" si="2"/>
        <v>55.72076400000001</v>
      </c>
    </row>
    <row r="28" spans="1:14">
      <c r="A28" s="1720" t="s">
        <v>1902</v>
      </c>
      <c r="B28" s="1721" t="s">
        <v>1336</v>
      </c>
      <c r="C28" s="1722" t="s">
        <v>238</v>
      </c>
      <c r="D28" s="1723"/>
      <c r="E28" s="1723"/>
      <c r="F28" s="1732">
        <f t="shared" ref="F28:F40" si="3">D28*$F$12</f>
        <v>0</v>
      </c>
      <c r="G28" s="1724"/>
      <c r="H28" s="1724"/>
      <c r="I28" s="1732">
        <f t="shared" ref="I28:I39" si="4">F28*$I$12</f>
        <v>0</v>
      </c>
      <c r="J28" s="1732">
        <f t="shared" si="1"/>
        <v>0</v>
      </c>
      <c r="K28" s="1780">
        <f t="shared" ref="K28:K39" si="5">I28*$K$12</f>
        <v>0</v>
      </c>
    </row>
    <row r="29" spans="1:14">
      <c r="A29" s="1720" t="s">
        <v>1903</v>
      </c>
      <c r="B29" s="1721" t="s">
        <v>1339</v>
      </c>
      <c r="C29" s="1722" t="s">
        <v>238</v>
      </c>
      <c r="D29" s="573">
        <f>SUM(D30:D35)</f>
        <v>0</v>
      </c>
      <c r="E29" s="573"/>
      <c r="F29" s="1732">
        <f t="shared" si="3"/>
        <v>0</v>
      </c>
      <c r="G29" s="1724">
        <f>SUM(G30:G35)</f>
        <v>0</v>
      </c>
      <c r="H29" s="1724">
        <f>SUM(H30:H35)</f>
        <v>0</v>
      </c>
      <c r="I29" s="1732">
        <f t="shared" si="4"/>
        <v>0</v>
      </c>
      <c r="J29" s="1732">
        <f t="shared" si="1"/>
        <v>0</v>
      </c>
      <c r="K29" s="1780">
        <f t="shared" si="5"/>
        <v>0</v>
      </c>
    </row>
    <row r="30" spans="1:14" ht="19.5" customHeight="1">
      <c r="A30" s="1727" t="s">
        <v>1904</v>
      </c>
      <c r="B30" s="1728" t="s">
        <v>1341</v>
      </c>
      <c r="C30" s="1722" t="s">
        <v>238</v>
      </c>
      <c r="D30" s="1723"/>
      <c r="E30" s="1723"/>
      <c r="F30" s="1732">
        <f t="shared" si="3"/>
        <v>0</v>
      </c>
      <c r="G30" s="1724"/>
      <c r="H30" s="1724"/>
      <c r="I30" s="1732">
        <f t="shared" si="4"/>
        <v>0</v>
      </c>
      <c r="J30" s="1732">
        <f t="shared" si="1"/>
        <v>0</v>
      </c>
      <c r="K30" s="1780">
        <f t="shared" si="5"/>
        <v>0</v>
      </c>
    </row>
    <row r="31" spans="1:14" ht="30" customHeight="1">
      <c r="A31" s="1727" t="s">
        <v>1905</v>
      </c>
      <c r="B31" s="1728" t="s">
        <v>1343</v>
      </c>
      <c r="C31" s="1722" t="s">
        <v>238</v>
      </c>
      <c r="D31" s="1729"/>
      <c r="E31" s="1729"/>
      <c r="F31" s="1732">
        <f t="shared" si="3"/>
        <v>0</v>
      </c>
      <c r="G31" s="1730"/>
      <c r="H31" s="1730"/>
      <c r="I31" s="1732">
        <f t="shared" si="4"/>
        <v>0</v>
      </c>
      <c r="J31" s="1732">
        <f t="shared" si="1"/>
        <v>0</v>
      </c>
      <c r="K31" s="1780">
        <f t="shared" si="5"/>
        <v>0</v>
      </c>
    </row>
    <row r="32" spans="1:14" ht="18.75" customHeight="1">
      <c r="A32" s="1727" t="s">
        <v>1906</v>
      </c>
      <c r="B32" s="1728" t="s">
        <v>1345</v>
      </c>
      <c r="C32" s="1722" t="s">
        <v>238</v>
      </c>
      <c r="D32" s="1723"/>
      <c r="E32" s="1723"/>
      <c r="F32" s="1732">
        <f t="shared" si="3"/>
        <v>0</v>
      </c>
      <c r="G32" s="1724"/>
      <c r="H32" s="1724"/>
      <c r="I32" s="1732">
        <f t="shared" si="4"/>
        <v>0</v>
      </c>
      <c r="J32" s="1732">
        <f t="shared" si="1"/>
        <v>0</v>
      </c>
      <c r="K32" s="1780">
        <f t="shared" si="5"/>
        <v>0</v>
      </c>
    </row>
    <row r="33" spans="1:11" ht="18" customHeight="1">
      <c r="A33" s="1727" t="s">
        <v>1907</v>
      </c>
      <c r="B33" s="1728" t="s">
        <v>1347</v>
      </c>
      <c r="C33" s="1722" t="s">
        <v>238</v>
      </c>
      <c r="D33" s="1729"/>
      <c r="E33" s="1729"/>
      <c r="F33" s="1732">
        <f t="shared" si="3"/>
        <v>0</v>
      </c>
      <c r="G33" s="1730"/>
      <c r="H33" s="1730"/>
      <c r="I33" s="1732">
        <f t="shared" si="4"/>
        <v>0</v>
      </c>
      <c r="J33" s="1732">
        <f t="shared" si="1"/>
        <v>0</v>
      </c>
      <c r="K33" s="1780">
        <f t="shared" si="5"/>
        <v>0</v>
      </c>
    </row>
    <row r="34" spans="1:11" ht="15" customHeight="1">
      <c r="A34" s="1727" t="s">
        <v>1908</v>
      </c>
      <c r="B34" s="1728" t="s">
        <v>1349</v>
      </c>
      <c r="C34" s="1722" t="s">
        <v>238</v>
      </c>
      <c r="D34" s="1723"/>
      <c r="E34" s="1723"/>
      <c r="F34" s="1732">
        <f t="shared" si="3"/>
        <v>0</v>
      </c>
      <c r="G34" s="1724"/>
      <c r="H34" s="1724"/>
      <c r="I34" s="1732">
        <f t="shared" si="4"/>
        <v>0</v>
      </c>
      <c r="J34" s="1732">
        <f t="shared" si="1"/>
        <v>0</v>
      </c>
      <c r="K34" s="1780">
        <f t="shared" si="5"/>
        <v>0</v>
      </c>
    </row>
    <row r="35" spans="1:11" ht="18.75" customHeight="1">
      <c r="A35" s="1727" t="s">
        <v>1909</v>
      </c>
      <c r="B35" s="1731" t="s">
        <v>1351</v>
      </c>
      <c r="C35" s="1722" t="s">
        <v>238</v>
      </c>
      <c r="D35" s="1729"/>
      <c r="E35" s="1729"/>
      <c r="F35" s="1732">
        <f t="shared" si="3"/>
        <v>0</v>
      </c>
      <c r="G35" s="1730"/>
      <c r="H35" s="1730"/>
      <c r="I35" s="1732">
        <f t="shared" si="4"/>
        <v>0</v>
      </c>
      <c r="J35" s="1732">
        <f t="shared" si="1"/>
        <v>0</v>
      </c>
      <c r="K35" s="1780">
        <f t="shared" si="5"/>
        <v>0</v>
      </c>
    </row>
    <row r="36" spans="1:11" ht="17.25" customHeight="1">
      <c r="A36" s="1720" t="s">
        <v>1910</v>
      </c>
      <c r="B36" s="1721" t="s">
        <v>1354</v>
      </c>
      <c r="C36" s="1722" t="s">
        <v>238</v>
      </c>
      <c r="D36" s="1729"/>
      <c r="E36" s="1729"/>
      <c r="F36" s="1732">
        <f t="shared" si="3"/>
        <v>0</v>
      </c>
      <c r="G36" s="1730"/>
      <c r="H36" s="1730"/>
      <c r="I36" s="1732">
        <f t="shared" si="4"/>
        <v>0</v>
      </c>
      <c r="J36" s="1732">
        <f t="shared" si="1"/>
        <v>0</v>
      </c>
      <c r="K36" s="1780">
        <f t="shared" si="5"/>
        <v>0</v>
      </c>
    </row>
    <row r="37" spans="1:11" ht="19.5" customHeight="1">
      <c r="A37" s="1720" t="s">
        <v>1911</v>
      </c>
      <c r="B37" s="1721" t="s">
        <v>1356</v>
      </c>
      <c r="C37" s="1722" t="s">
        <v>238</v>
      </c>
      <c r="D37" s="1729"/>
      <c r="E37" s="1729"/>
      <c r="F37" s="1732">
        <f t="shared" si="3"/>
        <v>0</v>
      </c>
      <c r="G37" s="1730"/>
      <c r="H37" s="1730"/>
      <c r="I37" s="1732">
        <f t="shared" si="4"/>
        <v>0</v>
      </c>
      <c r="J37" s="1732">
        <f t="shared" si="1"/>
        <v>0</v>
      </c>
      <c r="K37" s="1780">
        <f t="shared" si="5"/>
        <v>0</v>
      </c>
    </row>
    <row r="38" spans="1:11" ht="30.75" customHeight="1">
      <c r="A38" s="1720" t="s">
        <v>1912</v>
      </c>
      <c r="B38" s="1721" t="s">
        <v>1358</v>
      </c>
      <c r="C38" s="1722" t="s">
        <v>238</v>
      </c>
      <c r="D38" s="1732"/>
      <c r="E38" s="1732">
        <v>82.3</v>
      </c>
      <c r="F38" s="1732">
        <f t="shared" si="3"/>
        <v>0</v>
      </c>
      <c r="G38" s="1733"/>
      <c r="H38" s="1733"/>
      <c r="I38" s="1732">
        <f t="shared" si="4"/>
        <v>0</v>
      </c>
      <c r="J38" s="1732">
        <f t="shared" si="1"/>
        <v>0</v>
      </c>
      <c r="K38" s="1732">
        <v>0</v>
      </c>
    </row>
    <row r="39" spans="1:11">
      <c r="A39" s="1720" t="s">
        <v>1913</v>
      </c>
      <c r="B39" s="1721" t="s">
        <v>1361</v>
      </c>
      <c r="C39" s="1722" t="s">
        <v>238</v>
      </c>
      <c r="D39" s="1723"/>
      <c r="E39" s="1732">
        <v>0</v>
      </c>
      <c r="F39" s="1732">
        <f t="shared" si="3"/>
        <v>0</v>
      </c>
      <c r="G39" s="1724"/>
      <c r="H39" s="1724"/>
      <c r="I39" s="1732">
        <f t="shared" si="4"/>
        <v>0</v>
      </c>
      <c r="J39" s="1732">
        <f t="shared" si="1"/>
        <v>0</v>
      </c>
      <c r="K39" s="1780">
        <f t="shared" si="5"/>
        <v>0</v>
      </c>
    </row>
    <row r="40" spans="1:11">
      <c r="A40" s="1720" t="s">
        <v>1914</v>
      </c>
      <c r="B40" s="1721" t="s">
        <v>1915</v>
      </c>
      <c r="C40" s="1722" t="s">
        <v>238</v>
      </c>
      <c r="D40" s="1729">
        <f>'НВВ на содержание'!D27</f>
        <v>50</v>
      </c>
      <c r="E40" s="1729">
        <v>454.8</v>
      </c>
      <c r="F40" s="1723">
        <f t="shared" si="3"/>
        <v>52.300000000000004</v>
      </c>
      <c r="G40" s="1730"/>
      <c r="H40" s="1730"/>
      <c r="I40" s="1781">
        <f>F40+1.1</f>
        <v>53.400000000000006</v>
      </c>
      <c r="J40" s="1723">
        <f t="shared" si="1"/>
        <v>55.50930000000001</v>
      </c>
      <c r="K40" s="1725">
        <f>I40*K12</f>
        <v>55.72076400000001</v>
      </c>
    </row>
    <row r="41" spans="1:11">
      <c r="A41" s="1715" t="s">
        <v>544</v>
      </c>
      <c r="B41" s="1734" t="s">
        <v>1363</v>
      </c>
      <c r="C41" s="1717" t="s">
        <v>238</v>
      </c>
      <c r="D41" s="1735">
        <f>SUM(D42:D44)</f>
        <v>56.24</v>
      </c>
      <c r="E41" s="1735">
        <f>SUM(E42:E44)</f>
        <v>113.42</v>
      </c>
      <c r="F41" s="1736">
        <f t="shared" ref="F41:K41" si="6">SUM(F42:F44)</f>
        <v>58.827040000000004</v>
      </c>
      <c r="G41" s="1737">
        <f>SUM(G42:G44)</f>
        <v>0</v>
      </c>
      <c r="H41" s="1737">
        <f t="shared" si="6"/>
        <v>0</v>
      </c>
      <c r="I41" s="1736">
        <f t="shared" si="6"/>
        <v>61.441901928</v>
      </c>
      <c r="J41" s="1736">
        <f t="shared" si="6"/>
        <v>63.868857054156003</v>
      </c>
      <c r="K41" s="1736">
        <f t="shared" si="6"/>
        <v>64.112166985790878</v>
      </c>
    </row>
    <row r="42" spans="1:11">
      <c r="A42" s="1720" t="s">
        <v>467</v>
      </c>
      <c r="B42" s="1721" t="s">
        <v>1365</v>
      </c>
      <c r="C42" s="1722" t="s">
        <v>238</v>
      </c>
      <c r="D42" s="1732">
        <v>0</v>
      </c>
      <c r="E42" s="1732"/>
      <c r="F42" s="1732">
        <f>D42*$F$12</f>
        <v>0</v>
      </c>
      <c r="G42" s="1733">
        <v>0</v>
      </c>
      <c r="H42" s="1733"/>
      <c r="I42" s="1732"/>
      <c r="J42" s="1732"/>
      <c r="K42" s="1732"/>
    </row>
    <row r="43" spans="1:11">
      <c r="A43" s="1720" t="s">
        <v>470</v>
      </c>
      <c r="B43" s="1721" t="s">
        <v>1367</v>
      </c>
      <c r="C43" s="1722" t="s">
        <v>238</v>
      </c>
      <c r="D43" s="1732">
        <f>'НВВ на содержание'!D30</f>
        <v>56.24</v>
      </c>
      <c r="E43" s="1732">
        <v>113.42</v>
      </c>
      <c r="F43" s="1723">
        <f>D43*$F$12</f>
        <v>58.827040000000004</v>
      </c>
      <c r="G43" s="1738"/>
      <c r="H43" s="1738"/>
      <c r="I43" s="1723">
        <f>F43*$I$12</f>
        <v>61.441901928</v>
      </c>
      <c r="J43" s="1723">
        <f>I43*$J$12</f>
        <v>63.868857054156003</v>
      </c>
      <c r="K43" s="1725">
        <f>I43*K12</f>
        <v>64.112166985790878</v>
      </c>
    </row>
    <row r="44" spans="1:11" ht="21.75" customHeight="1">
      <c r="A44" s="1720" t="s">
        <v>1916</v>
      </c>
      <c r="B44" s="1721" t="s">
        <v>1369</v>
      </c>
      <c r="C44" s="1722" t="s">
        <v>238</v>
      </c>
      <c r="D44" s="1732"/>
      <c r="E44" s="1732"/>
      <c r="F44" s="1732">
        <f>D44*$F$12</f>
        <v>0</v>
      </c>
      <c r="G44" s="1733">
        <v>0</v>
      </c>
      <c r="H44" s="1733">
        <v>0</v>
      </c>
      <c r="I44" s="1732">
        <f>F44*$I$12</f>
        <v>0</v>
      </c>
      <c r="J44" s="1732">
        <f>F44</f>
        <v>0</v>
      </c>
      <c r="K44" s="1780">
        <f>I44*$K$12</f>
        <v>0</v>
      </c>
    </row>
    <row r="45" spans="1:11" ht="28.5" customHeight="1">
      <c r="A45" s="1715"/>
      <c r="B45" s="1739" t="s">
        <v>1917</v>
      </c>
      <c r="C45" s="1717" t="s">
        <v>238</v>
      </c>
      <c r="D45" s="1740">
        <f t="shared" ref="D45:K45" si="7">D23+D26+D27+D41</f>
        <v>1575.74</v>
      </c>
      <c r="E45" s="1740">
        <f>E23+E26+E27+E41</f>
        <v>6029.430765694462</v>
      </c>
      <c r="F45" s="1718">
        <f t="shared" si="7"/>
        <v>1658.6925399999998</v>
      </c>
      <c r="G45" s="1719">
        <f>G23+G26+G27+G41</f>
        <v>0</v>
      </c>
      <c r="H45" s="1719">
        <f t="shared" si="7"/>
        <v>0</v>
      </c>
      <c r="I45" s="1718">
        <f t="shared" si="7"/>
        <v>1731.1966884030001</v>
      </c>
      <c r="J45" s="1718">
        <f t="shared" si="7"/>
        <v>1799.5789575949184</v>
      </c>
      <c r="K45" s="1718">
        <f t="shared" si="7"/>
        <v>13350.658091200126</v>
      </c>
    </row>
    <row r="46" spans="1:11" ht="15.6">
      <c r="A46" s="4424" t="s">
        <v>1918</v>
      </c>
      <c r="B46" s="4425"/>
      <c r="C46" s="4425"/>
      <c r="D46" s="1741"/>
      <c r="E46" s="1741"/>
      <c r="F46" s="1741"/>
      <c r="G46" s="1741"/>
      <c r="H46" s="1741"/>
      <c r="I46" s="1741"/>
      <c r="J46" s="1741"/>
      <c r="K46" s="1742"/>
    </row>
    <row r="47" spans="1:11">
      <c r="A47" s="1711"/>
      <c r="B47" s="1711"/>
      <c r="C47" s="1711"/>
      <c r="D47" s="1711"/>
      <c r="E47" s="1711"/>
      <c r="F47" s="1711"/>
      <c r="G47" s="1711"/>
      <c r="H47" s="1711"/>
      <c r="I47" s="1711"/>
      <c r="J47" s="1711"/>
      <c r="K47" s="1711"/>
    </row>
    <row r="48" spans="1:11" ht="20.25" customHeight="1">
      <c r="A48" s="1715" t="s">
        <v>138</v>
      </c>
      <c r="B48" s="1743" t="s">
        <v>1371</v>
      </c>
      <c r="C48" s="1717" t="s">
        <v>238</v>
      </c>
      <c r="D48" s="1732">
        <v>0</v>
      </c>
      <c r="E48" s="1732">
        <v>0</v>
      </c>
      <c r="F48" s="1732">
        <v>0</v>
      </c>
      <c r="G48" s="1733">
        <v>0</v>
      </c>
      <c r="H48" s="1733">
        <v>0</v>
      </c>
      <c r="I48" s="1732">
        <v>0</v>
      </c>
      <c r="J48" s="1732">
        <v>0</v>
      </c>
      <c r="K48" s="1732">
        <v>0</v>
      </c>
    </row>
    <row r="49" spans="1:14" ht="20.25" customHeight="1">
      <c r="A49" s="1715" t="s">
        <v>141</v>
      </c>
      <c r="B49" s="1743" t="s">
        <v>1372</v>
      </c>
      <c r="C49" s="1717" t="s">
        <v>238</v>
      </c>
      <c r="D49" s="1732">
        <v>0</v>
      </c>
      <c r="E49" s="1732">
        <v>0</v>
      </c>
      <c r="F49" s="1732">
        <v>0</v>
      </c>
      <c r="G49" s="1733">
        <v>0</v>
      </c>
      <c r="H49" s="1733">
        <v>0</v>
      </c>
      <c r="I49" s="1732">
        <v>0</v>
      </c>
      <c r="J49" s="1732">
        <v>0</v>
      </c>
      <c r="K49" s="1732">
        <v>0</v>
      </c>
    </row>
    <row r="50" spans="1:14" ht="26.25" customHeight="1">
      <c r="A50" s="1715" t="s">
        <v>143</v>
      </c>
      <c r="B50" s="1743" t="s">
        <v>653</v>
      </c>
      <c r="C50" s="1717" t="s">
        <v>238</v>
      </c>
      <c r="D50" s="1732">
        <v>0</v>
      </c>
      <c r="E50" s="1732">
        <v>0</v>
      </c>
      <c r="F50" s="1732">
        <v>0</v>
      </c>
      <c r="G50" s="1733">
        <v>0</v>
      </c>
      <c r="H50" s="1733">
        <v>0</v>
      </c>
      <c r="I50" s="1732">
        <v>0</v>
      </c>
      <c r="J50" s="1732">
        <v>0</v>
      </c>
      <c r="K50" s="1732">
        <v>0</v>
      </c>
    </row>
    <row r="51" spans="1:14" ht="24.75" customHeight="1">
      <c r="A51" s="1715" t="s">
        <v>145</v>
      </c>
      <c r="B51" s="1743" t="s">
        <v>1374</v>
      </c>
      <c r="C51" s="1717" t="s">
        <v>238</v>
      </c>
      <c r="D51" s="1735">
        <v>0</v>
      </c>
      <c r="E51" s="1735">
        <v>0</v>
      </c>
      <c r="F51" s="1735">
        <f>D51*$F$12</f>
        <v>0</v>
      </c>
      <c r="G51" s="1744"/>
      <c r="H51" s="1744">
        <f>0</f>
        <v>0</v>
      </c>
      <c r="I51" s="1735">
        <f>F51*$I$12</f>
        <v>0</v>
      </c>
      <c r="J51" s="1735">
        <v>0</v>
      </c>
      <c r="K51" s="1735">
        <v>0</v>
      </c>
    </row>
    <row r="52" spans="1:14" ht="23.25" customHeight="1">
      <c r="A52" s="1715" t="s">
        <v>147</v>
      </c>
      <c r="B52" s="1748" t="s">
        <v>1376</v>
      </c>
      <c r="C52" s="1717" t="s">
        <v>238</v>
      </c>
      <c r="D52" s="1735">
        <f>SUM(D53:D55)</f>
        <v>17.889823885654664</v>
      </c>
      <c r="E52" s="1735">
        <f>SUM(E53:E55)</f>
        <v>25.276828119358203</v>
      </c>
      <c r="F52" s="1735">
        <f t="shared" ref="F52:K52" si="8">SUM(F53:F55)</f>
        <v>17.889823885654664</v>
      </c>
      <c r="G52" s="1744">
        <f>SUM(G53:G55)</f>
        <v>0</v>
      </c>
      <c r="H52" s="1744">
        <f t="shared" si="8"/>
        <v>0</v>
      </c>
      <c r="I52" s="1735">
        <f t="shared" si="8"/>
        <v>17.889823885654664</v>
      </c>
      <c r="J52" s="1735">
        <f t="shared" si="8"/>
        <v>17.889823885654664</v>
      </c>
      <c r="K52" s="1735">
        <f t="shared" si="8"/>
        <v>17.889823885654664</v>
      </c>
    </row>
    <row r="53" spans="1:14" ht="15.75" customHeight="1">
      <c r="A53" s="1720" t="s">
        <v>1919</v>
      </c>
      <c r="B53" s="1721" t="s">
        <v>1378</v>
      </c>
      <c r="C53" s="1722" t="s">
        <v>238</v>
      </c>
      <c r="D53" s="1732"/>
      <c r="E53" s="1732"/>
      <c r="F53" s="1732">
        <f>D53*$F$12</f>
        <v>0</v>
      </c>
      <c r="G53" s="1733"/>
      <c r="H53" s="1733"/>
      <c r="I53" s="1732"/>
      <c r="J53" s="1732"/>
      <c r="K53" s="1732"/>
    </row>
    <row r="54" spans="1:14" ht="19.5" customHeight="1">
      <c r="A54" s="1720" t="s">
        <v>1920</v>
      </c>
      <c r="B54" s="1721" t="s">
        <v>1380</v>
      </c>
      <c r="C54" s="1722" t="s">
        <v>238</v>
      </c>
      <c r="D54" s="1732">
        <f>'НВВ на содержание'!D40</f>
        <v>17.889823885654664</v>
      </c>
      <c r="E54" s="1732">
        <v>25.276828119358203</v>
      </c>
      <c r="F54" s="1732">
        <f>'НВВ на содержание'!E40</f>
        <v>17.889823885654664</v>
      </c>
      <c r="G54" s="1732"/>
      <c r="H54" s="1732">
        <v>0</v>
      </c>
      <c r="I54" s="1732">
        <f>F54</f>
        <v>17.889823885654664</v>
      </c>
      <c r="J54" s="1745">
        <f>I54</f>
        <v>17.889823885654664</v>
      </c>
      <c r="K54" s="1746">
        <f>F54</f>
        <v>17.889823885654664</v>
      </c>
    </row>
    <row r="55" spans="1:14" ht="22.5" customHeight="1">
      <c r="A55" s="1720" t="s">
        <v>1921</v>
      </c>
      <c r="B55" s="1721" t="s">
        <v>1382</v>
      </c>
      <c r="C55" s="1722" t="s">
        <v>238</v>
      </c>
      <c r="D55" s="1749"/>
      <c r="E55" s="1749"/>
      <c r="F55" s="1732">
        <f>D55*$F$12</f>
        <v>0</v>
      </c>
      <c r="G55" s="1738"/>
      <c r="H55" s="1738"/>
      <c r="I55" s="1732">
        <f>F55</f>
        <v>0</v>
      </c>
      <c r="J55" s="1732">
        <f>F55</f>
        <v>0</v>
      </c>
      <c r="K55" s="1750">
        <f>J55</f>
        <v>0</v>
      </c>
      <c r="N55" s="1785">
        <v>1.6500000000000001E-2</v>
      </c>
    </row>
    <row r="56" spans="1:14" ht="35.25" customHeight="1">
      <c r="A56" s="1715" t="s">
        <v>148</v>
      </c>
      <c r="B56" s="1743" t="s">
        <v>2003</v>
      </c>
      <c r="C56" s="1717" t="s">
        <v>238</v>
      </c>
      <c r="D56" s="1749">
        <f>'НВВ на содержание'!D42</f>
        <v>311.10000000000002</v>
      </c>
      <c r="E56" s="1749">
        <f>ROUND((E26*0.357),1)</f>
        <v>1528.2</v>
      </c>
      <c r="F56" s="1751">
        <f>ROUND((F26*0.357),1)</f>
        <v>450.5</v>
      </c>
      <c r="G56" s="1751">
        <f>ROUND((G26*0.357),1)</f>
        <v>0</v>
      </c>
      <c r="H56" s="1751">
        <f>ROUND((H26*0.357),1)</f>
        <v>0</v>
      </c>
      <c r="I56" s="1777">
        <f>F56</f>
        <v>450.5</v>
      </c>
      <c r="J56" s="1777">
        <f>I56</f>
        <v>450.5</v>
      </c>
      <c r="K56" s="1784">
        <f>ROUND(($K$26*0.3165),1)</f>
        <v>4075.6</v>
      </c>
      <c r="N56" s="1784">
        <f>ROUND(($K$26*0.3165),1)</f>
        <v>4075.6</v>
      </c>
    </row>
    <row r="57" spans="1:14" ht="18.75" customHeight="1">
      <c r="A57" s="1715" t="s">
        <v>150</v>
      </c>
      <c r="B57" s="1743" t="s">
        <v>1391</v>
      </c>
      <c r="C57" s="1717" t="s">
        <v>238</v>
      </c>
      <c r="D57" s="1749"/>
      <c r="E57" s="1749"/>
      <c r="F57" s="1749"/>
      <c r="G57" s="1738"/>
      <c r="H57" s="1738"/>
      <c r="I57" s="1749"/>
      <c r="J57" s="1749"/>
      <c r="K57" s="1749"/>
    </row>
    <row r="58" spans="1:14" ht="18.75" customHeight="1">
      <c r="A58" s="1715" t="s">
        <v>151</v>
      </c>
      <c r="B58" s="1743" t="s">
        <v>1394</v>
      </c>
      <c r="C58" s="1717" t="s">
        <v>238</v>
      </c>
      <c r="D58" s="1732">
        <f t="shared" ref="D58:J58" si="9">(D41+D61)/0.8*0.2</f>
        <v>14.06</v>
      </c>
      <c r="E58" s="1732">
        <v>28.355000000000004</v>
      </c>
      <c r="F58" s="1732">
        <f t="shared" si="9"/>
        <v>14.706760000000001</v>
      </c>
      <c r="G58" s="1732">
        <f t="shared" si="9"/>
        <v>0</v>
      </c>
      <c r="H58" s="1732">
        <f t="shared" si="9"/>
        <v>0</v>
      </c>
      <c r="I58" s="1732">
        <f t="shared" si="9"/>
        <v>15.360475481999998</v>
      </c>
      <c r="J58" s="1732">
        <f t="shared" si="9"/>
        <v>15.967214263539001</v>
      </c>
      <c r="K58" s="1746">
        <f>ROUND(((K41+K61)/0.8*0.2),1)</f>
        <v>19.600000000000001</v>
      </c>
    </row>
    <row r="59" spans="1:14" ht="35.25" customHeight="1">
      <c r="A59" s="1715" t="s">
        <v>153</v>
      </c>
      <c r="B59" s="1743" t="s">
        <v>2070</v>
      </c>
      <c r="C59" s="1717" t="s">
        <v>238</v>
      </c>
      <c r="D59" s="1749"/>
      <c r="E59" s="1749"/>
      <c r="F59" s="1749"/>
      <c r="G59" s="1738"/>
      <c r="H59" s="1738"/>
      <c r="I59" s="1749"/>
      <c r="J59" s="1749"/>
      <c r="K59" s="1749"/>
    </row>
    <row r="60" spans="1:14" ht="26.25" customHeight="1">
      <c r="A60" s="1715" t="s">
        <v>155</v>
      </c>
      <c r="B60" s="1743" t="s">
        <v>1387</v>
      </c>
      <c r="C60" s="1717" t="s">
        <v>238</v>
      </c>
      <c r="D60" s="1749">
        <f>'НВВ на содержание'!D43</f>
        <v>80.599999999999994</v>
      </c>
      <c r="E60" s="1749">
        <v>86.817156827151962</v>
      </c>
      <c r="F60" s="1749">
        <f>D60</f>
        <v>80.599999999999994</v>
      </c>
      <c r="G60" s="1752"/>
      <c r="H60" s="1752"/>
      <c r="I60" s="1749">
        <f>$F$60</f>
        <v>80.599999999999994</v>
      </c>
      <c r="J60" s="1749">
        <f>$F$60</f>
        <v>80.599999999999994</v>
      </c>
      <c r="K60" s="1746">
        <f>J60</f>
        <v>80.599999999999994</v>
      </c>
    </row>
    <row r="61" spans="1:14" ht="25.5" customHeight="1">
      <c r="A61" s="1715" t="s">
        <v>1388</v>
      </c>
      <c r="B61" s="1743" t="s">
        <v>1922</v>
      </c>
      <c r="C61" s="1717" t="s">
        <v>238</v>
      </c>
      <c r="D61" s="1749"/>
      <c r="E61" s="1749"/>
      <c r="F61" s="1749"/>
      <c r="G61" s="1738"/>
      <c r="H61" s="1738"/>
      <c r="I61" s="1749"/>
      <c r="J61" s="1749"/>
      <c r="K61" s="1749">
        <v>14.4</v>
      </c>
    </row>
    <row r="62" spans="1:14" ht="30" customHeight="1">
      <c r="A62" s="1715"/>
      <c r="B62" s="1739" t="s">
        <v>1923</v>
      </c>
      <c r="C62" s="1739" t="s">
        <v>238</v>
      </c>
      <c r="D62" s="1736">
        <f t="shared" ref="D62:K62" si="10">SUM(D48:D52,D56:D61)</f>
        <v>423.64982388565465</v>
      </c>
      <c r="E62" s="1736">
        <f>SUM(E48:E52,E56:E61)</f>
        <v>1668.6489849465102</v>
      </c>
      <c r="F62" s="1737">
        <f t="shared" si="10"/>
        <v>563.6965838856546</v>
      </c>
      <c r="G62" s="1737">
        <f>SUM(G48:G52,G56:G61)</f>
        <v>0</v>
      </c>
      <c r="H62" s="1737">
        <f t="shared" si="10"/>
        <v>0</v>
      </c>
      <c r="I62" s="1737">
        <f t="shared" si="10"/>
        <v>564.35029936765466</v>
      </c>
      <c r="J62" s="1736">
        <f t="shared" si="10"/>
        <v>564.95703814919364</v>
      </c>
      <c r="K62" s="1736">
        <f t="shared" si="10"/>
        <v>4208.0898238856544</v>
      </c>
      <c r="M62" s="1747"/>
    </row>
    <row r="64" spans="1:14">
      <c r="A64" s="1753" t="s">
        <v>2069</v>
      </c>
      <c r="B64" s="1754"/>
      <c r="C64" s="1754"/>
      <c r="D64" s="1754"/>
      <c r="E64" s="1754"/>
      <c r="F64" s="1755"/>
      <c r="G64" s="1755"/>
      <c r="H64" s="1755"/>
      <c r="I64" s="1755"/>
      <c r="J64" s="1756"/>
      <c r="K64" s="1755"/>
    </row>
    <row r="65" spans="1:17" ht="56.25" customHeight="1">
      <c r="A65" s="1715">
        <v>3</v>
      </c>
      <c r="B65" s="1743" t="s">
        <v>2069</v>
      </c>
      <c r="C65" s="1717" t="s">
        <v>238</v>
      </c>
      <c r="D65" s="1749"/>
      <c r="E65" s="1749"/>
      <c r="F65" s="1749">
        <v>515</v>
      </c>
      <c r="G65" s="1749"/>
      <c r="H65" s="1749"/>
      <c r="I65" s="1749"/>
      <c r="J65" s="1749"/>
      <c r="K65" s="1749">
        <v>3493</v>
      </c>
    </row>
    <row r="66" spans="1:17">
      <c r="A66" s="1711"/>
      <c r="B66" s="1711"/>
      <c r="C66" s="1711"/>
      <c r="D66" s="1711"/>
      <c r="E66" s="1711"/>
      <c r="F66" s="1711"/>
      <c r="G66" s="1711"/>
      <c r="H66" s="1711"/>
      <c r="I66" s="1711"/>
      <c r="J66" s="1711"/>
      <c r="K66" s="1711"/>
    </row>
    <row r="67" spans="1:17">
      <c r="A67" s="1753" t="s">
        <v>1924</v>
      </c>
      <c r="B67" s="1754"/>
      <c r="C67" s="1754"/>
      <c r="D67" s="1754"/>
      <c r="E67" s="1754"/>
      <c r="F67" s="1755"/>
      <c r="G67" s="1755"/>
      <c r="H67" s="1755"/>
      <c r="I67" s="1755"/>
      <c r="J67" s="1756"/>
      <c r="K67" s="1755"/>
    </row>
    <row r="68" spans="1:17" ht="58.5" customHeight="1">
      <c r="A68" s="1715">
        <v>4</v>
      </c>
      <c r="B68" s="1757" t="s">
        <v>1925</v>
      </c>
      <c r="C68" s="1717" t="s">
        <v>238</v>
      </c>
      <c r="D68" s="1749"/>
      <c r="E68" s="573"/>
      <c r="F68" s="573">
        <v>0</v>
      </c>
      <c r="G68" s="1749"/>
      <c r="H68" s="1749"/>
      <c r="I68" s="573"/>
      <c r="J68" s="1749"/>
      <c r="K68" s="1758">
        <f>F71*F16*F13%</f>
        <v>17.793029305256756</v>
      </c>
    </row>
    <row r="69" spans="1:17">
      <c r="A69" s="1711"/>
      <c r="B69" s="1711"/>
      <c r="C69" s="1711"/>
      <c r="D69" s="1711"/>
      <c r="E69" s="1711"/>
      <c r="F69" s="1711"/>
      <c r="G69" s="1711"/>
      <c r="H69" s="1711"/>
      <c r="I69" s="1711"/>
      <c r="J69" s="1711"/>
      <c r="K69" s="1711"/>
    </row>
    <row r="70" spans="1:17">
      <c r="A70" s="1753" t="s">
        <v>1926</v>
      </c>
      <c r="B70" s="1754"/>
      <c r="C70" s="1754"/>
      <c r="D70" s="1754"/>
      <c r="E70" s="1754"/>
      <c r="F70" s="1754"/>
      <c r="G70" s="1754"/>
      <c r="H70" s="1754"/>
      <c r="I70" s="1754"/>
      <c r="J70" s="1759"/>
      <c r="K70" s="1754"/>
      <c r="M70" t="s">
        <v>2002</v>
      </c>
      <c r="N70" s="1719"/>
      <c r="O70" s="1719"/>
      <c r="P70" s="1719"/>
      <c r="Q70" s="1719"/>
    </row>
    <row r="71" spans="1:17" ht="41.4">
      <c r="A71" s="1715">
        <v>5</v>
      </c>
      <c r="B71" s="1739" t="s">
        <v>1927</v>
      </c>
      <c r="C71" s="1717" t="s">
        <v>238</v>
      </c>
      <c r="D71" s="1719">
        <f t="shared" ref="D71:J71" si="11">D45+D62+D65</f>
        <v>1999.3898238856546</v>
      </c>
      <c r="E71" s="1719">
        <f>E45+E62+E65</f>
        <v>7698.0797506409726</v>
      </c>
      <c r="F71" s="1719">
        <f t="shared" si="11"/>
        <v>2737.3891238856545</v>
      </c>
      <c r="G71" s="1719">
        <f t="shared" si="11"/>
        <v>0</v>
      </c>
      <c r="H71" s="1719">
        <f t="shared" si="11"/>
        <v>0</v>
      </c>
      <c r="I71" s="1726">
        <f t="shared" si="11"/>
        <v>2295.5469877706546</v>
      </c>
      <c r="J71" s="1726">
        <f t="shared" si="11"/>
        <v>2364.5359957441119</v>
      </c>
      <c r="K71" s="1719">
        <f>K45+K62+K65+K68</f>
        <v>21069.540944391036</v>
      </c>
      <c r="M71" s="1719">
        <v>11371.787699723676</v>
      </c>
      <c r="N71" s="1719"/>
      <c r="O71" s="1719"/>
      <c r="P71" s="1719"/>
      <c r="Q71" s="1719"/>
    </row>
    <row r="73" spans="1:17">
      <c r="A73" s="1760"/>
      <c r="B73" s="1761"/>
      <c r="C73" s="1762"/>
      <c r="D73" s="1762"/>
      <c r="E73" s="1762"/>
      <c r="F73" s="1762"/>
      <c r="I73" s="1762"/>
    </row>
    <row r="77" spans="1:17" s="1774" customFormat="1" ht="23.25" customHeight="1">
      <c r="A77" s="1770" t="s">
        <v>1266</v>
      </c>
      <c r="B77" s="1770"/>
      <c r="C77" s="1771"/>
      <c r="D77" s="1772"/>
      <c r="E77" s="1772"/>
      <c r="F77" s="1772"/>
      <c r="G77" s="1773"/>
      <c r="H77" s="1772"/>
      <c r="I77" s="1772"/>
      <c r="J77" s="1772"/>
      <c r="K77" s="1772"/>
    </row>
    <row r="78" spans="1:17" s="1774" customFormat="1" ht="15" customHeight="1">
      <c r="A78" s="1770" t="s">
        <v>1304</v>
      </c>
      <c r="B78" s="1772"/>
      <c r="C78" s="1771"/>
      <c r="D78" s="1772"/>
      <c r="E78" s="1775"/>
      <c r="F78" s="1775" t="s">
        <v>1268</v>
      </c>
      <c r="G78" s="1776"/>
      <c r="H78" s="1772"/>
      <c r="I78" s="1775"/>
      <c r="J78" s="1772"/>
      <c r="K78" s="1772"/>
    </row>
    <row r="82" spans="2:2">
      <c r="B82" s="1711"/>
    </row>
  </sheetData>
  <mergeCells count="3">
    <mergeCell ref="A3:C3"/>
    <mergeCell ref="A18:C18"/>
    <mergeCell ref="A46:C46"/>
  </mergeCells>
  <dataValidations count="1">
    <dataValidation type="decimal" allowBlank="1" showInputMessage="1" showErrorMessage="1" errorTitle="Внимание" error="Допускается ввод только действительных чисел!" sqref="K8 I11:K11 H8:H9 E11:F11 I7:J9 E7:G9 G11:G16 D7:D16">
      <formula1>-9.99999999999999E+23</formula1>
      <formula2>9.99999999999999E+23</formula2>
    </dataValidation>
  </dataValidations>
  <printOptions horizontalCentered="1"/>
  <pageMargins left="0.19685039370078741" right="0.19685039370078741" top="0.39370078740157483" bottom="0.11811023622047245" header="0.31496062992125984" footer="3.937007874015748E-2"/>
  <pageSetup paperSize="9" scale="64" orientation="landscape" horizontalDpi="300" verticalDpi="300" r:id="rId1"/>
  <headerFooter>
    <oddFooter>&amp;R&amp;P</oddFooter>
  </headerFooter>
  <rowBreaks count="1" manualBreakCount="1">
    <brk id="38" max="13" man="1"/>
  </rowBreaks>
  <colBreaks count="1" manualBreakCount="1">
    <brk id="11" max="1048575" man="1"/>
  </colBreaks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5">
    <tabColor rgb="FFCCFF66"/>
  </sheetPr>
  <dimension ref="A1:M56"/>
  <sheetViews>
    <sheetView workbookViewId="0">
      <pane xSplit="1" ySplit="12" topLeftCell="B34" activePane="bottomRight" state="frozenSplit"/>
      <selection activeCell="K8" sqref="K8"/>
      <selection pane="topRight" activeCell="K8" sqref="K8"/>
      <selection pane="bottomLeft" activeCell="K8" sqref="K8"/>
      <selection pane="bottomRight" activeCell="K8" sqref="K8"/>
    </sheetView>
  </sheetViews>
  <sheetFormatPr defaultRowHeight="13.2"/>
  <cols>
    <col min="1" max="1" width="10.88671875" style="10" customWidth="1"/>
    <col min="2" max="2" width="12" style="10" customWidth="1"/>
    <col min="3" max="3" width="11.5546875" style="10" customWidth="1"/>
    <col min="4" max="4" width="11.44140625" style="10" customWidth="1"/>
    <col min="5" max="5" width="10.5546875" style="10" customWidth="1"/>
    <col min="6" max="6" width="14.88671875" style="6" customWidth="1"/>
    <col min="7" max="7" width="16.109375" style="10" customWidth="1"/>
    <col min="8" max="11" width="9.109375" style="10"/>
    <col min="12" max="12" width="11.6640625" style="10" customWidth="1"/>
    <col min="13" max="256" width="9.109375" style="10"/>
    <col min="257" max="257" width="10.88671875" style="10" customWidth="1"/>
    <col min="258" max="258" width="12" style="10" customWidth="1"/>
    <col min="259" max="259" width="11.5546875" style="10" customWidth="1"/>
    <col min="260" max="260" width="11.44140625" style="10" customWidth="1"/>
    <col min="261" max="261" width="10.5546875" style="10" customWidth="1"/>
    <col min="262" max="262" width="14.88671875" style="10" customWidth="1"/>
    <col min="263" max="263" width="16.109375" style="10" customWidth="1"/>
    <col min="264" max="512" width="9.109375" style="10"/>
    <col min="513" max="513" width="10.88671875" style="10" customWidth="1"/>
    <col min="514" max="514" width="12" style="10" customWidth="1"/>
    <col min="515" max="515" width="11.5546875" style="10" customWidth="1"/>
    <col min="516" max="516" width="11.44140625" style="10" customWidth="1"/>
    <col min="517" max="517" width="10.5546875" style="10" customWidth="1"/>
    <col min="518" max="518" width="14.88671875" style="10" customWidth="1"/>
    <col min="519" max="519" width="16.109375" style="10" customWidth="1"/>
    <col min="520" max="768" width="9.109375" style="10"/>
    <col min="769" max="769" width="10.88671875" style="10" customWidth="1"/>
    <col min="770" max="770" width="12" style="10" customWidth="1"/>
    <col min="771" max="771" width="11.5546875" style="10" customWidth="1"/>
    <col min="772" max="772" width="11.44140625" style="10" customWidth="1"/>
    <col min="773" max="773" width="10.5546875" style="10" customWidth="1"/>
    <col min="774" max="774" width="14.88671875" style="10" customWidth="1"/>
    <col min="775" max="775" width="16.109375" style="10" customWidth="1"/>
    <col min="776" max="1024" width="9.109375" style="10"/>
    <col min="1025" max="1025" width="10.88671875" style="10" customWidth="1"/>
    <col min="1026" max="1026" width="12" style="10" customWidth="1"/>
    <col min="1027" max="1027" width="11.5546875" style="10" customWidth="1"/>
    <col min="1028" max="1028" width="11.44140625" style="10" customWidth="1"/>
    <col min="1029" max="1029" width="10.5546875" style="10" customWidth="1"/>
    <col min="1030" max="1030" width="14.88671875" style="10" customWidth="1"/>
    <col min="1031" max="1031" width="16.109375" style="10" customWidth="1"/>
    <col min="1032" max="1280" width="9.109375" style="10"/>
    <col min="1281" max="1281" width="10.88671875" style="10" customWidth="1"/>
    <col min="1282" max="1282" width="12" style="10" customWidth="1"/>
    <col min="1283" max="1283" width="11.5546875" style="10" customWidth="1"/>
    <col min="1284" max="1284" width="11.44140625" style="10" customWidth="1"/>
    <col min="1285" max="1285" width="10.5546875" style="10" customWidth="1"/>
    <col min="1286" max="1286" width="14.88671875" style="10" customWidth="1"/>
    <col min="1287" max="1287" width="16.109375" style="10" customWidth="1"/>
    <col min="1288" max="1536" width="9.109375" style="10"/>
    <col min="1537" max="1537" width="10.88671875" style="10" customWidth="1"/>
    <col min="1538" max="1538" width="12" style="10" customWidth="1"/>
    <col min="1539" max="1539" width="11.5546875" style="10" customWidth="1"/>
    <col min="1540" max="1540" width="11.44140625" style="10" customWidth="1"/>
    <col min="1541" max="1541" width="10.5546875" style="10" customWidth="1"/>
    <col min="1542" max="1542" width="14.88671875" style="10" customWidth="1"/>
    <col min="1543" max="1543" width="16.109375" style="10" customWidth="1"/>
    <col min="1544" max="1792" width="9.109375" style="10"/>
    <col min="1793" max="1793" width="10.88671875" style="10" customWidth="1"/>
    <col min="1794" max="1794" width="12" style="10" customWidth="1"/>
    <col min="1795" max="1795" width="11.5546875" style="10" customWidth="1"/>
    <col min="1796" max="1796" width="11.44140625" style="10" customWidth="1"/>
    <col min="1797" max="1797" width="10.5546875" style="10" customWidth="1"/>
    <col min="1798" max="1798" width="14.88671875" style="10" customWidth="1"/>
    <col min="1799" max="1799" width="16.109375" style="10" customWidth="1"/>
    <col min="1800" max="2048" width="9.109375" style="10"/>
    <col min="2049" max="2049" width="10.88671875" style="10" customWidth="1"/>
    <col min="2050" max="2050" width="12" style="10" customWidth="1"/>
    <col min="2051" max="2051" width="11.5546875" style="10" customWidth="1"/>
    <col min="2052" max="2052" width="11.44140625" style="10" customWidth="1"/>
    <col min="2053" max="2053" width="10.5546875" style="10" customWidth="1"/>
    <col min="2054" max="2054" width="14.88671875" style="10" customWidth="1"/>
    <col min="2055" max="2055" width="16.109375" style="10" customWidth="1"/>
    <col min="2056" max="2304" width="9.109375" style="10"/>
    <col min="2305" max="2305" width="10.88671875" style="10" customWidth="1"/>
    <col min="2306" max="2306" width="12" style="10" customWidth="1"/>
    <col min="2307" max="2307" width="11.5546875" style="10" customWidth="1"/>
    <col min="2308" max="2308" width="11.44140625" style="10" customWidth="1"/>
    <col min="2309" max="2309" width="10.5546875" style="10" customWidth="1"/>
    <col min="2310" max="2310" width="14.88671875" style="10" customWidth="1"/>
    <col min="2311" max="2311" width="16.109375" style="10" customWidth="1"/>
    <col min="2312" max="2560" width="9.109375" style="10"/>
    <col min="2561" max="2561" width="10.88671875" style="10" customWidth="1"/>
    <col min="2562" max="2562" width="12" style="10" customWidth="1"/>
    <col min="2563" max="2563" width="11.5546875" style="10" customWidth="1"/>
    <col min="2564" max="2564" width="11.44140625" style="10" customWidth="1"/>
    <col min="2565" max="2565" width="10.5546875" style="10" customWidth="1"/>
    <col min="2566" max="2566" width="14.88671875" style="10" customWidth="1"/>
    <col min="2567" max="2567" width="16.109375" style="10" customWidth="1"/>
    <col min="2568" max="2816" width="9.109375" style="10"/>
    <col min="2817" max="2817" width="10.88671875" style="10" customWidth="1"/>
    <col min="2818" max="2818" width="12" style="10" customWidth="1"/>
    <col min="2819" max="2819" width="11.5546875" style="10" customWidth="1"/>
    <col min="2820" max="2820" width="11.44140625" style="10" customWidth="1"/>
    <col min="2821" max="2821" width="10.5546875" style="10" customWidth="1"/>
    <col min="2822" max="2822" width="14.88671875" style="10" customWidth="1"/>
    <col min="2823" max="2823" width="16.109375" style="10" customWidth="1"/>
    <col min="2824" max="3072" width="9.109375" style="10"/>
    <col min="3073" max="3073" width="10.88671875" style="10" customWidth="1"/>
    <col min="3074" max="3074" width="12" style="10" customWidth="1"/>
    <col min="3075" max="3075" width="11.5546875" style="10" customWidth="1"/>
    <col min="3076" max="3076" width="11.44140625" style="10" customWidth="1"/>
    <col min="3077" max="3077" width="10.5546875" style="10" customWidth="1"/>
    <col min="3078" max="3078" width="14.88671875" style="10" customWidth="1"/>
    <col min="3079" max="3079" width="16.109375" style="10" customWidth="1"/>
    <col min="3080" max="3328" width="9.109375" style="10"/>
    <col min="3329" max="3329" width="10.88671875" style="10" customWidth="1"/>
    <col min="3330" max="3330" width="12" style="10" customWidth="1"/>
    <col min="3331" max="3331" width="11.5546875" style="10" customWidth="1"/>
    <col min="3332" max="3332" width="11.44140625" style="10" customWidth="1"/>
    <col min="3333" max="3333" width="10.5546875" style="10" customWidth="1"/>
    <col min="3334" max="3334" width="14.88671875" style="10" customWidth="1"/>
    <col min="3335" max="3335" width="16.109375" style="10" customWidth="1"/>
    <col min="3336" max="3584" width="9.109375" style="10"/>
    <col min="3585" max="3585" width="10.88671875" style="10" customWidth="1"/>
    <col min="3586" max="3586" width="12" style="10" customWidth="1"/>
    <col min="3587" max="3587" width="11.5546875" style="10" customWidth="1"/>
    <col min="3588" max="3588" width="11.44140625" style="10" customWidth="1"/>
    <col min="3589" max="3589" width="10.5546875" style="10" customWidth="1"/>
    <col min="3590" max="3590" width="14.88671875" style="10" customWidth="1"/>
    <col min="3591" max="3591" width="16.109375" style="10" customWidth="1"/>
    <col min="3592" max="3840" width="9.109375" style="10"/>
    <col min="3841" max="3841" width="10.88671875" style="10" customWidth="1"/>
    <col min="3842" max="3842" width="12" style="10" customWidth="1"/>
    <col min="3843" max="3843" width="11.5546875" style="10" customWidth="1"/>
    <col min="3844" max="3844" width="11.44140625" style="10" customWidth="1"/>
    <col min="3845" max="3845" width="10.5546875" style="10" customWidth="1"/>
    <col min="3846" max="3846" width="14.88671875" style="10" customWidth="1"/>
    <col min="3847" max="3847" width="16.109375" style="10" customWidth="1"/>
    <col min="3848" max="4096" width="9.109375" style="10"/>
    <col min="4097" max="4097" width="10.88671875" style="10" customWidth="1"/>
    <col min="4098" max="4098" width="12" style="10" customWidth="1"/>
    <col min="4099" max="4099" width="11.5546875" style="10" customWidth="1"/>
    <col min="4100" max="4100" width="11.44140625" style="10" customWidth="1"/>
    <col min="4101" max="4101" width="10.5546875" style="10" customWidth="1"/>
    <col min="4102" max="4102" width="14.88671875" style="10" customWidth="1"/>
    <col min="4103" max="4103" width="16.109375" style="10" customWidth="1"/>
    <col min="4104" max="4352" width="9.109375" style="10"/>
    <col min="4353" max="4353" width="10.88671875" style="10" customWidth="1"/>
    <col min="4354" max="4354" width="12" style="10" customWidth="1"/>
    <col min="4355" max="4355" width="11.5546875" style="10" customWidth="1"/>
    <col min="4356" max="4356" width="11.44140625" style="10" customWidth="1"/>
    <col min="4357" max="4357" width="10.5546875" style="10" customWidth="1"/>
    <col min="4358" max="4358" width="14.88671875" style="10" customWidth="1"/>
    <col min="4359" max="4359" width="16.109375" style="10" customWidth="1"/>
    <col min="4360" max="4608" width="9.109375" style="10"/>
    <col min="4609" max="4609" width="10.88671875" style="10" customWidth="1"/>
    <col min="4610" max="4610" width="12" style="10" customWidth="1"/>
    <col min="4611" max="4611" width="11.5546875" style="10" customWidth="1"/>
    <col min="4612" max="4612" width="11.44140625" style="10" customWidth="1"/>
    <col min="4613" max="4613" width="10.5546875" style="10" customWidth="1"/>
    <col min="4614" max="4614" width="14.88671875" style="10" customWidth="1"/>
    <col min="4615" max="4615" width="16.109375" style="10" customWidth="1"/>
    <col min="4616" max="4864" width="9.109375" style="10"/>
    <col min="4865" max="4865" width="10.88671875" style="10" customWidth="1"/>
    <col min="4866" max="4866" width="12" style="10" customWidth="1"/>
    <col min="4867" max="4867" width="11.5546875" style="10" customWidth="1"/>
    <col min="4868" max="4868" width="11.44140625" style="10" customWidth="1"/>
    <col min="4869" max="4869" width="10.5546875" style="10" customWidth="1"/>
    <col min="4870" max="4870" width="14.88671875" style="10" customWidth="1"/>
    <col min="4871" max="4871" width="16.109375" style="10" customWidth="1"/>
    <col min="4872" max="5120" width="9.109375" style="10"/>
    <col min="5121" max="5121" width="10.88671875" style="10" customWidth="1"/>
    <col min="5122" max="5122" width="12" style="10" customWidth="1"/>
    <col min="5123" max="5123" width="11.5546875" style="10" customWidth="1"/>
    <col min="5124" max="5124" width="11.44140625" style="10" customWidth="1"/>
    <col min="5125" max="5125" width="10.5546875" style="10" customWidth="1"/>
    <col min="5126" max="5126" width="14.88671875" style="10" customWidth="1"/>
    <col min="5127" max="5127" width="16.109375" style="10" customWidth="1"/>
    <col min="5128" max="5376" width="9.109375" style="10"/>
    <col min="5377" max="5377" width="10.88671875" style="10" customWidth="1"/>
    <col min="5378" max="5378" width="12" style="10" customWidth="1"/>
    <col min="5379" max="5379" width="11.5546875" style="10" customWidth="1"/>
    <col min="5380" max="5380" width="11.44140625" style="10" customWidth="1"/>
    <col min="5381" max="5381" width="10.5546875" style="10" customWidth="1"/>
    <col min="5382" max="5382" width="14.88671875" style="10" customWidth="1"/>
    <col min="5383" max="5383" width="16.109375" style="10" customWidth="1"/>
    <col min="5384" max="5632" width="9.109375" style="10"/>
    <col min="5633" max="5633" width="10.88671875" style="10" customWidth="1"/>
    <col min="5634" max="5634" width="12" style="10" customWidth="1"/>
    <col min="5635" max="5635" width="11.5546875" style="10" customWidth="1"/>
    <col min="5636" max="5636" width="11.44140625" style="10" customWidth="1"/>
    <col min="5637" max="5637" width="10.5546875" style="10" customWidth="1"/>
    <col min="5638" max="5638" width="14.88671875" style="10" customWidth="1"/>
    <col min="5639" max="5639" width="16.109375" style="10" customWidth="1"/>
    <col min="5640" max="5888" width="9.109375" style="10"/>
    <col min="5889" max="5889" width="10.88671875" style="10" customWidth="1"/>
    <col min="5890" max="5890" width="12" style="10" customWidth="1"/>
    <col min="5891" max="5891" width="11.5546875" style="10" customWidth="1"/>
    <col min="5892" max="5892" width="11.44140625" style="10" customWidth="1"/>
    <col min="5893" max="5893" width="10.5546875" style="10" customWidth="1"/>
    <col min="5894" max="5894" width="14.88671875" style="10" customWidth="1"/>
    <col min="5895" max="5895" width="16.109375" style="10" customWidth="1"/>
    <col min="5896" max="6144" width="9.109375" style="10"/>
    <col min="6145" max="6145" width="10.88671875" style="10" customWidth="1"/>
    <col min="6146" max="6146" width="12" style="10" customWidth="1"/>
    <col min="6147" max="6147" width="11.5546875" style="10" customWidth="1"/>
    <col min="6148" max="6148" width="11.44140625" style="10" customWidth="1"/>
    <col min="6149" max="6149" width="10.5546875" style="10" customWidth="1"/>
    <col min="6150" max="6150" width="14.88671875" style="10" customWidth="1"/>
    <col min="6151" max="6151" width="16.109375" style="10" customWidth="1"/>
    <col min="6152" max="6400" width="9.109375" style="10"/>
    <col min="6401" max="6401" width="10.88671875" style="10" customWidth="1"/>
    <col min="6402" max="6402" width="12" style="10" customWidth="1"/>
    <col min="6403" max="6403" width="11.5546875" style="10" customWidth="1"/>
    <col min="6404" max="6404" width="11.44140625" style="10" customWidth="1"/>
    <col min="6405" max="6405" width="10.5546875" style="10" customWidth="1"/>
    <col min="6406" max="6406" width="14.88671875" style="10" customWidth="1"/>
    <col min="6407" max="6407" width="16.109375" style="10" customWidth="1"/>
    <col min="6408" max="6656" width="9.109375" style="10"/>
    <col min="6657" max="6657" width="10.88671875" style="10" customWidth="1"/>
    <col min="6658" max="6658" width="12" style="10" customWidth="1"/>
    <col min="6659" max="6659" width="11.5546875" style="10" customWidth="1"/>
    <col min="6660" max="6660" width="11.44140625" style="10" customWidth="1"/>
    <col min="6661" max="6661" width="10.5546875" style="10" customWidth="1"/>
    <col min="6662" max="6662" width="14.88671875" style="10" customWidth="1"/>
    <col min="6663" max="6663" width="16.109375" style="10" customWidth="1"/>
    <col min="6664" max="6912" width="9.109375" style="10"/>
    <col min="6913" max="6913" width="10.88671875" style="10" customWidth="1"/>
    <col min="6914" max="6914" width="12" style="10" customWidth="1"/>
    <col min="6915" max="6915" width="11.5546875" style="10" customWidth="1"/>
    <col min="6916" max="6916" width="11.44140625" style="10" customWidth="1"/>
    <col min="6917" max="6917" width="10.5546875" style="10" customWidth="1"/>
    <col min="6918" max="6918" width="14.88671875" style="10" customWidth="1"/>
    <col min="6919" max="6919" width="16.109375" style="10" customWidth="1"/>
    <col min="6920" max="7168" width="9.109375" style="10"/>
    <col min="7169" max="7169" width="10.88671875" style="10" customWidth="1"/>
    <col min="7170" max="7170" width="12" style="10" customWidth="1"/>
    <col min="7171" max="7171" width="11.5546875" style="10" customWidth="1"/>
    <col min="7172" max="7172" width="11.44140625" style="10" customWidth="1"/>
    <col min="7173" max="7173" width="10.5546875" style="10" customWidth="1"/>
    <col min="7174" max="7174" width="14.88671875" style="10" customWidth="1"/>
    <col min="7175" max="7175" width="16.109375" style="10" customWidth="1"/>
    <col min="7176" max="7424" width="9.109375" style="10"/>
    <col min="7425" max="7425" width="10.88671875" style="10" customWidth="1"/>
    <col min="7426" max="7426" width="12" style="10" customWidth="1"/>
    <col min="7427" max="7427" width="11.5546875" style="10" customWidth="1"/>
    <col min="7428" max="7428" width="11.44140625" style="10" customWidth="1"/>
    <col min="7429" max="7429" width="10.5546875" style="10" customWidth="1"/>
    <col min="7430" max="7430" width="14.88671875" style="10" customWidth="1"/>
    <col min="7431" max="7431" width="16.109375" style="10" customWidth="1"/>
    <col min="7432" max="7680" width="9.109375" style="10"/>
    <col min="7681" max="7681" width="10.88671875" style="10" customWidth="1"/>
    <col min="7682" max="7682" width="12" style="10" customWidth="1"/>
    <col min="7683" max="7683" width="11.5546875" style="10" customWidth="1"/>
    <col min="7684" max="7684" width="11.44140625" style="10" customWidth="1"/>
    <col min="7685" max="7685" width="10.5546875" style="10" customWidth="1"/>
    <col min="7686" max="7686" width="14.88671875" style="10" customWidth="1"/>
    <col min="7687" max="7687" width="16.109375" style="10" customWidth="1"/>
    <col min="7688" max="7936" width="9.109375" style="10"/>
    <col min="7937" max="7937" width="10.88671875" style="10" customWidth="1"/>
    <col min="7938" max="7938" width="12" style="10" customWidth="1"/>
    <col min="7939" max="7939" width="11.5546875" style="10" customWidth="1"/>
    <col min="7940" max="7940" width="11.44140625" style="10" customWidth="1"/>
    <col min="7941" max="7941" width="10.5546875" style="10" customWidth="1"/>
    <col min="7942" max="7942" width="14.88671875" style="10" customWidth="1"/>
    <col min="7943" max="7943" width="16.109375" style="10" customWidth="1"/>
    <col min="7944" max="8192" width="9.109375" style="10"/>
    <col min="8193" max="8193" width="10.88671875" style="10" customWidth="1"/>
    <col min="8194" max="8194" width="12" style="10" customWidth="1"/>
    <col min="8195" max="8195" width="11.5546875" style="10" customWidth="1"/>
    <col min="8196" max="8196" width="11.44140625" style="10" customWidth="1"/>
    <col min="8197" max="8197" width="10.5546875" style="10" customWidth="1"/>
    <col min="8198" max="8198" width="14.88671875" style="10" customWidth="1"/>
    <col min="8199" max="8199" width="16.109375" style="10" customWidth="1"/>
    <col min="8200" max="8448" width="9.109375" style="10"/>
    <col min="8449" max="8449" width="10.88671875" style="10" customWidth="1"/>
    <col min="8450" max="8450" width="12" style="10" customWidth="1"/>
    <col min="8451" max="8451" width="11.5546875" style="10" customWidth="1"/>
    <col min="8452" max="8452" width="11.44140625" style="10" customWidth="1"/>
    <col min="8453" max="8453" width="10.5546875" style="10" customWidth="1"/>
    <col min="8454" max="8454" width="14.88671875" style="10" customWidth="1"/>
    <col min="8455" max="8455" width="16.109375" style="10" customWidth="1"/>
    <col min="8456" max="8704" width="9.109375" style="10"/>
    <col min="8705" max="8705" width="10.88671875" style="10" customWidth="1"/>
    <col min="8706" max="8706" width="12" style="10" customWidth="1"/>
    <col min="8707" max="8707" width="11.5546875" style="10" customWidth="1"/>
    <col min="8708" max="8708" width="11.44140625" style="10" customWidth="1"/>
    <col min="8709" max="8709" width="10.5546875" style="10" customWidth="1"/>
    <col min="8710" max="8710" width="14.88671875" style="10" customWidth="1"/>
    <col min="8711" max="8711" width="16.109375" style="10" customWidth="1"/>
    <col min="8712" max="8960" width="9.109375" style="10"/>
    <col min="8961" max="8961" width="10.88671875" style="10" customWidth="1"/>
    <col min="8962" max="8962" width="12" style="10" customWidth="1"/>
    <col min="8963" max="8963" width="11.5546875" style="10" customWidth="1"/>
    <col min="8964" max="8964" width="11.44140625" style="10" customWidth="1"/>
    <col min="8965" max="8965" width="10.5546875" style="10" customWidth="1"/>
    <col min="8966" max="8966" width="14.88671875" style="10" customWidth="1"/>
    <col min="8967" max="8967" width="16.109375" style="10" customWidth="1"/>
    <col min="8968" max="9216" width="9.109375" style="10"/>
    <col min="9217" max="9217" width="10.88671875" style="10" customWidth="1"/>
    <col min="9218" max="9218" width="12" style="10" customWidth="1"/>
    <col min="9219" max="9219" width="11.5546875" style="10" customWidth="1"/>
    <col min="9220" max="9220" width="11.44140625" style="10" customWidth="1"/>
    <col min="9221" max="9221" width="10.5546875" style="10" customWidth="1"/>
    <col min="9222" max="9222" width="14.88671875" style="10" customWidth="1"/>
    <col min="9223" max="9223" width="16.109375" style="10" customWidth="1"/>
    <col min="9224" max="9472" width="9.109375" style="10"/>
    <col min="9473" max="9473" width="10.88671875" style="10" customWidth="1"/>
    <col min="9474" max="9474" width="12" style="10" customWidth="1"/>
    <col min="9475" max="9475" width="11.5546875" style="10" customWidth="1"/>
    <col min="9476" max="9476" width="11.44140625" style="10" customWidth="1"/>
    <col min="9477" max="9477" width="10.5546875" style="10" customWidth="1"/>
    <col min="9478" max="9478" width="14.88671875" style="10" customWidth="1"/>
    <col min="9479" max="9479" width="16.109375" style="10" customWidth="1"/>
    <col min="9480" max="9728" width="9.109375" style="10"/>
    <col min="9729" max="9729" width="10.88671875" style="10" customWidth="1"/>
    <col min="9730" max="9730" width="12" style="10" customWidth="1"/>
    <col min="9731" max="9731" width="11.5546875" style="10" customWidth="1"/>
    <col min="9732" max="9732" width="11.44140625" style="10" customWidth="1"/>
    <col min="9733" max="9733" width="10.5546875" style="10" customWidth="1"/>
    <col min="9734" max="9734" width="14.88671875" style="10" customWidth="1"/>
    <col min="9735" max="9735" width="16.109375" style="10" customWidth="1"/>
    <col min="9736" max="9984" width="9.109375" style="10"/>
    <col min="9985" max="9985" width="10.88671875" style="10" customWidth="1"/>
    <col min="9986" max="9986" width="12" style="10" customWidth="1"/>
    <col min="9987" max="9987" width="11.5546875" style="10" customWidth="1"/>
    <col min="9988" max="9988" width="11.44140625" style="10" customWidth="1"/>
    <col min="9989" max="9989" width="10.5546875" style="10" customWidth="1"/>
    <col min="9990" max="9990" width="14.88671875" style="10" customWidth="1"/>
    <col min="9991" max="9991" width="16.109375" style="10" customWidth="1"/>
    <col min="9992" max="10240" width="9.109375" style="10"/>
    <col min="10241" max="10241" width="10.88671875" style="10" customWidth="1"/>
    <col min="10242" max="10242" width="12" style="10" customWidth="1"/>
    <col min="10243" max="10243" width="11.5546875" style="10" customWidth="1"/>
    <col min="10244" max="10244" width="11.44140625" style="10" customWidth="1"/>
    <col min="10245" max="10245" width="10.5546875" style="10" customWidth="1"/>
    <col min="10246" max="10246" width="14.88671875" style="10" customWidth="1"/>
    <col min="10247" max="10247" width="16.109375" style="10" customWidth="1"/>
    <col min="10248" max="10496" width="9.109375" style="10"/>
    <col min="10497" max="10497" width="10.88671875" style="10" customWidth="1"/>
    <col min="10498" max="10498" width="12" style="10" customWidth="1"/>
    <col min="10499" max="10499" width="11.5546875" style="10" customWidth="1"/>
    <col min="10500" max="10500" width="11.44140625" style="10" customWidth="1"/>
    <col min="10501" max="10501" width="10.5546875" style="10" customWidth="1"/>
    <col min="10502" max="10502" width="14.88671875" style="10" customWidth="1"/>
    <col min="10503" max="10503" width="16.109375" style="10" customWidth="1"/>
    <col min="10504" max="10752" width="9.109375" style="10"/>
    <col min="10753" max="10753" width="10.88671875" style="10" customWidth="1"/>
    <col min="10754" max="10754" width="12" style="10" customWidth="1"/>
    <col min="10755" max="10755" width="11.5546875" style="10" customWidth="1"/>
    <col min="10756" max="10756" width="11.44140625" style="10" customWidth="1"/>
    <col min="10757" max="10757" width="10.5546875" style="10" customWidth="1"/>
    <col min="10758" max="10758" width="14.88671875" style="10" customWidth="1"/>
    <col min="10759" max="10759" width="16.109375" style="10" customWidth="1"/>
    <col min="10760" max="11008" width="9.109375" style="10"/>
    <col min="11009" max="11009" width="10.88671875" style="10" customWidth="1"/>
    <col min="11010" max="11010" width="12" style="10" customWidth="1"/>
    <col min="11011" max="11011" width="11.5546875" style="10" customWidth="1"/>
    <col min="11012" max="11012" width="11.44140625" style="10" customWidth="1"/>
    <col min="11013" max="11013" width="10.5546875" style="10" customWidth="1"/>
    <col min="11014" max="11014" width="14.88671875" style="10" customWidth="1"/>
    <col min="11015" max="11015" width="16.109375" style="10" customWidth="1"/>
    <col min="11016" max="11264" width="9.109375" style="10"/>
    <col min="11265" max="11265" width="10.88671875" style="10" customWidth="1"/>
    <col min="11266" max="11266" width="12" style="10" customWidth="1"/>
    <col min="11267" max="11267" width="11.5546875" style="10" customWidth="1"/>
    <col min="11268" max="11268" width="11.44140625" style="10" customWidth="1"/>
    <col min="11269" max="11269" width="10.5546875" style="10" customWidth="1"/>
    <col min="11270" max="11270" width="14.88671875" style="10" customWidth="1"/>
    <col min="11271" max="11271" width="16.109375" style="10" customWidth="1"/>
    <col min="11272" max="11520" width="9.109375" style="10"/>
    <col min="11521" max="11521" width="10.88671875" style="10" customWidth="1"/>
    <col min="11522" max="11522" width="12" style="10" customWidth="1"/>
    <col min="11523" max="11523" width="11.5546875" style="10" customWidth="1"/>
    <col min="11524" max="11524" width="11.44140625" style="10" customWidth="1"/>
    <col min="11525" max="11525" width="10.5546875" style="10" customWidth="1"/>
    <col min="11526" max="11526" width="14.88671875" style="10" customWidth="1"/>
    <col min="11527" max="11527" width="16.109375" style="10" customWidth="1"/>
    <col min="11528" max="11776" width="9.109375" style="10"/>
    <col min="11777" max="11777" width="10.88671875" style="10" customWidth="1"/>
    <col min="11778" max="11778" width="12" style="10" customWidth="1"/>
    <col min="11779" max="11779" width="11.5546875" style="10" customWidth="1"/>
    <col min="11780" max="11780" width="11.44140625" style="10" customWidth="1"/>
    <col min="11781" max="11781" width="10.5546875" style="10" customWidth="1"/>
    <col min="11782" max="11782" width="14.88671875" style="10" customWidth="1"/>
    <col min="11783" max="11783" width="16.109375" style="10" customWidth="1"/>
    <col min="11784" max="12032" width="9.109375" style="10"/>
    <col min="12033" max="12033" width="10.88671875" style="10" customWidth="1"/>
    <col min="12034" max="12034" width="12" style="10" customWidth="1"/>
    <col min="12035" max="12035" width="11.5546875" style="10" customWidth="1"/>
    <col min="12036" max="12036" width="11.44140625" style="10" customWidth="1"/>
    <col min="12037" max="12037" width="10.5546875" style="10" customWidth="1"/>
    <col min="12038" max="12038" width="14.88671875" style="10" customWidth="1"/>
    <col min="12039" max="12039" width="16.109375" style="10" customWidth="1"/>
    <col min="12040" max="12288" width="9.109375" style="10"/>
    <col min="12289" max="12289" width="10.88671875" style="10" customWidth="1"/>
    <col min="12290" max="12290" width="12" style="10" customWidth="1"/>
    <col min="12291" max="12291" width="11.5546875" style="10" customWidth="1"/>
    <col min="12292" max="12292" width="11.44140625" style="10" customWidth="1"/>
    <col min="12293" max="12293" width="10.5546875" style="10" customWidth="1"/>
    <col min="12294" max="12294" width="14.88671875" style="10" customWidth="1"/>
    <col min="12295" max="12295" width="16.109375" style="10" customWidth="1"/>
    <col min="12296" max="12544" width="9.109375" style="10"/>
    <col min="12545" max="12545" width="10.88671875" style="10" customWidth="1"/>
    <col min="12546" max="12546" width="12" style="10" customWidth="1"/>
    <col min="12547" max="12547" width="11.5546875" style="10" customWidth="1"/>
    <col min="12548" max="12548" width="11.44140625" style="10" customWidth="1"/>
    <col min="12549" max="12549" width="10.5546875" style="10" customWidth="1"/>
    <col min="12550" max="12550" width="14.88671875" style="10" customWidth="1"/>
    <col min="12551" max="12551" width="16.109375" style="10" customWidth="1"/>
    <col min="12552" max="12800" width="9.109375" style="10"/>
    <col min="12801" max="12801" width="10.88671875" style="10" customWidth="1"/>
    <col min="12802" max="12802" width="12" style="10" customWidth="1"/>
    <col min="12803" max="12803" width="11.5546875" style="10" customWidth="1"/>
    <col min="12804" max="12804" width="11.44140625" style="10" customWidth="1"/>
    <col min="12805" max="12805" width="10.5546875" style="10" customWidth="1"/>
    <col min="12806" max="12806" width="14.88671875" style="10" customWidth="1"/>
    <col min="12807" max="12807" width="16.109375" style="10" customWidth="1"/>
    <col min="12808" max="13056" width="9.109375" style="10"/>
    <col min="13057" max="13057" width="10.88671875" style="10" customWidth="1"/>
    <col min="13058" max="13058" width="12" style="10" customWidth="1"/>
    <col min="13059" max="13059" width="11.5546875" style="10" customWidth="1"/>
    <col min="13060" max="13060" width="11.44140625" style="10" customWidth="1"/>
    <col min="13061" max="13061" width="10.5546875" style="10" customWidth="1"/>
    <col min="13062" max="13062" width="14.88671875" style="10" customWidth="1"/>
    <col min="13063" max="13063" width="16.109375" style="10" customWidth="1"/>
    <col min="13064" max="13312" width="9.109375" style="10"/>
    <col min="13313" max="13313" width="10.88671875" style="10" customWidth="1"/>
    <col min="13314" max="13314" width="12" style="10" customWidth="1"/>
    <col min="13315" max="13315" width="11.5546875" style="10" customWidth="1"/>
    <col min="13316" max="13316" width="11.44140625" style="10" customWidth="1"/>
    <col min="13317" max="13317" width="10.5546875" style="10" customWidth="1"/>
    <col min="13318" max="13318" width="14.88671875" style="10" customWidth="1"/>
    <col min="13319" max="13319" width="16.109375" style="10" customWidth="1"/>
    <col min="13320" max="13568" width="9.109375" style="10"/>
    <col min="13569" max="13569" width="10.88671875" style="10" customWidth="1"/>
    <col min="13570" max="13570" width="12" style="10" customWidth="1"/>
    <col min="13571" max="13571" width="11.5546875" style="10" customWidth="1"/>
    <col min="13572" max="13572" width="11.44140625" style="10" customWidth="1"/>
    <col min="13573" max="13573" width="10.5546875" style="10" customWidth="1"/>
    <col min="13574" max="13574" width="14.88671875" style="10" customWidth="1"/>
    <col min="13575" max="13575" width="16.109375" style="10" customWidth="1"/>
    <col min="13576" max="13824" width="9.109375" style="10"/>
    <col min="13825" max="13825" width="10.88671875" style="10" customWidth="1"/>
    <col min="13826" max="13826" width="12" style="10" customWidth="1"/>
    <col min="13827" max="13827" width="11.5546875" style="10" customWidth="1"/>
    <col min="13828" max="13828" width="11.44140625" style="10" customWidth="1"/>
    <col min="13829" max="13829" width="10.5546875" style="10" customWidth="1"/>
    <col min="13830" max="13830" width="14.88671875" style="10" customWidth="1"/>
    <col min="13831" max="13831" width="16.109375" style="10" customWidth="1"/>
    <col min="13832" max="14080" width="9.109375" style="10"/>
    <col min="14081" max="14081" width="10.88671875" style="10" customWidth="1"/>
    <col min="14082" max="14082" width="12" style="10" customWidth="1"/>
    <col min="14083" max="14083" width="11.5546875" style="10" customWidth="1"/>
    <col min="14084" max="14084" width="11.44140625" style="10" customWidth="1"/>
    <col min="14085" max="14085" width="10.5546875" style="10" customWidth="1"/>
    <col min="14086" max="14086" width="14.88671875" style="10" customWidth="1"/>
    <col min="14087" max="14087" width="16.109375" style="10" customWidth="1"/>
    <col min="14088" max="14336" width="9.109375" style="10"/>
    <col min="14337" max="14337" width="10.88671875" style="10" customWidth="1"/>
    <col min="14338" max="14338" width="12" style="10" customWidth="1"/>
    <col min="14339" max="14339" width="11.5546875" style="10" customWidth="1"/>
    <col min="14340" max="14340" width="11.44140625" style="10" customWidth="1"/>
    <col min="14341" max="14341" width="10.5546875" style="10" customWidth="1"/>
    <col min="14342" max="14342" width="14.88671875" style="10" customWidth="1"/>
    <col min="14343" max="14343" width="16.109375" style="10" customWidth="1"/>
    <col min="14344" max="14592" width="9.109375" style="10"/>
    <col min="14593" max="14593" width="10.88671875" style="10" customWidth="1"/>
    <col min="14594" max="14594" width="12" style="10" customWidth="1"/>
    <col min="14595" max="14595" width="11.5546875" style="10" customWidth="1"/>
    <col min="14596" max="14596" width="11.44140625" style="10" customWidth="1"/>
    <col min="14597" max="14597" width="10.5546875" style="10" customWidth="1"/>
    <col min="14598" max="14598" width="14.88671875" style="10" customWidth="1"/>
    <col min="14599" max="14599" width="16.109375" style="10" customWidth="1"/>
    <col min="14600" max="14848" width="9.109375" style="10"/>
    <col min="14849" max="14849" width="10.88671875" style="10" customWidth="1"/>
    <col min="14850" max="14850" width="12" style="10" customWidth="1"/>
    <col min="14851" max="14851" width="11.5546875" style="10" customWidth="1"/>
    <col min="14852" max="14852" width="11.44140625" style="10" customWidth="1"/>
    <col min="14853" max="14853" width="10.5546875" style="10" customWidth="1"/>
    <col min="14854" max="14854" width="14.88671875" style="10" customWidth="1"/>
    <col min="14855" max="14855" width="16.109375" style="10" customWidth="1"/>
    <col min="14856" max="15104" width="9.109375" style="10"/>
    <col min="15105" max="15105" width="10.88671875" style="10" customWidth="1"/>
    <col min="15106" max="15106" width="12" style="10" customWidth="1"/>
    <col min="15107" max="15107" width="11.5546875" style="10" customWidth="1"/>
    <col min="15108" max="15108" width="11.44140625" style="10" customWidth="1"/>
    <col min="15109" max="15109" width="10.5546875" style="10" customWidth="1"/>
    <col min="15110" max="15110" width="14.88671875" style="10" customWidth="1"/>
    <col min="15111" max="15111" width="16.109375" style="10" customWidth="1"/>
    <col min="15112" max="15360" width="9.109375" style="10"/>
    <col min="15361" max="15361" width="10.88671875" style="10" customWidth="1"/>
    <col min="15362" max="15362" width="12" style="10" customWidth="1"/>
    <col min="15363" max="15363" width="11.5546875" style="10" customWidth="1"/>
    <col min="15364" max="15364" width="11.44140625" style="10" customWidth="1"/>
    <col min="15365" max="15365" width="10.5546875" style="10" customWidth="1"/>
    <col min="15366" max="15366" width="14.88671875" style="10" customWidth="1"/>
    <col min="15367" max="15367" width="16.109375" style="10" customWidth="1"/>
    <col min="15368" max="15616" width="9.109375" style="10"/>
    <col min="15617" max="15617" width="10.88671875" style="10" customWidth="1"/>
    <col min="15618" max="15618" width="12" style="10" customWidth="1"/>
    <col min="15619" max="15619" width="11.5546875" style="10" customWidth="1"/>
    <col min="15620" max="15620" width="11.44140625" style="10" customWidth="1"/>
    <col min="15621" max="15621" width="10.5546875" style="10" customWidth="1"/>
    <col min="15622" max="15622" width="14.88671875" style="10" customWidth="1"/>
    <col min="15623" max="15623" width="16.109375" style="10" customWidth="1"/>
    <col min="15624" max="15872" width="9.109375" style="10"/>
    <col min="15873" max="15873" width="10.88671875" style="10" customWidth="1"/>
    <col min="15874" max="15874" width="12" style="10" customWidth="1"/>
    <col min="15875" max="15875" width="11.5546875" style="10" customWidth="1"/>
    <col min="15876" max="15876" width="11.44140625" style="10" customWidth="1"/>
    <col min="15877" max="15877" width="10.5546875" style="10" customWidth="1"/>
    <col min="15878" max="15878" width="14.88671875" style="10" customWidth="1"/>
    <col min="15879" max="15879" width="16.109375" style="10" customWidth="1"/>
    <col min="15880" max="16128" width="9.109375" style="10"/>
    <col min="16129" max="16129" width="10.88671875" style="10" customWidth="1"/>
    <col min="16130" max="16130" width="12" style="10" customWidth="1"/>
    <col min="16131" max="16131" width="11.5546875" style="10" customWidth="1"/>
    <col min="16132" max="16132" width="11.44140625" style="10" customWidth="1"/>
    <col min="16133" max="16133" width="10.5546875" style="10" customWidth="1"/>
    <col min="16134" max="16134" width="14.88671875" style="10" customWidth="1"/>
    <col min="16135" max="16135" width="16.109375" style="10" customWidth="1"/>
    <col min="16136" max="16384" width="9.109375" style="10"/>
  </cols>
  <sheetData>
    <row r="1" spans="1:13">
      <c r="G1" s="2126" t="s">
        <v>360</v>
      </c>
      <c r="I1" s="10" t="s">
        <v>421</v>
      </c>
      <c r="L1" s="2127">
        <f>G44+G33+G49+П.2.2.утв.2015!G50+П.2.2.утв.2015!G49+П.2.2.утв.2015!G51</f>
        <v>833.26700000000005</v>
      </c>
    </row>
    <row r="2" spans="1:13" ht="15.6">
      <c r="A2" s="131" t="s">
        <v>1305</v>
      </c>
      <c r="B2" s="868"/>
      <c r="C2" s="868"/>
      <c r="D2" s="868"/>
      <c r="E2" s="868"/>
      <c r="F2" s="868"/>
      <c r="G2" s="868"/>
      <c r="I2" s="10" t="s">
        <v>426</v>
      </c>
      <c r="L2" s="2127">
        <f>G33+П.2.2.утв.2015!G49</f>
        <v>238.27</v>
      </c>
      <c r="M2" s="10">
        <f>L2/L1</f>
        <v>0.28594676136220443</v>
      </c>
    </row>
    <row r="3" spans="1:13" ht="12.75" customHeight="1">
      <c r="A3" s="131" t="s">
        <v>1306</v>
      </c>
      <c r="B3" s="868"/>
      <c r="C3" s="868"/>
      <c r="D3" s="868"/>
      <c r="E3" s="868"/>
      <c r="F3" s="868"/>
      <c r="G3" s="868"/>
      <c r="I3" s="10" t="s">
        <v>427</v>
      </c>
      <c r="L3" s="2127">
        <f>SUM(G34:G38)+G42+П.2.2.утв.2015!G14+П.2.2.утв.2015!G21+П.2.2.утв.2015!G29+П.2.2.утв.2015!G33+П.2.2.утв.2015!G39+П.2.2.утв.2015!G43+П.2.2.утв.2015!G48</f>
        <v>0</v>
      </c>
      <c r="M3" s="10">
        <f>L3/L1</f>
        <v>0</v>
      </c>
    </row>
    <row r="4" spans="1:13" ht="12.75" customHeight="1">
      <c r="A4" s="131" t="s">
        <v>2231</v>
      </c>
      <c r="B4" s="100"/>
      <c r="C4" s="100"/>
      <c r="D4" s="100"/>
      <c r="E4" s="100"/>
      <c r="F4" s="100"/>
      <c r="G4" s="100"/>
      <c r="I4" s="10" t="s">
        <v>422</v>
      </c>
      <c r="L4" s="2127">
        <f>G40+G41+G43+П.2.2.утв.2015!G22+П.2.2.утв.2015!G30+П.2.2.утв.2015!G34+П.2.2.утв.2015!G40+П.2.2.утв.2015!G41+П.2.2.утв.2015!G42+П.2.2.утв.2015!G44+П.2.2.утв.2015!G45+П.2.2.утв.2015!G46+П.2.2.утв.2015!G47</f>
        <v>421.96000000000004</v>
      </c>
      <c r="M4" s="10">
        <f>L4/L1</f>
        <v>0.50639230882778274</v>
      </c>
    </row>
    <row r="5" spans="1:13" ht="13.5" customHeight="1">
      <c r="A5" s="131" t="s">
        <v>670</v>
      </c>
      <c r="B5" s="100"/>
      <c r="C5" s="100"/>
      <c r="D5" s="100"/>
      <c r="E5" s="100"/>
      <c r="F5" s="100"/>
      <c r="G5" s="100"/>
      <c r="I5" s="10" t="s">
        <v>423</v>
      </c>
      <c r="L5" s="2127">
        <f>G49</f>
        <v>173.03699999999995</v>
      </c>
      <c r="M5" s="10">
        <f>L5/L1</f>
        <v>0.2076609298100128</v>
      </c>
    </row>
    <row r="6" spans="1:13" ht="12.75" customHeight="1">
      <c r="A6" s="131" t="s">
        <v>672</v>
      </c>
      <c r="B6" s="110"/>
      <c r="C6" s="110"/>
      <c r="D6" s="110"/>
      <c r="E6" s="110"/>
      <c r="F6" s="110"/>
      <c r="G6" s="110"/>
      <c r="L6" s="2127"/>
    </row>
    <row r="7" spans="1:13" ht="15.6">
      <c r="A7" s="131" t="s">
        <v>671</v>
      </c>
      <c r="B7" s="110"/>
      <c r="C7" s="110"/>
      <c r="D7" s="110"/>
      <c r="E7" s="110"/>
      <c r="F7" s="110"/>
      <c r="G7" s="110"/>
      <c r="L7" s="2127">
        <f>SUM(L2:L5)</f>
        <v>833.26699999999994</v>
      </c>
    </row>
    <row r="8" spans="1:13">
      <c r="A8" s="868"/>
      <c r="B8" s="110"/>
      <c r="C8" s="110"/>
      <c r="D8" s="110"/>
      <c r="E8" s="110"/>
      <c r="F8" s="110"/>
      <c r="G8" s="110"/>
      <c r="H8" s="2064" t="s">
        <v>2509</v>
      </c>
      <c r="L8" s="2127"/>
    </row>
    <row r="9" spans="1:13">
      <c r="G9" s="872" t="s">
        <v>2389</v>
      </c>
      <c r="L9" s="2311">
        <f>'[21]П.2.1.пром.+ПСХ'!L7+[21]П.2.1.ЛОЦ!L7</f>
        <v>833.26700000000005</v>
      </c>
    </row>
    <row r="10" spans="1:13" ht="79.2">
      <c r="A10" s="4320"/>
      <c r="B10" s="4322" t="s">
        <v>361</v>
      </c>
      <c r="C10" s="4322" t="s">
        <v>362</v>
      </c>
      <c r="D10" s="4322" t="s">
        <v>363</v>
      </c>
      <c r="E10" s="2632" t="s">
        <v>364</v>
      </c>
      <c r="F10" s="2632" t="s">
        <v>365</v>
      </c>
      <c r="G10" s="2632" t="s">
        <v>366</v>
      </c>
      <c r="I10" s="78"/>
    </row>
    <row r="11" spans="1:13">
      <c r="A11" s="4321"/>
      <c r="B11" s="4323"/>
      <c r="C11" s="4323"/>
      <c r="D11" s="4323"/>
      <c r="E11" s="2632" t="s">
        <v>367</v>
      </c>
      <c r="F11" s="2632" t="s">
        <v>368</v>
      </c>
      <c r="G11" s="2632" t="s">
        <v>369</v>
      </c>
      <c r="L11" s="60"/>
    </row>
    <row r="12" spans="1:13">
      <c r="A12" s="2636">
        <v>1</v>
      </c>
      <c r="B12" s="2636">
        <f>+A12+1</f>
        <v>2</v>
      </c>
      <c r="C12" s="2636">
        <f>+B12+1</f>
        <v>3</v>
      </c>
      <c r="D12" s="2636">
        <f>+C12+1</f>
        <v>4</v>
      </c>
      <c r="E12" s="2636">
        <f>+D12+1</f>
        <v>5</v>
      </c>
      <c r="F12" s="2636">
        <f>+E12+1</f>
        <v>6</v>
      </c>
      <c r="G12" s="2636" t="s">
        <v>502</v>
      </c>
    </row>
    <row r="13" spans="1:13">
      <c r="A13" s="4312" t="s">
        <v>370</v>
      </c>
      <c r="B13" s="2637">
        <v>1150</v>
      </c>
      <c r="C13" s="2636" t="s">
        <v>338</v>
      </c>
      <c r="D13" s="2634" t="s">
        <v>371</v>
      </c>
      <c r="E13" s="2636">
        <v>800</v>
      </c>
      <c r="F13" s="2636"/>
      <c r="G13" s="2636"/>
    </row>
    <row r="14" spans="1:13">
      <c r="A14" s="4312"/>
      <c r="B14" s="2637">
        <v>750</v>
      </c>
      <c r="C14" s="2636">
        <v>1</v>
      </c>
      <c r="D14" s="2634" t="s">
        <v>371</v>
      </c>
      <c r="E14" s="2636">
        <v>600</v>
      </c>
      <c r="F14" s="2636"/>
      <c r="G14" s="2636"/>
      <c r="L14" s="60"/>
      <c r="M14" s="79"/>
    </row>
    <row r="15" spans="1:13">
      <c r="A15" s="4312"/>
      <c r="B15" s="4324" t="s">
        <v>372</v>
      </c>
      <c r="C15" s="4316">
        <v>1</v>
      </c>
      <c r="D15" s="2634" t="s">
        <v>371</v>
      </c>
      <c r="E15" s="2636">
        <v>400</v>
      </c>
      <c r="F15" s="2636"/>
      <c r="G15" s="2636"/>
      <c r="L15" s="48"/>
      <c r="M15" s="79"/>
    </row>
    <row r="16" spans="1:13">
      <c r="A16" s="4312"/>
      <c r="B16" s="4324"/>
      <c r="C16" s="4316"/>
      <c r="D16" s="2634" t="s">
        <v>373</v>
      </c>
      <c r="E16" s="2636">
        <v>300</v>
      </c>
      <c r="F16" s="2636"/>
      <c r="G16" s="2636"/>
    </row>
    <row r="17" spans="1:12">
      <c r="A17" s="4312"/>
      <c r="B17" s="4324">
        <v>330</v>
      </c>
      <c r="C17" s="4316">
        <v>1</v>
      </c>
      <c r="D17" s="2634" t="s">
        <v>371</v>
      </c>
      <c r="E17" s="2636">
        <v>230</v>
      </c>
      <c r="F17" s="2636"/>
      <c r="G17" s="2636"/>
      <c r="L17" s="60"/>
    </row>
    <row r="18" spans="1:12">
      <c r="A18" s="4312"/>
      <c r="B18" s="4324"/>
      <c r="C18" s="4316"/>
      <c r="D18" s="2634" t="s">
        <v>373</v>
      </c>
      <c r="E18" s="2636">
        <v>170</v>
      </c>
      <c r="F18" s="2636"/>
      <c r="G18" s="2636"/>
    </row>
    <row r="19" spans="1:12">
      <c r="A19" s="4312"/>
      <c r="B19" s="4324"/>
      <c r="C19" s="4316">
        <v>2</v>
      </c>
      <c r="D19" s="2634" t="s">
        <v>371</v>
      </c>
      <c r="E19" s="2636">
        <v>290</v>
      </c>
      <c r="F19" s="2636"/>
      <c r="G19" s="2636"/>
    </row>
    <row r="20" spans="1:12">
      <c r="A20" s="4312"/>
      <c r="B20" s="4324"/>
      <c r="C20" s="4316"/>
      <c r="D20" s="2634" t="s">
        <v>373</v>
      </c>
      <c r="E20" s="2636">
        <v>210</v>
      </c>
      <c r="F20" s="2636"/>
      <c r="G20" s="2636"/>
    </row>
    <row r="21" spans="1:12">
      <c r="A21" s="4312"/>
      <c r="B21" s="4325">
        <v>220</v>
      </c>
      <c r="C21" s="4312">
        <v>1</v>
      </c>
      <c r="D21" s="2634" t="s">
        <v>374</v>
      </c>
      <c r="E21" s="531">
        <v>260</v>
      </c>
      <c r="F21" s="530"/>
      <c r="G21" s="530"/>
    </row>
    <row r="22" spans="1:12">
      <c r="A22" s="4312"/>
      <c r="B22" s="4325"/>
      <c r="C22" s="4312"/>
      <c r="D22" s="2634" t="s">
        <v>371</v>
      </c>
      <c r="E22" s="531">
        <v>210</v>
      </c>
      <c r="F22" s="531"/>
      <c r="G22" s="531"/>
    </row>
    <row r="23" spans="1:12">
      <c r="A23" s="4312"/>
      <c r="B23" s="4325"/>
      <c r="C23" s="4312"/>
      <c r="D23" s="2634" t="s">
        <v>373</v>
      </c>
      <c r="E23" s="531">
        <v>140</v>
      </c>
      <c r="F23" s="531"/>
      <c r="G23" s="531"/>
    </row>
    <row r="24" spans="1:12">
      <c r="A24" s="4312"/>
      <c r="B24" s="4325"/>
      <c r="C24" s="4312">
        <v>2</v>
      </c>
      <c r="D24" s="2634" t="s">
        <v>371</v>
      </c>
      <c r="E24" s="531">
        <v>270</v>
      </c>
      <c r="F24" s="531">
        <v>0.1</v>
      </c>
      <c r="G24" s="538">
        <f>E24*F24/100</f>
        <v>0.27</v>
      </c>
    </row>
    <row r="25" spans="1:12">
      <c r="A25" s="4312"/>
      <c r="B25" s="4325"/>
      <c r="C25" s="4312"/>
      <c r="D25" s="2634" t="s">
        <v>373</v>
      </c>
      <c r="E25" s="531">
        <v>180</v>
      </c>
      <c r="F25" s="531"/>
      <c r="G25" s="531"/>
    </row>
    <row r="26" spans="1:12">
      <c r="A26" s="4312"/>
      <c r="B26" s="4325" t="s">
        <v>375</v>
      </c>
      <c r="C26" s="4312">
        <v>1</v>
      </c>
      <c r="D26" s="2634" t="s">
        <v>374</v>
      </c>
      <c r="E26" s="531">
        <v>180</v>
      </c>
      <c r="F26" s="530"/>
      <c r="G26" s="530"/>
    </row>
    <row r="27" spans="1:12">
      <c r="A27" s="4312"/>
      <c r="B27" s="4325"/>
      <c r="C27" s="4312"/>
      <c r="D27" s="2634" t="s">
        <v>371</v>
      </c>
      <c r="E27" s="531">
        <v>160</v>
      </c>
      <c r="F27" s="531"/>
      <c r="G27" s="533">
        <f>E27*F27/100</f>
        <v>0</v>
      </c>
    </row>
    <row r="28" spans="1:12">
      <c r="A28" s="4312"/>
      <c r="B28" s="4325"/>
      <c r="C28" s="4312"/>
      <c r="D28" s="2634" t="s">
        <v>373</v>
      </c>
      <c r="E28" s="531">
        <v>130</v>
      </c>
      <c r="F28" s="532"/>
      <c r="G28" s="531"/>
    </row>
    <row r="29" spans="1:12">
      <c r="A29" s="4312"/>
      <c r="B29" s="4325"/>
      <c r="C29" s="4312">
        <v>2</v>
      </c>
      <c r="D29" s="2634" t="s">
        <v>371</v>
      </c>
      <c r="E29" s="531">
        <v>190</v>
      </c>
      <c r="F29" s="531"/>
      <c r="G29" s="530"/>
    </row>
    <row r="30" spans="1:12">
      <c r="A30" s="4312"/>
      <c r="B30" s="4325"/>
      <c r="C30" s="4312"/>
      <c r="D30" s="2634" t="s">
        <v>373</v>
      </c>
      <c r="E30" s="531">
        <v>160</v>
      </c>
      <c r="F30" s="532"/>
      <c r="G30" s="531"/>
    </row>
    <row r="31" spans="1:12">
      <c r="A31" s="4312" t="s">
        <v>376</v>
      </c>
      <c r="B31" s="2638">
        <v>220</v>
      </c>
      <c r="C31" s="2636" t="s">
        <v>338</v>
      </c>
      <c r="D31" s="2636" t="s">
        <v>338</v>
      </c>
      <c r="E31" s="531">
        <v>3000</v>
      </c>
      <c r="F31" s="532"/>
      <c r="G31" s="531"/>
    </row>
    <row r="32" spans="1:12">
      <c r="A32" s="4312"/>
      <c r="B32" s="2638">
        <v>110</v>
      </c>
      <c r="C32" s="2636" t="s">
        <v>338</v>
      </c>
      <c r="D32" s="2636" t="s">
        <v>338</v>
      </c>
      <c r="E32" s="531">
        <v>2300</v>
      </c>
      <c r="F32" s="532"/>
      <c r="G32" s="531"/>
    </row>
    <row r="33" spans="1:13">
      <c r="A33" s="4312" t="s">
        <v>501</v>
      </c>
      <c r="B33" s="4312"/>
      <c r="C33" s="4312"/>
      <c r="D33" s="4312"/>
      <c r="E33" s="4312"/>
      <c r="F33" s="533"/>
      <c r="G33" s="538">
        <f>SUM(G13:G32)</f>
        <v>0.27</v>
      </c>
      <c r="H33" s="58"/>
      <c r="I33" s="57"/>
      <c r="J33" s="57"/>
      <c r="K33" s="57"/>
      <c r="L33" s="57"/>
    </row>
    <row r="34" spans="1:13">
      <c r="A34" s="4313" t="s">
        <v>370</v>
      </c>
      <c r="B34" s="4314">
        <v>35</v>
      </c>
      <c r="C34" s="4313">
        <v>1</v>
      </c>
      <c r="D34" s="2634" t="s">
        <v>374</v>
      </c>
      <c r="E34" s="531">
        <v>170</v>
      </c>
      <c r="F34" s="530"/>
      <c r="G34" s="530"/>
    </row>
    <row r="35" spans="1:13">
      <c r="A35" s="4313"/>
      <c r="B35" s="4314"/>
      <c r="C35" s="4313"/>
      <c r="D35" s="2634" t="s">
        <v>371</v>
      </c>
      <c r="E35" s="531">
        <v>140</v>
      </c>
      <c r="F35" s="531"/>
      <c r="G35" s="531"/>
    </row>
    <row r="36" spans="1:13">
      <c r="A36" s="4313"/>
      <c r="B36" s="4314"/>
      <c r="C36" s="4313"/>
      <c r="D36" s="2634" t="s">
        <v>373</v>
      </c>
      <c r="E36" s="531">
        <v>120</v>
      </c>
      <c r="F36" s="531"/>
      <c r="G36" s="538">
        <f>E36*F36/100</f>
        <v>0</v>
      </c>
    </row>
    <row r="37" spans="1:13">
      <c r="A37" s="4313"/>
      <c r="B37" s="4314"/>
      <c r="C37" s="4313">
        <v>2</v>
      </c>
      <c r="D37" s="2634" t="s">
        <v>371</v>
      </c>
      <c r="E37" s="531">
        <v>180</v>
      </c>
      <c r="F37" s="531"/>
      <c r="G37" s="538">
        <f>E37*F37/100</f>
        <v>0</v>
      </c>
    </row>
    <row r="38" spans="1:13">
      <c r="A38" s="4313"/>
      <c r="B38" s="4314"/>
      <c r="C38" s="4313"/>
      <c r="D38" s="2634" t="s">
        <v>373</v>
      </c>
      <c r="E38" s="531">
        <v>150</v>
      </c>
      <c r="F38" s="531"/>
      <c r="G38" s="531"/>
    </row>
    <row r="39" spans="1:13">
      <c r="A39" s="4313"/>
      <c r="B39" s="4315" t="s">
        <v>377</v>
      </c>
      <c r="C39" s="4316" t="s">
        <v>338</v>
      </c>
      <c r="D39" s="531" t="s">
        <v>374</v>
      </c>
      <c r="E39" s="531">
        <v>160</v>
      </c>
      <c r="F39" s="531"/>
      <c r="G39" s="531"/>
    </row>
    <row r="40" spans="1:13" ht="26.4">
      <c r="A40" s="4313"/>
      <c r="B40" s="4315"/>
      <c r="C40" s="4316"/>
      <c r="D40" s="540" t="s">
        <v>378</v>
      </c>
      <c r="E40" s="531">
        <v>140</v>
      </c>
      <c r="F40" s="531"/>
      <c r="G40" s="541">
        <f>E40*F40/100</f>
        <v>0</v>
      </c>
    </row>
    <row r="41" spans="1:13" ht="26.4">
      <c r="A41" s="4313"/>
      <c r="B41" s="4315"/>
      <c r="C41" s="4316"/>
      <c r="D41" s="540" t="s">
        <v>379</v>
      </c>
      <c r="E41" s="531">
        <v>110</v>
      </c>
      <c r="F41" s="2128">
        <v>5</v>
      </c>
      <c r="G41" s="541">
        <f>E41*F41/100</f>
        <v>5.5</v>
      </c>
      <c r="J41" s="2129" t="s">
        <v>1608</v>
      </c>
      <c r="K41" s="201"/>
      <c r="L41" s="201"/>
      <c r="M41" s="201"/>
    </row>
    <row r="42" spans="1:13">
      <c r="A42" s="4317" t="s">
        <v>376</v>
      </c>
      <c r="B42" s="2638" t="s">
        <v>380</v>
      </c>
      <c r="C42" s="2636" t="s">
        <v>338</v>
      </c>
      <c r="D42" s="2636" t="s">
        <v>338</v>
      </c>
      <c r="E42" s="531">
        <v>470</v>
      </c>
      <c r="F42" s="531"/>
      <c r="G42" s="531"/>
      <c r="J42" s="2129"/>
      <c r="K42" s="201"/>
      <c r="L42" s="201"/>
      <c r="M42" s="201"/>
    </row>
    <row r="43" spans="1:13">
      <c r="A43" s="4317"/>
      <c r="B43" s="542" t="s">
        <v>381</v>
      </c>
      <c r="C43" s="543" t="s">
        <v>338</v>
      </c>
      <c r="D43" s="543" t="s">
        <v>338</v>
      </c>
      <c r="E43" s="534">
        <v>350</v>
      </c>
      <c r="F43" s="2303">
        <f>19.01+1.7+1.45</f>
        <v>22.16</v>
      </c>
      <c r="G43" s="541">
        <f>E43*F43/100</f>
        <v>77.56</v>
      </c>
      <c r="J43" s="2129"/>
      <c r="K43" s="201">
        <f>100.2+100+130+100+200+140+140+100+200+180+100+200+100+600+250+250+100+250+100+270+50+100+70+100+70+120+100+100</f>
        <v>4320.2</v>
      </c>
      <c r="L43" s="201"/>
      <c r="M43" s="201"/>
    </row>
    <row r="44" spans="1:13">
      <c r="A44" s="4318" t="s">
        <v>382</v>
      </c>
      <c r="B44" s="4318"/>
      <c r="C44" s="4318"/>
      <c r="D44" s="4318"/>
      <c r="E44" s="4318"/>
      <c r="F44" s="535"/>
      <c r="G44" s="541">
        <f>SUM(G34:G43)</f>
        <v>83.06</v>
      </c>
      <c r="H44" s="59"/>
      <c r="J44" s="2129"/>
      <c r="K44" s="201"/>
      <c r="L44" s="201"/>
      <c r="M44" s="201"/>
    </row>
    <row r="45" spans="1:13">
      <c r="A45" s="4313" t="s">
        <v>370</v>
      </c>
      <c r="B45" s="4319" t="s">
        <v>383</v>
      </c>
      <c r="C45" s="4313" t="s">
        <v>338</v>
      </c>
      <c r="D45" s="531" t="s">
        <v>374</v>
      </c>
      <c r="E45" s="531">
        <v>260</v>
      </c>
      <c r="F45" s="531"/>
      <c r="G45" s="531"/>
      <c r="J45" s="2129"/>
      <c r="K45" s="201"/>
      <c r="L45" s="201"/>
      <c r="M45" s="201"/>
    </row>
    <row r="46" spans="1:13" ht="26.4">
      <c r="A46" s="4313"/>
      <c r="B46" s="4319"/>
      <c r="C46" s="4313"/>
      <c r="D46" s="540" t="s">
        <v>378</v>
      </c>
      <c r="E46" s="531">
        <v>220</v>
      </c>
      <c r="F46" s="531"/>
      <c r="G46" s="541">
        <f>E46*F46/100</f>
        <v>0</v>
      </c>
      <c r="J46" s="2129"/>
      <c r="K46" s="201"/>
      <c r="L46" s="201"/>
      <c r="M46" s="201"/>
    </row>
    <row r="47" spans="1:13" ht="26.4">
      <c r="A47" s="4313"/>
      <c r="B47" s="4319"/>
      <c r="C47" s="4313"/>
      <c r="D47" s="540" t="s">
        <v>379</v>
      </c>
      <c r="E47" s="531">
        <v>150</v>
      </c>
      <c r="F47" s="2130">
        <f>0.5+1.8</f>
        <v>2.2999999999999998</v>
      </c>
      <c r="G47" s="541">
        <f>E47*F47/100</f>
        <v>3.45</v>
      </c>
      <c r="J47" s="2129" t="s">
        <v>1608</v>
      </c>
      <c r="K47" s="201"/>
      <c r="L47" s="201"/>
      <c r="M47" s="201"/>
    </row>
    <row r="48" spans="1:13">
      <c r="A48" s="2634" t="s">
        <v>376</v>
      </c>
      <c r="B48" s="2635" t="s">
        <v>384</v>
      </c>
      <c r="C48" s="2636" t="s">
        <v>338</v>
      </c>
      <c r="D48" s="2636" t="s">
        <v>338</v>
      </c>
      <c r="E48" s="531">
        <v>270</v>
      </c>
      <c r="F48" s="2304">
        <f>62.46+0.15+0.08+0.12</f>
        <v>62.809999999999995</v>
      </c>
      <c r="G48" s="541">
        <f>E48*F48/100</f>
        <v>169.58699999999996</v>
      </c>
      <c r="K48" s="201"/>
      <c r="L48" s="201"/>
      <c r="M48" s="201"/>
    </row>
    <row r="49" spans="1:12">
      <c r="A49" s="4311" t="s">
        <v>387</v>
      </c>
      <c r="B49" s="4311"/>
      <c r="C49" s="4311"/>
      <c r="D49" s="4311"/>
      <c r="E49" s="4311"/>
      <c r="F49" s="4311"/>
      <c r="G49" s="541">
        <f>G45+G46+G47+G48</f>
        <v>173.03699999999995</v>
      </c>
      <c r="J49" s="2131">
        <f>G33+G44+G49</f>
        <v>256.36699999999996</v>
      </c>
      <c r="K49" s="132"/>
      <c r="L49" s="2131"/>
    </row>
    <row r="50" spans="1:12">
      <c r="A50" s="50"/>
      <c r="B50" s="51"/>
      <c r="C50" s="50"/>
      <c r="D50" s="5"/>
      <c r="E50" s="5"/>
      <c r="F50" s="5"/>
      <c r="G50" s="5"/>
      <c r="J50" s="78"/>
      <c r="K50" s="78"/>
      <c r="L50" s="78"/>
    </row>
    <row r="51" spans="1:12" ht="9.75" customHeight="1"/>
    <row r="52" spans="1:12" s="2668" customFormat="1" ht="23.25" customHeight="1">
      <c r="A52" s="2665" t="s">
        <v>1266</v>
      </c>
      <c r="B52" s="2666"/>
      <c r="C52" s="2667"/>
      <c r="H52" s="2669"/>
    </row>
    <row r="53" spans="1:12" s="2668" customFormat="1" ht="15" customHeight="1">
      <c r="A53" s="2665" t="s">
        <v>1304</v>
      </c>
      <c r="B53" s="2670"/>
      <c r="C53" s="2667"/>
      <c r="G53" s="2671" t="s">
        <v>1268</v>
      </c>
    </row>
    <row r="54" spans="1:12" s="52" customFormat="1">
      <c r="F54" s="53"/>
    </row>
    <row r="55" spans="1:12" s="52" customFormat="1">
      <c r="A55" s="98"/>
      <c r="F55" s="53"/>
    </row>
    <row r="56" spans="1:12" s="52" customFormat="1">
      <c r="A56" s="98"/>
      <c r="F56" s="53"/>
    </row>
  </sheetData>
  <mergeCells count="30">
    <mergeCell ref="A10:A11"/>
    <mergeCell ref="B10:B11"/>
    <mergeCell ref="C10:C11"/>
    <mergeCell ref="D10:D11"/>
    <mergeCell ref="A13:A30"/>
    <mergeCell ref="B15:B16"/>
    <mergeCell ref="C15:C16"/>
    <mergeCell ref="B17:B20"/>
    <mergeCell ref="C17:C18"/>
    <mergeCell ref="C19:C20"/>
    <mergeCell ref="B21:B25"/>
    <mergeCell ref="C21:C23"/>
    <mergeCell ref="C24:C25"/>
    <mergeCell ref="B26:B30"/>
    <mergeCell ref="C26:C28"/>
    <mergeCell ref="C29:C30"/>
    <mergeCell ref="A49:F49"/>
    <mergeCell ref="A31:A32"/>
    <mergeCell ref="A33:E33"/>
    <mergeCell ref="A34:A41"/>
    <mergeCell ref="B34:B38"/>
    <mergeCell ref="C34:C36"/>
    <mergeCell ref="C37:C38"/>
    <mergeCell ref="B39:B41"/>
    <mergeCell ref="C39:C41"/>
    <mergeCell ref="A42:A43"/>
    <mergeCell ref="A44:E44"/>
    <mergeCell ref="A45:A47"/>
    <mergeCell ref="B45:B47"/>
    <mergeCell ref="C45:C47"/>
  </mergeCells>
  <printOptions horizontalCentered="1"/>
  <pageMargins left="0.78740157480314965" right="0.78740157480314965" top="0.78740157480314965" bottom="0.11811023622047245" header="0.51181102362204722" footer="3.937007874015748E-2"/>
  <pageSetup paperSize="9" scale="90" orientation="portrait" r:id="rId1"/>
  <headerFooter alignWithMargins="0"/>
  <colBreaks count="1" manualBreakCount="1">
    <brk id="7" max="1048575" man="1"/>
  </colBreaks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6">
    <tabColor rgb="FFCCFF66"/>
  </sheetPr>
  <dimension ref="A1:K71"/>
  <sheetViews>
    <sheetView workbookViewId="0">
      <pane xSplit="3" ySplit="7" topLeftCell="D13" activePane="bottomRight" state="frozenSplit"/>
      <selection activeCell="K8" sqref="K8"/>
      <selection pane="topRight" activeCell="K8" sqref="K8"/>
      <selection pane="bottomLeft" activeCell="K8" sqref="K8"/>
      <selection pane="bottomRight" activeCell="K8" sqref="K8"/>
    </sheetView>
  </sheetViews>
  <sheetFormatPr defaultRowHeight="13.2"/>
  <cols>
    <col min="1" max="1" width="9.109375" style="10"/>
    <col min="2" max="2" width="18" style="10" customWidth="1"/>
    <col min="3" max="3" width="12.88671875" style="10" customWidth="1"/>
    <col min="4" max="4" width="12.33203125" style="10" customWidth="1"/>
    <col min="5" max="5" width="11" style="10" customWidth="1"/>
    <col min="6" max="6" width="10.5546875" style="10" customWidth="1"/>
    <col min="7" max="257" width="9.109375" style="10"/>
    <col min="258" max="258" width="18" style="10" customWidth="1"/>
    <col min="259" max="259" width="12.88671875" style="10" customWidth="1"/>
    <col min="260" max="260" width="12.33203125" style="10" customWidth="1"/>
    <col min="261" max="261" width="11" style="10" customWidth="1"/>
    <col min="262" max="262" width="10.5546875" style="10" customWidth="1"/>
    <col min="263" max="513" width="9.109375" style="10"/>
    <col min="514" max="514" width="18" style="10" customWidth="1"/>
    <col min="515" max="515" width="12.88671875" style="10" customWidth="1"/>
    <col min="516" max="516" width="12.33203125" style="10" customWidth="1"/>
    <col min="517" max="517" width="11" style="10" customWidth="1"/>
    <col min="518" max="518" width="10.5546875" style="10" customWidth="1"/>
    <col min="519" max="769" width="9.109375" style="10"/>
    <col min="770" max="770" width="18" style="10" customWidth="1"/>
    <col min="771" max="771" width="12.88671875" style="10" customWidth="1"/>
    <col min="772" max="772" width="12.33203125" style="10" customWidth="1"/>
    <col min="773" max="773" width="11" style="10" customWidth="1"/>
    <col min="774" max="774" width="10.5546875" style="10" customWidth="1"/>
    <col min="775" max="1025" width="9.109375" style="10"/>
    <col min="1026" max="1026" width="18" style="10" customWidth="1"/>
    <col min="1027" max="1027" width="12.88671875" style="10" customWidth="1"/>
    <col min="1028" max="1028" width="12.33203125" style="10" customWidth="1"/>
    <col min="1029" max="1029" width="11" style="10" customWidth="1"/>
    <col min="1030" max="1030" width="10.5546875" style="10" customWidth="1"/>
    <col min="1031" max="1281" width="9.109375" style="10"/>
    <col min="1282" max="1282" width="18" style="10" customWidth="1"/>
    <col min="1283" max="1283" width="12.88671875" style="10" customWidth="1"/>
    <col min="1284" max="1284" width="12.33203125" style="10" customWidth="1"/>
    <col min="1285" max="1285" width="11" style="10" customWidth="1"/>
    <col min="1286" max="1286" width="10.5546875" style="10" customWidth="1"/>
    <col min="1287" max="1537" width="9.109375" style="10"/>
    <col min="1538" max="1538" width="18" style="10" customWidth="1"/>
    <col min="1539" max="1539" width="12.88671875" style="10" customWidth="1"/>
    <col min="1540" max="1540" width="12.33203125" style="10" customWidth="1"/>
    <col min="1541" max="1541" width="11" style="10" customWidth="1"/>
    <col min="1542" max="1542" width="10.5546875" style="10" customWidth="1"/>
    <col min="1543" max="1793" width="9.109375" style="10"/>
    <col min="1794" max="1794" width="18" style="10" customWidth="1"/>
    <col min="1795" max="1795" width="12.88671875" style="10" customWidth="1"/>
    <col min="1796" max="1796" width="12.33203125" style="10" customWidth="1"/>
    <col min="1797" max="1797" width="11" style="10" customWidth="1"/>
    <col min="1798" max="1798" width="10.5546875" style="10" customWidth="1"/>
    <col min="1799" max="2049" width="9.109375" style="10"/>
    <col min="2050" max="2050" width="18" style="10" customWidth="1"/>
    <col min="2051" max="2051" width="12.88671875" style="10" customWidth="1"/>
    <col min="2052" max="2052" width="12.33203125" style="10" customWidth="1"/>
    <col min="2053" max="2053" width="11" style="10" customWidth="1"/>
    <col min="2054" max="2054" width="10.5546875" style="10" customWidth="1"/>
    <col min="2055" max="2305" width="9.109375" style="10"/>
    <col min="2306" max="2306" width="18" style="10" customWidth="1"/>
    <col min="2307" max="2307" width="12.88671875" style="10" customWidth="1"/>
    <col min="2308" max="2308" width="12.33203125" style="10" customWidth="1"/>
    <col min="2309" max="2309" width="11" style="10" customWidth="1"/>
    <col min="2310" max="2310" width="10.5546875" style="10" customWidth="1"/>
    <col min="2311" max="2561" width="9.109375" style="10"/>
    <col min="2562" max="2562" width="18" style="10" customWidth="1"/>
    <col min="2563" max="2563" width="12.88671875" style="10" customWidth="1"/>
    <col min="2564" max="2564" width="12.33203125" style="10" customWidth="1"/>
    <col min="2565" max="2565" width="11" style="10" customWidth="1"/>
    <col min="2566" max="2566" width="10.5546875" style="10" customWidth="1"/>
    <col min="2567" max="2817" width="9.109375" style="10"/>
    <col min="2818" max="2818" width="18" style="10" customWidth="1"/>
    <col min="2819" max="2819" width="12.88671875" style="10" customWidth="1"/>
    <col min="2820" max="2820" width="12.33203125" style="10" customWidth="1"/>
    <col min="2821" max="2821" width="11" style="10" customWidth="1"/>
    <col min="2822" max="2822" width="10.5546875" style="10" customWidth="1"/>
    <col min="2823" max="3073" width="9.109375" style="10"/>
    <col min="3074" max="3074" width="18" style="10" customWidth="1"/>
    <col min="3075" max="3075" width="12.88671875" style="10" customWidth="1"/>
    <col min="3076" max="3076" width="12.33203125" style="10" customWidth="1"/>
    <col min="3077" max="3077" width="11" style="10" customWidth="1"/>
    <col min="3078" max="3078" width="10.5546875" style="10" customWidth="1"/>
    <col min="3079" max="3329" width="9.109375" style="10"/>
    <col min="3330" max="3330" width="18" style="10" customWidth="1"/>
    <col min="3331" max="3331" width="12.88671875" style="10" customWidth="1"/>
    <col min="3332" max="3332" width="12.33203125" style="10" customWidth="1"/>
    <col min="3333" max="3333" width="11" style="10" customWidth="1"/>
    <col min="3334" max="3334" width="10.5546875" style="10" customWidth="1"/>
    <col min="3335" max="3585" width="9.109375" style="10"/>
    <col min="3586" max="3586" width="18" style="10" customWidth="1"/>
    <col min="3587" max="3587" width="12.88671875" style="10" customWidth="1"/>
    <col min="3588" max="3588" width="12.33203125" style="10" customWidth="1"/>
    <col min="3589" max="3589" width="11" style="10" customWidth="1"/>
    <col min="3590" max="3590" width="10.5546875" style="10" customWidth="1"/>
    <col min="3591" max="3841" width="9.109375" style="10"/>
    <col min="3842" max="3842" width="18" style="10" customWidth="1"/>
    <col min="3843" max="3843" width="12.88671875" style="10" customWidth="1"/>
    <col min="3844" max="3844" width="12.33203125" style="10" customWidth="1"/>
    <col min="3845" max="3845" width="11" style="10" customWidth="1"/>
    <col min="3846" max="3846" width="10.5546875" style="10" customWidth="1"/>
    <col min="3847" max="4097" width="9.109375" style="10"/>
    <col min="4098" max="4098" width="18" style="10" customWidth="1"/>
    <col min="4099" max="4099" width="12.88671875" style="10" customWidth="1"/>
    <col min="4100" max="4100" width="12.33203125" style="10" customWidth="1"/>
    <col min="4101" max="4101" width="11" style="10" customWidth="1"/>
    <col min="4102" max="4102" width="10.5546875" style="10" customWidth="1"/>
    <col min="4103" max="4353" width="9.109375" style="10"/>
    <col min="4354" max="4354" width="18" style="10" customWidth="1"/>
    <col min="4355" max="4355" width="12.88671875" style="10" customWidth="1"/>
    <col min="4356" max="4356" width="12.33203125" style="10" customWidth="1"/>
    <col min="4357" max="4357" width="11" style="10" customWidth="1"/>
    <col min="4358" max="4358" width="10.5546875" style="10" customWidth="1"/>
    <col min="4359" max="4609" width="9.109375" style="10"/>
    <col min="4610" max="4610" width="18" style="10" customWidth="1"/>
    <col min="4611" max="4611" width="12.88671875" style="10" customWidth="1"/>
    <col min="4612" max="4612" width="12.33203125" style="10" customWidth="1"/>
    <col min="4613" max="4613" width="11" style="10" customWidth="1"/>
    <col min="4614" max="4614" width="10.5546875" style="10" customWidth="1"/>
    <col min="4615" max="4865" width="9.109375" style="10"/>
    <col min="4866" max="4866" width="18" style="10" customWidth="1"/>
    <col min="4867" max="4867" width="12.88671875" style="10" customWidth="1"/>
    <col min="4868" max="4868" width="12.33203125" style="10" customWidth="1"/>
    <col min="4869" max="4869" width="11" style="10" customWidth="1"/>
    <col min="4870" max="4870" width="10.5546875" style="10" customWidth="1"/>
    <col min="4871" max="5121" width="9.109375" style="10"/>
    <col min="5122" max="5122" width="18" style="10" customWidth="1"/>
    <col min="5123" max="5123" width="12.88671875" style="10" customWidth="1"/>
    <col min="5124" max="5124" width="12.33203125" style="10" customWidth="1"/>
    <col min="5125" max="5125" width="11" style="10" customWidth="1"/>
    <col min="5126" max="5126" width="10.5546875" style="10" customWidth="1"/>
    <col min="5127" max="5377" width="9.109375" style="10"/>
    <col min="5378" max="5378" width="18" style="10" customWidth="1"/>
    <col min="5379" max="5379" width="12.88671875" style="10" customWidth="1"/>
    <col min="5380" max="5380" width="12.33203125" style="10" customWidth="1"/>
    <col min="5381" max="5381" width="11" style="10" customWidth="1"/>
    <col min="5382" max="5382" width="10.5546875" style="10" customWidth="1"/>
    <col min="5383" max="5633" width="9.109375" style="10"/>
    <col min="5634" max="5634" width="18" style="10" customWidth="1"/>
    <col min="5635" max="5635" width="12.88671875" style="10" customWidth="1"/>
    <col min="5636" max="5636" width="12.33203125" style="10" customWidth="1"/>
    <col min="5637" max="5637" width="11" style="10" customWidth="1"/>
    <col min="5638" max="5638" width="10.5546875" style="10" customWidth="1"/>
    <col min="5639" max="5889" width="9.109375" style="10"/>
    <col min="5890" max="5890" width="18" style="10" customWidth="1"/>
    <col min="5891" max="5891" width="12.88671875" style="10" customWidth="1"/>
    <col min="5892" max="5892" width="12.33203125" style="10" customWidth="1"/>
    <col min="5893" max="5893" width="11" style="10" customWidth="1"/>
    <col min="5894" max="5894" width="10.5546875" style="10" customWidth="1"/>
    <col min="5895" max="6145" width="9.109375" style="10"/>
    <col min="6146" max="6146" width="18" style="10" customWidth="1"/>
    <col min="6147" max="6147" width="12.88671875" style="10" customWidth="1"/>
    <col min="6148" max="6148" width="12.33203125" style="10" customWidth="1"/>
    <col min="6149" max="6149" width="11" style="10" customWidth="1"/>
    <col min="6150" max="6150" width="10.5546875" style="10" customWidth="1"/>
    <col min="6151" max="6401" width="9.109375" style="10"/>
    <col min="6402" max="6402" width="18" style="10" customWidth="1"/>
    <col min="6403" max="6403" width="12.88671875" style="10" customWidth="1"/>
    <col min="6404" max="6404" width="12.33203125" style="10" customWidth="1"/>
    <col min="6405" max="6405" width="11" style="10" customWidth="1"/>
    <col min="6406" max="6406" width="10.5546875" style="10" customWidth="1"/>
    <col min="6407" max="6657" width="9.109375" style="10"/>
    <col min="6658" max="6658" width="18" style="10" customWidth="1"/>
    <col min="6659" max="6659" width="12.88671875" style="10" customWidth="1"/>
    <col min="6660" max="6660" width="12.33203125" style="10" customWidth="1"/>
    <col min="6661" max="6661" width="11" style="10" customWidth="1"/>
    <col min="6662" max="6662" width="10.5546875" style="10" customWidth="1"/>
    <col min="6663" max="6913" width="9.109375" style="10"/>
    <col min="6914" max="6914" width="18" style="10" customWidth="1"/>
    <col min="6915" max="6915" width="12.88671875" style="10" customWidth="1"/>
    <col min="6916" max="6916" width="12.33203125" style="10" customWidth="1"/>
    <col min="6917" max="6917" width="11" style="10" customWidth="1"/>
    <col min="6918" max="6918" width="10.5546875" style="10" customWidth="1"/>
    <col min="6919" max="7169" width="9.109375" style="10"/>
    <col min="7170" max="7170" width="18" style="10" customWidth="1"/>
    <col min="7171" max="7171" width="12.88671875" style="10" customWidth="1"/>
    <col min="7172" max="7172" width="12.33203125" style="10" customWidth="1"/>
    <col min="7173" max="7173" width="11" style="10" customWidth="1"/>
    <col min="7174" max="7174" width="10.5546875" style="10" customWidth="1"/>
    <col min="7175" max="7425" width="9.109375" style="10"/>
    <col min="7426" max="7426" width="18" style="10" customWidth="1"/>
    <col min="7427" max="7427" width="12.88671875" style="10" customWidth="1"/>
    <col min="7428" max="7428" width="12.33203125" style="10" customWidth="1"/>
    <col min="7429" max="7429" width="11" style="10" customWidth="1"/>
    <col min="7430" max="7430" width="10.5546875" style="10" customWidth="1"/>
    <col min="7431" max="7681" width="9.109375" style="10"/>
    <col min="7682" max="7682" width="18" style="10" customWidth="1"/>
    <col min="7683" max="7683" width="12.88671875" style="10" customWidth="1"/>
    <col min="7684" max="7684" width="12.33203125" style="10" customWidth="1"/>
    <col min="7685" max="7685" width="11" style="10" customWidth="1"/>
    <col min="7686" max="7686" width="10.5546875" style="10" customWidth="1"/>
    <col min="7687" max="7937" width="9.109375" style="10"/>
    <col min="7938" max="7938" width="18" style="10" customWidth="1"/>
    <col min="7939" max="7939" width="12.88671875" style="10" customWidth="1"/>
    <col min="7940" max="7940" width="12.33203125" style="10" customWidth="1"/>
    <col min="7941" max="7941" width="11" style="10" customWidth="1"/>
    <col min="7942" max="7942" width="10.5546875" style="10" customWidth="1"/>
    <col min="7943" max="8193" width="9.109375" style="10"/>
    <col min="8194" max="8194" width="18" style="10" customWidth="1"/>
    <col min="8195" max="8195" width="12.88671875" style="10" customWidth="1"/>
    <col min="8196" max="8196" width="12.33203125" style="10" customWidth="1"/>
    <col min="8197" max="8197" width="11" style="10" customWidth="1"/>
    <col min="8198" max="8198" width="10.5546875" style="10" customWidth="1"/>
    <col min="8199" max="8449" width="9.109375" style="10"/>
    <col min="8450" max="8450" width="18" style="10" customWidth="1"/>
    <col min="8451" max="8451" width="12.88671875" style="10" customWidth="1"/>
    <col min="8452" max="8452" width="12.33203125" style="10" customWidth="1"/>
    <col min="8453" max="8453" width="11" style="10" customWidth="1"/>
    <col min="8454" max="8454" width="10.5546875" style="10" customWidth="1"/>
    <col min="8455" max="8705" width="9.109375" style="10"/>
    <col min="8706" max="8706" width="18" style="10" customWidth="1"/>
    <col min="8707" max="8707" width="12.88671875" style="10" customWidth="1"/>
    <col min="8708" max="8708" width="12.33203125" style="10" customWidth="1"/>
    <col min="8709" max="8709" width="11" style="10" customWidth="1"/>
    <col min="8710" max="8710" width="10.5546875" style="10" customWidth="1"/>
    <col min="8711" max="8961" width="9.109375" style="10"/>
    <col min="8962" max="8962" width="18" style="10" customWidth="1"/>
    <col min="8963" max="8963" width="12.88671875" style="10" customWidth="1"/>
    <col min="8964" max="8964" width="12.33203125" style="10" customWidth="1"/>
    <col min="8965" max="8965" width="11" style="10" customWidth="1"/>
    <col min="8966" max="8966" width="10.5546875" style="10" customWidth="1"/>
    <col min="8967" max="9217" width="9.109375" style="10"/>
    <col min="9218" max="9218" width="18" style="10" customWidth="1"/>
    <col min="9219" max="9219" width="12.88671875" style="10" customWidth="1"/>
    <col min="9220" max="9220" width="12.33203125" style="10" customWidth="1"/>
    <col min="9221" max="9221" width="11" style="10" customWidth="1"/>
    <col min="9222" max="9222" width="10.5546875" style="10" customWidth="1"/>
    <col min="9223" max="9473" width="9.109375" style="10"/>
    <col min="9474" max="9474" width="18" style="10" customWidth="1"/>
    <col min="9475" max="9475" width="12.88671875" style="10" customWidth="1"/>
    <col min="9476" max="9476" width="12.33203125" style="10" customWidth="1"/>
    <col min="9477" max="9477" width="11" style="10" customWidth="1"/>
    <col min="9478" max="9478" width="10.5546875" style="10" customWidth="1"/>
    <col min="9479" max="9729" width="9.109375" style="10"/>
    <col min="9730" max="9730" width="18" style="10" customWidth="1"/>
    <col min="9731" max="9731" width="12.88671875" style="10" customWidth="1"/>
    <col min="9732" max="9732" width="12.33203125" style="10" customWidth="1"/>
    <col min="9733" max="9733" width="11" style="10" customWidth="1"/>
    <col min="9734" max="9734" width="10.5546875" style="10" customWidth="1"/>
    <col min="9735" max="9985" width="9.109375" style="10"/>
    <col min="9986" max="9986" width="18" style="10" customWidth="1"/>
    <col min="9987" max="9987" width="12.88671875" style="10" customWidth="1"/>
    <col min="9988" max="9988" width="12.33203125" style="10" customWidth="1"/>
    <col min="9989" max="9989" width="11" style="10" customWidth="1"/>
    <col min="9990" max="9990" width="10.5546875" style="10" customWidth="1"/>
    <col min="9991" max="10241" width="9.109375" style="10"/>
    <col min="10242" max="10242" width="18" style="10" customWidth="1"/>
    <col min="10243" max="10243" width="12.88671875" style="10" customWidth="1"/>
    <col min="10244" max="10244" width="12.33203125" style="10" customWidth="1"/>
    <col min="10245" max="10245" width="11" style="10" customWidth="1"/>
    <col min="10246" max="10246" width="10.5546875" style="10" customWidth="1"/>
    <col min="10247" max="10497" width="9.109375" style="10"/>
    <col min="10498" max="10498" width="18" style="10" customWidth="1"/>
    <col min="10499" max="10499" width="12.88671875" style="10" customWidth="1"/>
    <col min="10500" max="10500" width="12.33203125" style="10" customWidth="1"/>
    <col min="10501" max="10501" width="11" style="10" customWidth="1"/>
    <col min="10502" max="10502" width="10.5546875" style="10" customWidth="1"/>
    <col min="10503" max="10753" width="9.109375" style="10"/>
    <col min="10754" max="10754" width="18" style="10" customWidth="1"/>
    <col min="10755" max="10755" width="12.88671875" style="10" customWidth="1"/>
    <col min="10756" max="10756" width="12.33203125" style="10" customWidth="1"/>
    <col min="10757" max="10757" width="11" style="10" customWidth="1"/>
    <col min="10758" max="10758" width="10.5546875" style="10" customWidth="1"/>
    <col min="10759" max="11009" width="9.109375" style="10"/>
    <col min="11010" max="11010" width="18" style="10" customWidth="1"/>
    <col min="11011" max="11011" width="12.88671875" style="10" customWidth="1"/>
    <col min="11012" max="11012" width="12.33203125" style="10" customWidth="1"/>
    <col min="11013" max="11013" width="11" style="10" customWidth="1"/>
    <col min="11014" max="11014" width="10.5546875" style="10" customWidth="1"/>
    <col min="11015" max="11265" width="9.109375" style="10"/>
    <col min="11266" max="11266" width="18" style="10" customWidth="1"/>
    <col min="11267" max="11267" width="12.88671875" style="10" customWidth="1"/>
    <col min="11268" max="11268" width="12.33203125" style="10" customWidth="1"/>
    <col min="11269" max="11269" width="11" style="10" customWidth="1"/>
    <col min="11270" max="11270" width="10.5546875" style="10" customWidth="1"/>
    <col min="11271" max="11521" width="9.109375" style="10"/>
    <col min="11522" max="11522" width="18" style="10" customWidth="1"/>
    <col min="11523" max="11523" width="12.88671875" style="10" customWidth="1"/>
    <col min="11524" max="11524" width="12.33203125" style="10" customWidth="1"/>
    <col min="11525" max="11525" width="11" style="10" customWidth="1"/>
    <col min="11526" max="11526" width="10.5546875" style="10" customWidth="1"/>
    <col min="11527" max="11777" width="9.109375" style="10"/>
    <col min="11778" max="11778" width="18" style="10" customWidth="1"/>
    <col min="11779" max="11779" width="12.88671875" style="10" customWidth="1"/>
    <col min="11780" max="11780" width="12.33203125" style="10" customWidth="1"/>
    <col min="11781" max="11781" width="11" style="10" customWidth="1"/>
    <col min="11782" max="11782" width="10.5546875" style="10" customWidth="1"/>
    <col min="11783" max="12033" width="9.109375" style="10"/>
    <col min="12034" max="12034" width="18" style="10" customWidth="1"/>
    <col min="12035" max="12035" width="12.88671875" style="10" customWidth="1"/>
    <col min="12036" max="12036" width="12.33203125" style="10" customWidth="1"/>
    <col min="12037" max="12037" width="11" style="10" customWidth="1"/>
    <col min="12038" max="12038" width="10.5546875" style="10" customWidth="1"/>
    <col min="12039" max="12289" width="9.109375" style="10"/>
    <col min="12290" max="12290" width="18" style="10" customWidth="1"/>
    <col min="12291" max="12291" width="12.88671875" style="10" customWidth="1"/>
    <col min="12292" max="12292" width="12.33203125" style="10" customWidth="1"/>
    <col min="12293" max="12293" width="11" style="10" customWidth="1"/>
    <col min="12294" max="12294" width="10.5546875" style="10" customWidth="1"/>
    <col min="12295" max="12545" width="9.109375" style="10"/>
    <col min="12546" max="12546" width="18" style="10" customWidth="1"/>
    <col min="12547" max="12547" width="12.88671875" style="10" customWidth="1"/>
    <col min="12548" max="12548" width="12.33203125" style="10" customWidth="1"/>
    <col min="12549" max="12549" width="11" style="10" customWidth="1"/>
    <col min="12550" max="12550" width="10.5546875" style="10" customWidth="1"/>
    <col min="12551" max="12801" width="9.109375" style="10"/>
    <col min="12802" max="12802" width="18" style="10" customWidth="1"/>
    <col min="12803" max="12803" width="12.88671875" style="10" customWidth="1"/>
    <col min="12804" max="12804" width="12.33203125" style="10" customWidth="1"/>
    <col min="12805" max="12805" width="11" style="10" customWidth="1"/>
    <col min="12806" max="12806" width="10.5546875" style="10" customWidth="1"/>
    <col min="12807" max="13057" width="9.109375" style="10"/>
    <col min="13058" max="13058" width="18" style="10" customWidth="1"/>
    <col min="13059" max="13059" width="12.88671875" style="10" customWidth="1"/>
    <col min="13060" max="13060" width="12.33203125" style="10" customWidth="1"/>
    <col min="13061" max="13061" width="11" style="10" customWidth="1"/>
    <col min="13062" max="13062" width="10.5546875" style="10" customWidth="1"/>
    <col min="13063" max="13313" width="9.109375" style="10"/>
    <col min="13314" max="13314" width="18" style="10" customWidth="1"/>
    <col min="13315" max="13315" width="12.88671875" style="10" customWidth="1"/>
    <col min="13316" max="13316" width="12.33203125" style="10" customWidth="1"/>
    <col min="13317" max="13317" width="11" style="10" customWidth="1"/>
    <col min="13318" max="13318" width="10.5546875" style="10" customWidth="1"/>
    <col min="13319" max="13569" width="9.109375" style="10"/>
    <col min="13570" max="13570" width="18" style="10" customWidth="1"/>
    <col min="13571" max="13571" width="12.88671875" style="10" customWidth="1"/>
    <col min="13572" max="13572" width="12.33203125" style="10" customWidth="1"/>
    <col min="13573" max="13573" width="11" style="10" customWidth="1"/>
    <col min="13574" max="13574" width="10.5546875" style="10" customWidth="1"/>
    <col min="13575" max="13825" width="9.109375" style="10"/>
    <col min="13826" max="13826" width="18" style="10" customWidth="1"/>
    <col min="13827" max="13827" width="12.88671875" style="10" customWidth="1"/>
    <col min="13828" max="13828" width="12.33203125" style="10" customWidth="1"/>
    <col min="13829" max="13829" width="11" style="10" customWidth="1"/>
    <col min="13830" max="13830" width="10.5546875" style="10" customWidth="1"/>
    <col min="13831" max="14081" width="9.109375" style="10"/>
    <col min="14082" max="14082" width="18" style="10" customWidth="1"/>
    <col min="14083" max="14083" width="12.88671875" style="10" customWidth="1"/>
    <col min="14084" max="14084" width="12.33203125" style="10" customWidth="1"/>
    <col min="14085" max="14085" width="11" style="10" customWidth="1"/>
    <col min="14086" max="14086" width="10.5546875" style="10" customWidth="1"/>
    <col min="14087" max="14337" width="9.109375" style="10"/>
    <col min="14338" max="14338" width="18" style="10" customWidth="1"/>
    <col min="14339" max="14339" width="12.88671875" style="10" customWidth="1"/>
    <col min="14340" max="14340" width="12.33203125" style="10" customWidth="1"/>
    <col min="14341" max="14341" width="11" style="10" customWidth="1"/>
    <col min="14342" max="14342" width="10.5546875" style="10" customWidth="1"/>
    <col min="14343" max="14593" width="9.109375" style="10"/>
    <col min="14594" max="14594" width="18" style="10" customWidth="1"/>
    <col min="14595" max="14595" width="12.88671875" style="10" customWidth="1"/>
    <col min="14596" max="14596" width="12.33203125" style="10" customWidth="1"/>
    <col min="14597" max="14597" width="11" style="10" customWidth="1"/>
    <col min="14598" max="14598" width="10.5546875" style="10" customWidth="1"/>
    <col min="14599" max="14849" width="9.109375" style="10"/>
    <col min="14850" max="14850" width="18" style="10" customWidth="1"/>
    <col min="14851" max="14851" width="12.88671875" style="10" customWidth="1"/>
    <col min="14852" max="14852" width="12.33203125" style="10" customWidth="1"/>
    <col min="14853" max="14853" width="11" style="10" customWidth="1"/>
    <col min="14854" max="14854" width="10.5546875" style="10" customWidth="1"/>
    <col min="14855" max="15105" width="9.109375" style="10"/>
    <col min="15106" max="15106" width="18" style="10" customWidth="1"/>
    <col min="15107" max="15107" width="12.88671875" style="10" customWidth="1"/>
    <col min="15108" max="15108" width="12.33203125" style="10" customWidth="1"/>
    <col min="15109" max="15109" width="11" style="10" customWidth="1"/>
    <col min="15110" max="15110" width="10.5546875" style="10" customWidth="1"/>
    <col min="15111" max="15361" width="9.109375" style="10"/>
    <col min="15362" max="15362" width="18" style="10" customWidth="1"/>
    <col min="15363" max="15363" width="12.88671875" style="10" customWidth="1"/>
    <col min="15364" max="15364" width="12.33203125" style="10" customWidth="1"/>
    <col min="15365" max="15365" width="11" style="10" customWidth="1"/>
    <col min="15366" max="15366" width="10.5546875" style="10" customWidth="1"/>
    <col min="15367" max="15617" width="9.109375" style="10"/>
    <col min="15618" max="15618" width="18" style="10" customWidth="1"/>
    <col min="15619" max="15619" width="12.88671875" style="10" customWidth="1"/>
    <col min="15620" max="15620" width="12.33203125" style="10" customWidth="1"/>
    <col min="15621" max="15621" width="11" style="10" customWidth="1"/>
    <col min="15622" max="15622" width="10.5546875" style="10" customWidth="1"/>
    <col min="15623" max="15873" width="9.109375" style="10"/>
    <col min="15874" max="15874" width="18" style="10" customWidth="1"/>
    <col min="15875" max="15875" width="12.88671875" style="10" customWidth="1"/>
    <col min="15876" max="15876" width="12.33203125" style="10" customWidth="1"/>
    <col min="15877" max="15877" width="11" style="10" customWidth="1"/>
    <col min="15878" max="15878" width="10.5546875" style="10" customWidth="1"/>
    <col min="15879" max="16129" width="9.109375" style="10"/>
    <col min="16130" max="16130" width="18" style="10" customWidth="1"/>
    <col min="16131" max="16131" width="12.88671875" style="10" customWidth="1"/>
    <col min="16132" max="16132" width="12.33203125" style="10" customWidth="1"/>
    <col min="16133" max="16133" width="11" style="10" customWidth="1"/>
    <col min="16134" max="16134" width="10.5546875" style="10" customWidth="1"/>
    <col min="16135" max="16384" width="9.109375" style="10"/>
  </cols>
  <sheetData>
    <row r="1" spans="1:7">
      <c r="G1" s="2126" t="s">
        <v>388</v>
      </c>
    </row>
    <row r="2" spans="1:7" ht="33.75" customHeight="1">
      <c r="A2" s="100" t="s">
        <v>631</v>
      </c>
      <c r="B2" s="100"/>
      <c r="C2" s="100"/>
      <c r="D2" s="100"/>
      <c r="E2" s="100"/>
      <c r="F2" s="100"/>
      <c r="G2" s="100"/>
    </row>
    <row r="3" spans="1:7" ht="14.25" customHeight="1">
      <c r="A3" s="133" t="s">
        <v>2231</v>
      </c>
      <c r="B3" s="100"/>
      <c r="C3" s="100"/>
      <c r="D3" s="100"/>
      <c r="E3" s="100"/>
      <c r="F3" s="100"/>
      <c r="G3" s="100"/>
    </row>
    <row r="4" spans="1:7" ht="14.25" customHeight="1">
      <c r="A4" s="100"/>
      <c r="B4" s="2316"/>
      <c r="C4" s="2316"/>
      <c r="D4" s="2316"/>
      <c r="E4" s="2316"/>
      <c r="F4" s="2316"/>
      <c r="G4" s="2296" t="s">
        <v>2389</v>
      </c>
    </row>
    <row r="5" spans="1:7" ht="66">
      <c r="A5" s="4322" t="s">
        <v>54</v>
      </c>
      <c r="B5" s="4322" t="s">
        <v>171</v>
      </c>
      <c r="C5" s="4322" t="s">
        <v>389</v>
      </c>
      <c r="D5" s="4322" t="s">
        <v>361</v>
      </c>
      <c r="E5" s="2632" t="s">
        <v>390</v>
      </c>
      <c r="F5" s="2632" t="s">
        <v>391</v>
      </c>
      <c r="G5" s="2632" t="s">
        <v>366</v>
      </c>
    </row>
    <row r="6" spans="1:7">
      <c r="A6" s="4323"/>
      <c r="B6" s="4323"/>
      <c r="C6" s="4323"/>
      <c r="D6" s="4323"/>
      <c r="E6" s="2632" t="s">
        <v>392</v>
      </c>
      <c r="F6" s="2632" t="s">
        <v>393</v>
      </c>
      <c r="G6" s="2632" t="s">
        <v>369</v>
      </c>
    </row>
    <row r="7" spans="1:7">
      <c r="A7" s="2636">
        <v>1</v>
      </c>
      <c r="B7" s="2636">
        <f>+A7+1</f>
        <v>2</v>
      </c>
      <c r="C7" s="2636">
        <f>+B7+1</f>
        <v>3</v>
      </c>
      <c r="D7" s="2636">
        <f>+C7+1</f>
        <v>4</v>
      </c>
      <c r="E7" s="2636">
        <f>+D7+1</f>
        <v>5</v>
      </c>
      <c r="F7" s="2636">
        <f>+E7+1</f>
        <v>6</v>
      </c>
      <c r="G7" s="2636" t="s">
        <v>394</v>
      </c>
    </row>
    <row r="8" spans="1:7">
      <c r="A8" s="4312">
        <v>1</v>
      </c>
      <c r="B8" s="4313" t="s">
        <v>395</v>
      </c>
      <c r="C8" s="4313" t="s">
        <v>396</v>
      </c>
      <c r="D8" s="534">
        <v>1150</v>
      </c>
      <c r="E8" s="2633">
        <v>1000</v>
      </c>
      <c r="F8" s="861"/>
      <c r="G8" s="2634"/>
    </row>
    <row r="9" spans="1:7">
      <c r="A9" s="4312"/>
      <c r="B9" s="4313"/>
      <c r="C9" s="4313"/>
      <c r="D9" s="534">
        <v>750</v>
      </c>
      <c r="E9" s="2633">
        <v>600</v>
      </c>
      <c r="F9" s="861"/>
      <c r="G9" s="2634"/>
    </row>
    <row r="10" spans="1:7">
      <c r="A10" s="4312"/>
      <c r="B10" s="4313"/>
      <c r="C10" s="4313"/>
      <c r="D10" s="2634" t="s">
        <v>397</v>
      </c>
      <c r="E10" s="2633">
        <v>500</v>
      </c>
      <c r="F10" s="861"/>
      <c r="G10" s="2634"/>
    </row>
    <row r="11" spans="1:7">
      <c r="A11" s="4312"/>
      <c r="B11" s="4313"/>
      <c r="C11" s="4313"/>
      <c r="D11" s="2634">
        <v>330</v>
      </c>
      <c r="E11" s="2633">
        <v>250</v>
      </c>
      <c r="F11" s="861"/>
      <c r="G11" s="2634"/>
    </row>
    <row r="12" spans="1:7">
      <c r="A12" s="4312"/>
      <c r="B12" s="4313"/>
      <c r="C12" s="4313"/>
      <c r="D12" s="2634">
        <v>220</v>
      </c>
      <c r="E12" s="2633">
        <v>210</v>
      </c>
      <c r="F12" s="861">
        <v>1</v>
      </c>
      <c r="G12" s="544">
        <f>E12*F12</f>
        <v>210</v>
      </c>
    </row>
    <row r="13" spans="1:7">
      <c r="A13" s="4312"/>
      <c r="B13" s="4313"/>
      <c r="C13" s="4313"/>
      <c r="D13" s="2634" t="s">
        <v>398</v>
      </c>
      <c r="E13" s="2633">
        <v>105</v>
      </c>
      <c r="F13" s="862"/>
      <c r="G13" s="544">
        <f>E13*F13</f>
        <v>0</v>
      </c>
    </row>
    <row r="14" spans="1:7">
      <c r="A14" s="4312"/>
      <c r="B14" s="4313"/>
      <c r="C14" s="4313"/>
      <c r="D14" s="2634">
        <v>35</v>
      </c>
      <c r="E14" s="2633">
        <v>75</v>
      </c>
      <c r="F14" s="863"/>
      <c r="G14" s="544">
        <f>E14*F14</f>
        <v>0</v>
      </c>
    </row>
    <row r="15" spans="1:7" ht="12.75" customHeight="1">
      <c r="A15" s="4312">
        <v>2</v>
      </c>
      <c r="B15" s="4329" t="s">
        <v>399</v>
      </c>
      <c r="C15" s="4313" t="s">
        <v>400</v>
      </c>
      <c r="D15" s="534">
        <v>1150</v>
      </c>
      <c r="E15" s="2633">
        <v>60</v>
      </c>
      <c r="F15" s="863"/>
      <c r="G15" s="544"/>
    </row>
    <row r="16" spans="1:7">
      <c r="A16" s="4312"/>
      <c r="B16" s="4329"/>
      <c r="C16" s="4329"/>
      <c r="D16" s="534">
        <v>750</v>
      </c>
      <c r="E16" s="2633">
        <v>43</v>
      </c>
      <c r="F16" s="863"/>
      <c r="G16" s="544"/>
    </row>
    <row r="17" spans="1:7">
      <c r="A17" s="4312"/>
      <c r="B17" s="4329"/>
      <c r="C17" s="4329"/>
      <c r="D17" s="2634" t="s">
        <v>397</v>
      </c>
      <c r="E17" s="2633">
        <v>28</v>
      </c>
      <c r="F17" s="863"/>
      <c r="G17" s="544"/>
    </row>
    <row r="18" spans="1:7">
      <c r="A18" s="4312"/>
      <c r="B18" s="4329"/>
      <c r="C18" s="4329"/>
      <c r="D18" s="2634">
        <v>330</v>
      </c>
      <c r="E18" s="2633">
        <v>18</v>
      </c>
      <c r="F18" s="863"/>
      <c r="G18" s="544"/>
    </row>
    <row r="19" spans="1:7">
      <c r="A19" s="4312"/>
      <c r="B19" s="4329"/>
      <c r="C19" s="4329"/>
      <c r="D19" s="2634">
        <v>220</v>
      </c>
      <c r="E19" s="2633">
        <v>14</v>
      </c>
      <c r="F19" s="863">
        <v>2</v>
      </c>
      <c r="G19" s="544">
        <f>E19*F19</f>
        <v>28</v>
      </c>
    </row>
    <row r="20" spans="1:7">
      <c r="A20" s="4312"/>
      <c r="B20" s="4329"/>
      <c r="C20" s="4329"/>
      <c r="D20" s="2634" t="s">
        <v>398</v>
      </c>
      <c r="E20" s="2633">
        <v>7.8</v>
      </c>
      <c r="F20" s="862"/>
      <c r="G20" s="544">
        <f>E20*F20</f>
        <v>0</v>
      </c>
    </row>
    <row r="21" spans="1:7">
      <c r="A21" s="4312"/>
      <c r="B21" s="4329"/>
      <c r="C21" s="4329"/>
      <c r="D21" s="2634">
        <v>35</v>
      </c>
      <c r="E21" s="2633">
        <v>2.1</v>
      </c>
      <c r="F21" s="861"/>
      <c r="G21" s="544">
        <f>E21*F21</f>
        <v>0</v>
      </c>
    </row>
    <row r="22" spans="1:7">
      <c r="A22" s="4312"/>
      <c r="B22" s="4329"/>
      <c r="C22" s="4313"/>
      <c r="D22" s="545" t="s">
        <v>401</v>
      </c>
      <c r="E22" s="546">
        <v>1</v>
      </c>
      <c r="F22" s="2299">
        <f>22</f>
        <v>22</v>
      </c>
      <c r="G22" s="544">
        <f>E22*F22</f>
        <v>22</v>
      </c>
    </row>
    <row r="23" spans="1:7" ht="12.75" customHeight="1">
      <c r="A23" s="4312">
        <v>3</v>
      </c>
      <c r="B23" s="4329" t="s">
        <v>402</v>
      </c>
      <c r="C23" s="4313" t="s">
        <v>403</v>
      </c>
      <c r="D23" s="534">
        <v>1150</v>
      </c>
      <c r="E23" s="2634">
        <v>180</v>
      </c>
      <c r="F23" s="861"/>
      <c r="G23" s="2634"/>
    </row>
    <row r="24" spans="1:7">
      <c r="A24" s="4312"/>
      <c r="B24" s="4329"/>
      <c r="C24" s="4329"/>
      <c r="D24" s="534">
        <v>750</v>
      </c>
      <c r="E24" s="2634">
        <v>130</v>
      </c>
      <c r="F24" s="861"/>
      <c r="G24" s="2634"/>
    </row>
    <row r="25" spans="1:7">
      <c r="A25" s="4312"/>
      <c r="B25" s="4329"/>
      <c r="C25" s="4329"/>
      <c r="D25" s="2634" t="s">
        <v>397</v>
      </c>
      <c r="E25" s="2633">
        <v>88</v>
      </c>
      <c r="F25" s="861"/>
      <c r="G25" s="2634"/>
    </row>
    <row r="26" spans="1:7">
      <c r="A26" s="4312"/>
      <c r="B26" s="4329"/>
      <c r="C26" s="4329"/>
      <c r="D26" s="2634">
        <v>330</v>
      </c>
      <c r="E26" s="2633">
        <v>66</v>
      </c>
      <c r="F26" s="861"/>
      <c r="G26" s="2634"/>
    </row>
    <row r="27" spans="1:7">
      <c r="A27" s="4312"/>
      <c r="B27" s="4329"/>
      <c r="C27" s="4329"/>
      <c r="D27" s="2634">
        <v>220</v>
      </c>
      <c r="E27" s="2633">
        <v>43</v>
      </c>
      <c r="F27" s="861"/>
      <c r="G27" s="2634"/>
    </row>
    <row r="28" spans="1:7">
      <c r="A28" s="4312"/>
      <c r="B28" s="4329"/>
      <c r="C28" s="4329"/>
      <c r="D28" s="2634" t="s">
        <v>398</v>
      </c>
      <c r="E28" s="2633">
        <v>26</v>
      </c>
      <c r="F28" s="861"/>
      <c r="G28" s="2634"/>
    </row>
    <row r="29" spans="1:7">
      <c r="A29" s="4312"/>
      <c r="B29" s="4329"/>
      <c r="C29" s="4329"/>
      <c r="D29" s="2634">
        <v>35</v>
      </c>
      <c r="E29" s="2633">
        <v>11</v>
      </c>
      <c r="F29" s="861"/>
      <c r="G29" s="2634"/>
    </row>
    <row r="30" spans="1:7">
      <c r="A30" s="4312"/>
      <c r="B30" s="4329"/>
      <c r="C30" s="4313"/>
      <c r="D30" s="545" t="s">
        <v>401</v>
      </c>
      <c r="E30" s="2633">
        <v>5.5</v>
      </c>
      <c r="F30" s="2069">
        <f>6+3</f>
        <v>9</v>
      </c>
      <c r="G30" s="544">
        <f>E30*F30</f>
        <v>49.5</v>
      </c>
    </row>
    <row r="31" spans="1:7" ht="12.75" customHeight="1">
      <c r="A31" s="4312">
        <v>4</v>
      </c>
      <c r="B31" s="4313" t="s">
        <v>500</v>
      </c>
      <c r="C31" s="4313" t="s">
        <v>404</v>
      </c>
      <c r="D31" s="2634">
        <v>220</v>
      </c>
      <c r="E31" s="2634">
        <v>23</v>
      </c>
      <c r="F31" s="861"/>
      <c r="G31" s="2634"/>
    </row>
    <row r="32" spans="1:7">
      <c r="A32" s="4312"/>
      <c r="B32" s="4313"/>
      <c r="C32" s="4313"/>
      <c r="D32" s="2634" t="s">
        <v>398</v>
      </c>
      <c r="E32" s="2634">
        <v>14</v>
      </c>
      <c r="F32" s="861"/>
      <c r="G32" s="547">
        <f>E32*F32</f>
        <v>0</v>
      </c>
    </row>
    <row r="33" spans="1:10">
      <c r="A33" s="4312"/>
      <c r="B33" s="4313"/>
      <c r="C33" s="4313"/>
      <c r="D33" s="2634">
        <v>35</v>
      </c>
      <c r="E33" s="2634">
        <v>6.4</v>
      </c>
      <c r="F33" s="861"/>
      <c r="G33" s="2634"/>
    </row>
    <row r="34" spans="1:10">
      <c r="A34" s="4312"/>
      <c r="B34" s="4313"/>
      <c r="C34" s="4313"/>
      <c r="D34" s="545" t="s">
        <v>401</v>
      </c>
      <c r="E34" s="2634">
        <v>3.1</v>
      </c>
      <c r="F34" s="2070">
        <v>67</v>
      </c>
      <c r="G34" s="544">
        <f>E34*F34</f>
        <v>207.70000000000002</v>
      </c>
    </row>
    <row r="35" spans="1:10" ht="12.75" customHeight="1">
      <c r="A35" s="4312">
        <v>5</v>
      </c>
      <c r="B35" s="4313" t="s">
        <v>405</v>
      </c>
      <c r="C35" s="4313" t="s">
        <v>400</v>
      </c>
      <c r="D35" s="2634" t="s">
        <v>397</v>
      </c>
      <c r="E35" s="2633">
        <v>35</v>
      </c>
      <c r="F35" s="861"/>
      <c r="G35" s="2634"/>
    </row>
    <row r="36" spans="1:10">
      <c r="A36" s="4312"/>
      <c r="B36" s="4313"/>
      <c r="C36" s="4313"/>
      <c r="D36" s="2634">
        <v>330</v>
      </c>
      <c r="E36" s="2634">
        <v>24</v>
      </c>
      <c r="F36" s="861"/>
      <c r="G36" s="2634"/>
    </row>
    <row r="37" spans="1:10">
      <c r="A37" s="4312"/>
      <c r="B37" s="4313"/>
      <c r="C37" s="4313"/>
      <c r="D37" s="2634">
        <v>220</v>
      </c>
      <c r="E37" s="2634">
        <v>19</v>
      </c>
      <c r="F37" s="861"/>
      <c r="G37" s="2634"/>
    </row>
    <row r="38" spans="1:10">
      <c r="A38" s="4312"/>
      <c r="B38" s="4313"/>
      <c r="C38" s="4313"/>
      <c r="D38" s="2634" t="s">
        <v>398</v>
      </c>
      <c r="E38" s="2634">
        <v>9.5</v>
      </c>
      <c r="F38" s="862"/>
      <c r="G38" s="544">
        <f>E38*F38</f>
        <v>0</v>
      </c>
    </row>
    <row r="39" spans="1:10">
      <c r="A39" s="4312"/>
      <c r="B39" s="4313"/>
      <c r="C39" s="4313"/>
      <c r="D39" s="2634">
        <v>35</v>
      </c>
      <c r="E39" s="2634">
        <v>4.7</v>
      </c>
      <c r="F39" s="861"/>
      <c r="G39" s="544">
        <f>E39*F39</f>
        <v>0</v>
      </c>
    </row>
    <row r="40" spans="1:10" ht="26.4">
      <c r="A40" s="2633">
        <v>6</v>
      </c>
      <c r="B40" s="2634" t="s">
        <v>406</v>
      </c>
      <c r="C40" s="2634" t="s">
        <v>404</v>
      </c>
      <c r="D40" s="548" t="s">
        <v>401</v>
      </c>
      <c r="E40" s="2634">
        <v>2.2999999999999998</v>
      </c>
      <c r="F40" s="862">
        <f>4+3</f>
        <v>7</v>
      </c>
      <c r="G40" s="547">
        <f>E40*F40</f>
        <v>16.099999999999998</v>
      </c>
    </row>
    <row r="41" spans="1:10" ht="39.6">
      <c r="A41" s="2633">
        <v>7</v>
      </c>
      <c r="B41" s="2634" t="s">
        <v>407</v>
      </c>
      <c r="C41" s="2634" t="s">
        <v>404</v>
      </c>
      <c r="D41" s="548" t="s">
        <v>401</v>
      </c>
      <c r="E41" s="2634">
        <v>26</v>
      </c>
      <c r="F41" s="861"/>
      <c r="G41" s="2634"/>
    </row>
    <row r="42" spans="1:10" ht="26.4">
      <c r="A42" s="2633">
        <v>8</v>
      </c>
      <c r="B42" s="2634" t="s">
        <v>408</v>
      </c>
      <c r="C42" s="2634" t="s">
        <v>404</v>
      </c>
      <c r="D42" s="548" t="s">
        <v>401</v>
      </c>
      <c r="E42" s="2634">
        <v>48</v>
      </c>
      <c r="F42" s="861"/>
      <c r="G42" s="2634"/>
    </row>
    <row r="43" spans="1:10" ht="12.75" customHeight="1">
      <c r="A43" s="4312">
        <v>9</v>
      </c>
      <c r="B43" s="4313" t="s">
        <v>409</v>
      </c>
      <c r="C43" s="4313" t="s">
        <v>410</v>
      </c>
      <c r="D43" s="2634">
        <v>35</v>
      </c>
      <c r="E43" s="2634">
        <v>2.4</v>
      </c>
      <c r="F43" s="861"/>
      <c r="G43" s="2634"/>
    </row>
    <row r="44" spans="1:10">
      <c r="A44" s="4312"/>
      <c r="B44" s="4313"/>
      <c r="C44" s="4313"/>
      <c r="D44" s="548" t="s">
        <v>401</v>
      </c>
      <c r="E44" s="2634">
        <v>2.4</v>
      </c>
      <c r="F44" s="861"/>
      <c r="G44" s="544">
        <f>E44*F44</f>
        <v>0</v>
      </c>
    </row>
    <row r="45" spans="1:10" ht="26.4">
      <c r="A45" s="2633">
        <v>10</v>
      </c>
      <c r="B45" s="2634" t="s">
        <v>411</v>
      </c>
      <c r="C45" s="2634" t="s">
        <v>412</v>
      </c>
      <c r="D45" s="548" t="s">
        <v>401</v>
      </c>
      <c r="E45" s="2634">
        <v>2.5</v>
      </c>
      <c r="F45" s="862"/>
      <c r="G45" s="547">
        <f>E45*F45</f>
        <v>0</v>
      </c>
    </row>
    <row r="46" spans="1:10" ht="26.4">
      <c r="A46" s="2633">
        <v>11</v>
      </c>
      <c r="B46" s="2634" t="s">
        <v>413</v>
      </c>
      <c r="C46" s="2634" t="s">
        <v>414</v>
      </c>
      <c r="D46" s="548" t="s">
        <v>401</v>
      </c>
      <c r="E46" s="2634">
        <v>2.2999999999999998</v>
      </c>
      <c r="F46" s="2071">
        <v>2</v>
      </c>
      <c r="G46" s="547">
        <f>E46*F46</f>
        <v>4.5999999999999996</v>
      </c>
    </row>
    <row r="47" spans="1:10" ht="26.4">
      <c r="A47" s="2633">
        <v>12</v>
      </c>
      <c r="B47" s="2634" t="s">
        <v>415</v>
      </c>
      <c r="C47" s="2634" t="s">
        <v>414</v>
      </c>
      <c r="D47" s="548" t="s">
        <v>401</v>
      </c>
      <c r="E47" s="2634">
        <v>3</v>
      </c>
      <c r="F47" s="2305">
        <f>11+2</f>
        <v>13</v>
      </c>
      <c r="G47" s="547">
        <f>E47*F47</f>
        <v>39</v>
      </c>
    </row>
    <row r="48" spans="1:10" ht="39.6">
      <c r="A48" s="2633">
        <v>13</v>
      </c>
      <c r="B48" s="2634" t="s">
        <v>1489</v>
      </c>
      <c r="C48" s="2634" t="s">
        <v>417</v>
      </c>
      <c r="D48" s="2634">
        <v>35</v>
      </c>
      <c r="E48" s="2634">
        <v>3.5</v>
      </c>
      <c r="F48" s="861"/>
      <c r="G48" s="2634"/>
      <c r="J48" s="10">
        <f>SUM(G8:G48)</f>
        <v>576.90000000000009</v>
      </c>
    </row>
    <row r="49" spans="1:11">
      <c r="A49" s="4312" t="s">
        <v>418</v>
      </c>
      <c r="B49" s="4313" t="s">
        <v>419</v>
      </c>
      <c r="C49" s="4313"/>
      <c r="D49" s="2634" t="s">
        <v>697</v>
      </c>
      <c r="E49" s="544">
        <v>0</v>
      </c>
      <c r="F49" s="544">
        <v>0</v>
      </c>
      <c r="G49" s="544">
        <f>G12+G19</f>
        <v>238</v>
      </c>
    </row>
    <row r="50" spans="1:11">
      <c r="A50" s="4312"/>
      <c r="B50" s="4313"/>
      <c r="C50" s="4313"/>
      <c r="D50" s="2634" t="s">
        <v>239</v>
      </c>
      <c r="E50" s="544">
        <v>0</v>
      </c>
      <c r="F50" s="544">
        <v>0</v>
      </c>
      <c r="G50" s="544">
        <f>G14+G21+G22+G29+G30+G33+G34+G39+G40+G41+G42+G43+G44+G45+G46+G47+G48</f>
        <v>338.90000000000009</v>
      </c>
    </row>
    <row r="51" spans="1:11">
      <c r="A51" s="4312"/>
      <c r="B51" s="4313"/>
      <c r="C51" s="4313"/>
      <c r="D51" s="2634" t="s">
        <v>681</v>
      </c>
      <c r="E51" s="544">
        <v>0</v>
      </c>
      <c r="F51" s="544">
        <v>0</v>
      </c>
      <c r="G51" s="549">
        <v>0</v>
      </c>
      <c r="J51" s="144">
        <f>G49+G50+G51</f>
        <v>576.90000000000009</v>
      </c>
      <c r="K51" s="515">
        <f>SUMIF($D$8:$D$48,$D$22,$G$8:$G$48)+G14+G21+G39+G12+G19</f>
        <v>576.90000000000009</v>
      </c>
    </row>
    <row r="52" spans="1:11">
      <c r="A52" s="49"/>
      <c r="B52" s="50"/>
      <c r="C52" s="50"/>
      <c r="D52" s="50"/>
      <c r="E52" s="49"/>
      <c r="F52" s="49"/>
      <c r="G52" s="50"/>
    </row>
    <row r="53" spans="1:11">
      <c r="A53" s="10" t="s">
        <v>663</v>
      </c>
    </row>
    <row r="54" spans="1:11" ht="21.75" customHeight="1">
      <c r="A54" s="4327" t="s">
        <v>1123</v>
      </c>
      <c r="B54" s="4327"/>
      <c r="C54" s="4327"/>
      <c r="D54" s="4327"/>
      <c r="E54" s="4327"/>
      <c r="F54" s="4327"/>
      <c r="G54" s="4327"/>
    </row>
    <row r="55" spans="1:11" ht="39.75" customHeight="1">
      <c r="A55" s="4327" t="s">
        <v>1124</v>
      </c>
      <c r="B55" s="4327"/>
      <c r="C55" s="4327"/>
      <c r="D55" s="4327"/>
      <c r="E55" s="4327"/>
      <c r="F55" s="4327"/>
      <c r="G55" s="4327"/>
    </row>
    <row r="56" spans="1:11" ht="31.5" customHeight="1">
      <c r="A56" s="4328" t="s">
        <v>1125</v>
      </c>
      <c r="B56" s="4328"/>
      <c r="C56" s="4328"/>
      <c r="D56" s="4328"/>
      <c r="E56" s="4328"/>
      <c r="F56" s="4328"/>
      <c r="G56" s="4328"/>
    </row>
    <row r="57" spans="1:11" ht="41.25" customHeight="1">
      <c r="A57" s="4327" t="s">
        <v>1126</v>
      </c>
      <c r="B57" s="4327"/>
      <c r="C57" s="4327"/>
      <c r="D57" s="4327"/>
      <c r="E57" s="4327"/>
      <c r="F57" s="4327"/>
      <c r="G57" s="4327"/>
    </row>
    <row r="58" spans="1:11" ht="46.5" customHeight="1">
      <c r="A58" s="4327" t="s">
        <v>1127</v>
      </c>
      <c r="B58" s="4327"/>
      <c r="C58" s="4327"/>
      <c r="D58" s="4327"/>
      <c r="E58" s="4327"/>
      <c r="F58" s="4327"/>
      <c r="G58" s="4327"/>
    </row>
    <row r="59" spans="1:11" ht="45.75" customHeight="1">
      <c r="A59" s="4327" t="s">
        <v>1128</v>
      </c>
      <c r="B59" s="4327"/>
      <c r="C59" s="4327"/>
      <c r="D59" s="4327"/>
      <c r="E59" s="4327"/>
      <c r="F59" s="4327"/>
      <c r="G59" s="4327"/>
    </row>
    <row r="60" spans="1:11" ht="27.75" customHeight="1">
      <c r="A60" s="4327" t="s">
        <v>1129</v>
      </c>
      <c r="B60" s="4327"/>
      <c r="C60" s="4327"/>
      <c r="D60" s="4327"/>
      <c r="E60" s="4327"/>
      <c r="F60" s="4327"/>
      <c r="G60" s="4327"/>
    </row>
    <row r="61" spans="1:11" ht="28.5" customHeight="1">
      <c r="A61" s="4327" t="s">
        <v>1130</v>
      </c>
      <c r="B61" s="4327"/>
      <c r="C61" s="4327"/>
      <c r="D61" s="4327"/>
      <c r="E61" s="4327"/>
      <c r="F61" s="4327"/>
      <c r="G61" s="4327"/>
    </row>
    <row r="62" spans="1:11" ht="33.75" customHeight="1">
      <c r="A62" s="4327" t="s">
        <v>1131</v>
      </c>
      <c r="B62" s="4327"/>
      <c r="C62" s="4327"/>
      <c r="D62" s="4327"/>
      <c r="E62" s="4327"/>
      <c r="F62" s="4327"/>
      <c r="G62" s="4327"/>
    </row>
    <row r="63" spans="1:11" s="2668" customFormat="1" ht="23.25" customHeight="1">
      <c r="A63" s="2665" t="s">
        <v>1266</v>
      </c>
      <c r="B63" s="2666"/>
      <c r="C63" s="2667"/>
      <c r="H63" s="2669"/>
    </row>
    <row r="64" spans="1:11" s="2668" customFormat="1" ht="15" customHeight="1">
      <c r="A64" s="2665" t="s">
        <v>1304</v>
      </c>
      <c r="B64" s="2670"/>
      <c r="C64" s="2667"/>
      <c r="G64" s="2671" t="s">
        <v>1268</v>
      </c>
    </row>
    <row r="65" spans="1:7" s="52" customFormat="1"/>
    <row r="66" spans="1:7" s="52" customFormat="1">
      <c r="A66" s="98"/>
    </row>
    <row r="67" spans="1:7" s="52" customFormat="1">
      <c r="A67" s="98"/>
    </row>
    <row r="68" spans="1:7" ht="58.5" customHeight="1">
      <c r="A68" s="4327"/>
      <c r="B68" s="4327"/>
      <c r="C68" s="4327"/>
      <c r="D68" s="4327"/>
      <c r="E68" s="4327"/>
      <c r="F68" s="4327"/>
      <c r="G68" s="4327"/>
    </row>
    <row r="69" spans="1:7" ht="53.25" customHeight="1">
      <c r="A69" s="4327"/>
      <c r="B69" s="4327"/>
      <c r="C69" s="4327"/>
      <c r="D69" s="4327"/>
      <c r="E69" s="4327"/>
      <c r="F69" s="4327"/>
      <c r="G69" s="4327"/>
    </row>
    <row r="70" spans="1:7" ht="31.5" customHeight="1">
      <c r="A70" s="4327"/>
      <c r="B70" s="4327"/>
      <c r="C70" s="4327"/>
      <c r="D70" s="4327"/>
      <c r="E70" s="4327"/>
      <c r="F70" s="4327"/>
      <c r="G70" s="4327"/>
    </row>
    <row r="71" spans="1:7" ht="27.75" customHeight="1">
      <c r="A71" s="4326"/>
      <c r="B71" s="4326"/>
      <c r="C71" s="4326"/>
      <c r="D71" s="4326"/>
      <c r="E71" s="4326"/>
      <c r="F71" s="4326"/>
      <c r="G71" s="4326"/>
    </row>
  </sheetData>
  <mergeCells count="37">
    <mergeCell ref="A5:A6"/>
    <mergeCell ref="B5:B6"/>
    <mergeCell ref="C5:C6"/>
    <mergeCell ref="D5:D6"/>
    <mergeCell ref="A8:A14"/>
    <mergeCell ref="B8:B14"/>
    <mergeCell ref="C8:C14"/>
    <mergeCell ref="A15:A22"/>
    <mergeCell ref="B15:B22"/>
    <mergeCell ref="C15:C22"/>
    <mergeCell ref="A23:A30"/>
    <mergeCell ref="B23:B30"/>
    <mergeCell ref="C23:C30"/>
    <mergeCell ref="A54:G54"/>
    <mergeCell ref="A31:A34"/>
    <mergeCell ref="B31:B34"/>
    <mergeCell ref="C31:C34"/>
    <mergeCell ref="A35:A39"/>
    <mergeCell ref="B35:B39"/>
    <mergeCell ref="C35:C39"/>
    <mergeCell ref="A43:A44"/>
    <mergeCell ref="B43:B44"/>
    <mergeCell ref="C43:C44"/>
    <mergeCell ref="A49:A51"/>
    <mergeCell ref="B49:C51"/>
    <mergeCell ref="A71:G71"/>
    <mergeCell ref="A55:G55"/>
    <mergeCell ref="A56:G56"/>
    <mergeCell ref="A57:G57"/>
    <mergeCell ref="A58:G58"/>
    <mergeCell ref="A59:G59"/>
    <mergeCell ref="A60:G60"/>
    <mergeCell ref="A61:G61"/>
    <mergeCell ref="A62:G62"/>
    <mergeCell ref="A68:G68"/>
    <mergeCell ref="A69:G69"/>
    <mergeCell ref="A70:G70"/>
  </mergeCells>
  <printOptions horizontalCentered="1"/>
  <pageMargins left="0.78740157480314965" right="0.78740157480314965" top="0.59055118110236227" bottom="0.11811023622047245" header="0.51181102362204722" footer="3.937007874015748E-2"/>
  <pageSetup paperSize="9" scale="87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pageSetUpPr fitToPage="1"/>
  </sheetPr>
  <dimension ref="A1:AX50"/>
  <sheetViews>
    <sheetView topLeftCell="A6" zoomScale="85" zoomScaleNormal="85" zoomScaleSheetLayoutView="65" workbookViewId="0">
      <selection activeCell="B32" sqref="A1:XFD1048576"/>
    </sheetView>
  </sheetViews>
  <sheetFormatPr defaultColWidth="9.109375" defaultRowHeight="13.2"/>
  <cols>
    <col min="1" max="1" width="36.6640625" style="2793" customWidth="1"/>
    <col min="2" max="2" width="17.88671875" style="2793" customWidth="1"/>
    <col min="3" max="3" width="19" style="2793" customWidth="1"/>
    <col min="4" max="4" width="18" style="2793" customWidth="1"/>
    <col min="5" max="5" width="17.88671875" style="2793" customWidth="1"/>
    <col min="6" max="6" width="19.33203125" style="2793" customWidth="1"/>
    <col min="7" max="9" width="10.44140625" style="2793" hidden="1" customWidth="1"/>
    <col min="10" max="11" width="10.88671875" style="2793" hidden="1" customWidth="1"/>
    <col min="12" max="12" width="12.88671875" style="2793" hidden="1" customWidth="1"/>
    <col min="13" max="13" width="9.6640625" style="2793" hidden="1" customWidth="1"/>
    <col min="14" max="16" width="0" style="2793" hidden="1" customWidth="1"/>
    <col min="17" max="17" width="9.33203125" style="2793" hidden="1" customWidth="1"/>
    <col min="18" max="30" width="0" style="2793" hidden="1" customWidth="1"/>
    <col min="31" max="31" width="14" style="2793" hidden="1" customWidth="1"/>
    <col min="32" max="38" width="0" style="2793" hidden="1" customWidth="1"/>
    <col min="39" max="39" width="14.33203125" style="2793" hidden="1" customWidth="1"/>
    <col min="40" max="41" width="0" style="2793" hidden="1" customWidth="1"/>
    <col min="42" max="16384" width="9.109375" style="2793"/>
  </cols>
  <sheetData>
    <row r="1" spans="1:50" ht="28.5" customHeight="1">
      <c r="A1" s="2792"/>
      <c r="E1" s="4038"/>
      <c r="F1" s="4038"/>
      <c r="G1" s="3304" t="s">
        <v>697</v>
      </c>
      <c r="H1" s="3304" t="s">
        <v>549</v>
      </c>
      <c r="I1" s="3305" t="s">
        <v>681</v>
      </c>
      <c r="J1" s="3306"/>
      <c r="K1" s="3306"/>
      <c r="L1" s="3306">
        <v>2020</v>
      </c>
    </row>
    <row r="2" spans="1:50" ht="23.25" customHeight="1">
      <c r="A2" s="4039" t="s">
        <v>2935</v>
      </c>
      <c r="B2" s="4039"/>
      <c r="C2" s="4039"/>
      <c r="D2" s="4039"/>
      <c r="E2" s="4039"/>
      <c r="F2" s="4039"/>
      <c r="G2" s="3307">
        <v>3326.6840000000002</v>
      </c>
      <c r="H2" s="3308">
        <v>5464.9970000000003</v>
      </c>
      <c r="I2" s="3308">
        <v>334.291</v>
      </c>
      <c r="J2" s="3308">
        <v>9125.9719999999998</v>
      </c>
      <c r="K2" s="3306"/>
    </row>
    <row r="3" spans="1:50" ht="24" customHeight="1">
      <c r="A3" s="4040" t="s">
        <v>2487</v>
      </c>
      <c r="B3" s="4040"/>
      <c r="C3" s="4040"/>
      <c r="D3" s="4040"/>
      <c r="E3" s="4040"/>
      <c r="F3" s="4040"/>
      <c r="G3" s="3309">
        <v>4019.7690000000002</v>
      </c>
      <c r="H3" s="3309">
        <v>5547.4139999999998</v>
      </c>
      <c r="I3" s="3310">
        <v>290.65999999999997</v>
      </c>
      <c r="J3" s="3308">
        <v>9857.8430000000008</v>
      </c>
      <c r="K3" s="3306"/>
    </row>
    <row r="4" spans="1:50" ht="16.5" customHeight="1">
      <c r="A4" s="4041" t="s">
        <v>971</v>
      </c>
      <c r="B4" s="4041"/>
      <c r="C4" s="4041"/>
      <c r="D4" s="4041"/>
      <c r="E4" s="4041"/>
      <c r="F4" s="4041"/>
      <c r="G4" s="2794"/>
      <c r="L4" s="3311">
        <v>9910.3483914000008</v>
      </c>
    </row>
    <row r="5" spans="1:50" ht="31.5" customHeight="1" thickBot="1">
      <c r="A5" s="3298"/>
      <c r="B5" s="3298"/>
      <c r="C5" s="3298"/>
      <c r="D5" s="3298"/>
      <c r="E5" s="3298"/>
      <c r="F5" s="3298"/>
      <c r="G5" s="2794">
        <v>3792.9358999999999</v>
      </c>
    </row>
    <row r="6" spans="1:50" ht="24" customHeight="1">
      <c r="A6" s="4042" t="s">
        <v>972</v>
      </c>
      <c r="B6" s="4044" t="s">
        <v>679</v>
      </c>
      <c r="C6" s="4046" t="s">
        <v>974</v>
      </c>
      <c r="D6" s="4047"/>
      <c r="E6" s="4047"/>
      <c r="F6" s="4048"/>
      <c r="G6" s="2795"/>
      <c r="H6" s="3148" t="e">
        <v>#REF!</v>
      </c>
      <c r="I6" s="3149" t="e">
        <v>#REF!</v>
      </c>
    </row>
    <row r="7" spans="1:50" ht="45" customHeight="1" thickBot="1">
      <c r="A7" s="4043"/>
      <c r="B7" s="4045"/>
      <c r="C7" s="2796" t="s">
        <v>697</v>
      </c>
      <c r="D7" s="2796" t="s">
        <v>548</v>
      </c>
      <c r="E7" s="2796" t="s">
        <v>549</v>
      </c>
      <c r="F7" s="2797" t="s">
        <v>681</v>
      </c>
      <c r="G7" s="2795"/>
      <c r="H7" s="2793" t="e">
        <v>#REF!</v>
      </c>
      <c r="I7" s="2793" t="e">
        <v>#REF!</v>
      </c>
      <c r="AB7" s="3148" t="e">
        <v>#REF!</v>
      </c>
    </row>
    <row r="8" spans="1:50" ht="26.25" customHeight="1">
      <c r="A8" s="4013" t="s">
        <v>2586</v>
      </c>
      <c r="B8" s="4014"/>
      <c r="C8" s="4014"/>
      <c r="D8" s="4014"/>
      <c r="E8" s="4014"/>
      <c r="F8" s="4015"/>
      <c r="G8" s="2798"/>
      <c r="H8" s="2799"/>
      <c r="AB8" s="3148" t="e">
        <v>#REF!</v>
      </c>
    </row>
    <row r="9" spans="1:50" ht="29.25" customHeight="1" thickBot="1">
      <c r="A9" s="4016" t="s">
        <v>980</v>
      </c>
      <c r="B9" s="4017"/>
      <c r="C9" s="4017"/>
      <c r="D9" s="4017"/>
      <c r="E9" s="4017"/>
      <c r="F9" s="4018"/>
      <c r="G9" s="2798"/>
      <c r="H9" s="2799"/>
      <c r="AA9" s="2793">
        <v>577.58600000000081</v>
      </c>
    </row>
    <row r="10" spans="1:50" s="2807" customFormat="1" ht="37.5" customHeight="1">
      <c r="A10" s="3150" t="s">
        <v>1496</v>
      </c>
      <c r="B10" s="3312">
        <v>9857.8430000000008</v>
      </c>
      <c r="C10" s="3178">
        <v>4019.7690000000002</v>
      </c>
      <c r="D10" s="3313"/>
      <c r="E10" s="3178">
        <v>5547.4139999999998</v>
      </c>
      <c r="F10" s="3314">
        <v>290.65999999999997</v>
      </c>
      <c r="G10" s="2805"/>
      <c r="H10" s="2806">
        <v>9857.8430000000008</v>
      </c>
      <c r="I10" s="2806">
        <v>4019.7689999999998</v>
      </c>
      <c r="J10" s="2806">
        <v>0</v>
      </c>
      <c r="K10" s="2806">
        <v>5547.4139999999998</v>
      </c>
      <c r="L10" s="2806">
        <v>290.65999999999997</v>
      </c>
      <c r="AE10" s="2807" t="s">
        <v>2737</v>
      </c>
      <c r="AP10" s="2807">
        <v>9857.8430000000008</v>
      </c>
      <c r="AQ10" s="2807">
        <v>4019.7689999999998</v>
      </c>
      <c r="AS10" s="2807">
        <v>5547.4139999999998</v>
      </c>
      <c r="AT10" s="2807">
        <v>290.65999999999997</v>
      </c>
    </row>
    <row r="11" spans="1:50" s="2807" customFormat="1" ht="34.5" customHeight="1" thickBot="1">
      <c r="A11" s="3151" t="s">
        <v>977</v>
      </c>
      <c r="B11" s="3162">
        <v>1.3029737129883703</v>
      </c>
      <c r="C11" s="3315">
        <v>0.53134206181279764</v>
      </c>
      <c r="D11" s="3316"/>
      <c r="E11" s="3315">
        <v>0.73299952732281282</v>
      </c>
      <c r="F11" s="3317">
        <v>3.8632123852759742E-2</v>
      </c>
      <c r="G11" s="2805"/>
      <c r="H11" s="3152">
        <v>1.3029737129883703</v>
      </c>
      <c r="I11" s="3152">
        <v>0.53134206181279753</v>
      </c>
      <c r="J11" s="3152">
        <v>0</v>
      </c>
      <c r="K11" s="3152">
        <v>0.73299952732281293</v>
      </c>
      <c r="L11" s="3152">
        <v>3.8632123852759742E-2</v>
      </c>
      <c r="Z11" s="3153">
        <v>7565.3129855476127</v>
      </c>
      <c r="AB11" s="2807">
        <v>7566.4559971632525</v>
      </c>
      <c r="AE11" s="2807">
        <v>7572.7174684165702</v>
      </c>
      <c r="AP11" s="3154">
        <v>1.3029737129883703</v>
      </c>
      <c r="AQ11" s="2807">
        <v>0.53134206181279753</v>
      </c>
      <c r="AS11" s="2807">
        <v>0.73299952732281293</v>
      </c>
      <c r="AT11" s="2807">
        <v>3.8632123852759742E-2</v>
      </c>
    </row>
    <row r="12" spans="1:50" ht="20.25" customHeight="1">
      <c r="A12" s="4019" t="s">
        <v>1497</v>
      </c>
      <c r="B12" s="4020"/>
      <c r="C12" s="4020"/>
      <c r="D12" s="4020"/>
      <c r="E12" s="4020"/>
      <c r="F12" s="4021"/>
      <c r="G12" s="2798"/>
      <c r="H12" s="2799"/>
      <c r="S12" s="3155" t="s">
        <v>2612</v>
      </c>
      <c r="T12" s="3155"/>
      <c r="Z12" s="2793" t="s">
        <v>2689</v>
      </c>
    </row>
    <row r="13" spans="1:50" s="2807" customFormat="1" ht="29.25" customHeight="1">
      <c r="A13" s="4022" t="s">
        <v>2093</v>
      </c>
      <c r="B13" s="4023"/>
      <c r="C13" s="4023"/>
      <c r="D13" s="4023"/>
      <c r="E13" s="4023"/>
      <c r="F13" s="4024"/>
      <c r="G13" s="2813" t="s">
        <v>697</v>
      </c>
      <c r="H13" s="3156" t="s">
        <v>847</v>
      </c>
      <c r="I13" s="3157" t="s">
        <v>681</v>
      </c>
      <c r="J13" s="2807" t="s">
        <v>640</v>
      </c>
      <c r="S13" s="3155" t="s">
        <v>697</v>
      </c>
      <c r="T13" s="3155" t="s">
        <v>847</v>
      </c>
      <c r="U13" s="3155" t="s">
        <v>681</v>
      </c>
      <c r="V13" s="3155"/>
      <c r="AA13" s="2807" t="s">
        <v>697</v>
      </c>
      <c r="AB13" s="2807" t="s">
        <v>847</v>
      </c>
      <c r="AC13" s="2807" t="s">
        <v>681</v>
      </c>
      <c r="AE13" s="2807" t="s">
        <v>697</v>
      </c>
      <c r="AF13" s="2807" t="s">
        <v>847</v>
      </c>
      <c r="AG13" s="2807" t="s">
        <v>681</v>
      </c>
    </row>
    <row r="14" spans="1:50" s="2807" customFormat="1" ht="36.75" customHeight="1">
      <c r="A14" s="3161" t="s">
        <v>1496</v>
      </c>
      <c r="B14" s="3318">
        <v>9340.0670000000009</v>
      </c>
      <c r="C14" s="3319">
        <v>3961.3980000000001</v>
      </c>
      <c r="D14" s="3320">
        <v>0</v>
      </c>
      <c r="E14" s="3319">
        <v>5246.3369999999995</v>
      </c>
      <c r="F14" s="3319">
        <v>132.33199999999999</v>
      </c>
      <c r="G14" s="2813">
        <v>7566.4559971632525</v>
      </c>
      <c r="H14" s="3156">
        <v>7572.7174684165702</v>
      </c>
      <c r="I14" s="3156">
        <v>7566.4029854239698</v>
      </c>
      <c r="J14" s="2813">
        <v>7569.9710529055756</v>
      </c>
      <c r="K14" s="3158"/>
      <c r="L14" s="3159" t="s">
        <v>2877</v>
      </c>
      <c r="M14" s="2807" t="s">
        <v>2878</v>
      </c>
      <c r="O14" s="2807">
        <v>780.95</v>
      </c>
      <c r="Q14" s="3160">
        <v>5378.6689999999999</v>
      </c>
      <c r="S14" s="3155">
        <v>3493.308</v>
      </c>
      <c r="T14" s="3155">
        <v>4365.552999999999</v>
      </c>
      <c r="U14" s="3155">
        <v>64.186999999999998</v>
      </c>
      <c r="V14" s="3155"/>
      <c r="Z14" s="2807" t="s">
        <v>2690</v>
      </c>
      <c r="AA14" s="2807">
        <v>3013.9821973075304</v>
      </c>
      <c r="AB14" s="2807">
        <v>3607.386</v>
      </c>
      <c r="AC14" s="2807">
        <v>110.593</v>
      </c>
      <c r="AF14" s="2807">
        <v>3790.4780000000001</v>
      </c>
      <c r="AG14" s="2807">
        <v>108.348</v>
      </c>
      <c r="AI14" s="2807" t="s">
        <v>697</v>
      </c>
      <c r="AJ14" s="2807" t="s">
        <v>847</v>
      </c>
      <c r="AK14" s="2807" t="s">
        <v>681</v>
      </c>
      <c r="AM14" s="2815">
        <v>925.12</v>
      </c>
      <c r="AQ14" s="2807">
        <v>3961.3980000000001</v>
      </c>
      <c r="AS14" s="2807">
        <v>5246.3369999999995</v>
      </c>
      <c r="AT14" s="2807">
        <v>132.33199999999999</v>
      </c>
      <c r="AV14" s="2807" t="s">
        <v>2879</v>
      </c>
      <c r="AW14" s="2807" t="s">
        <v>2737</v>
      </c>
      <c r="AX14" s="2807" t="s">
        <v>2880</v>
      </c>
    </row>
    <row r="15" spans="1:50" s="2807" customFormat="1" ht="27" customHeight="1" thickBot="1">
      <c r="A15" s="3175" t="s">
        <v>977</v>
      </c>
      <c r="B15" s="3315">
        <v>1.2338312702549914</v>
      </c>
      <c r="C15" s="3315">
        <v>0.52354735182298973</v>
      </c>
      <c r="D15" s="3321">
        <v>0</v>
      </c>
      <c r="E15" s="3315">
        <v>0.69279449839252893</v>
      </c>
      <c r="F15" s="3315">
        <v>1.7489420039472695E-2</v>
      </c>
      <c r="G15" s="2813">
        <v>7566.4559971632525</v>
      </c>
      <c r="H15" s="3156">
        <v>7572.7174684165702</v>
      </c>
      <c r="I15" s="3157">
        <v>7566.4029854239698</v>
      </c>
      <c r="J15" s="3157">
        <v>7533.2306714886117</v>
      </c>
      <c r="L15" s="2815">
        <v>1904.037</v>
      </c>
      <c r="M15" s="3163">
        <v>1109.9451973075302</v>
      </c>
      <c r="O15" s="2807">
        <v>2285.7830000000004</v>
      </c>
      <c r="Q15" s="3164">
        <v>0.71028391843200167</v>
      </c>
      <c r="R15" s="2807">
        <v>7572.5619860206953</v>
      </c>
      <c r="Z15" s="2807" t="s">
        <v>2691</v>
      </c>
      <c r="AB15" s="3165">
        <v>369.37009999999998</v>
      </c>
      <c r="AC15" s="3165">
        <v>318.34800000000001</v>
      </c>
      <c r="AF15" s="2807">
        <v>10.686999999999999</v>
      </c>
      <c r="AG15" s="2807">
        <v>288.20800000000003</v>
      </c>
      <c r="AI15" s="3153">
        <v>7566.4559971632525</v>
      </c>
      <c r="AJ15" s="2807">
        <v>7572.7174684165702</v>
      </c>
      <c r="AK15" s="2807">
        <v>7566.4029854239698</v>
      </c>
      <c r="AM15" s="2809">
        <v>489.56900000000002</v>
      </c>
      <c r="AQ15" s="2807">
        <v>0.52354735182298973</v>
      </c>
      <c r="AS15" s="2807">
        <v>0.69279449839252893</v>
      </c>
      <c r="AT15" s="2807">
        <v>1.7489420039472695E-2</v>
      </c>
      <c r="AV15" s="3153">
        <v>7566.4559971632525</v>
      </c>
      <c r="AW15" s="3153">
        <v>7572.7174684165702</v>
      </c>
      <c r="AX15" s="3153">
        <v>7566.4029854239698</v>
      </c>
    </row>
    <row r="16" spans="1:50" s="2807" customFormat="1" ht="20.25" customHeight="1">
      <c r="A16" s="4025" t="s">
        <v>1497</v>
      </c>
      <c r="B16" s="4026"/>
      <c r="C16" s="4026"/>
      <c r="D16" s="4026"/>
      <c r="E16" s="4026"/>
      <c r="F16" s="4027"/>
      <c r="G16" s="3166">
        <v>3605.0579971632524</v>
      </c>
      <c r="H16" s="3167">
        <v>2326.3804684165707</v>
      </c>
      <c r="I16" s="3166">
        <v>7434.0709854239694</v>
      </c>
      <c r="J16" s="3157"/>
      <c r="K16" s="3157"/>
      <c r="L16" s="2809">
        <v>0.219</v>
      </c>
      <c r="M16" s="3168">
        <v>0.1311041323263083</v>
      </c>
      <c r="Z16" s="2807" t="s">
        <v>2692</v>
      </c>
    </row>
    <row r="17" spans="1:48" s="2807" customFormat="1" ht="31.5" customHeight="1">
      <c r="A17" s="4028" t="s">
        <v>2587</v>
      </c>
      <c r="B17" s="4029"/>
      <c r="C17" s="4029"/>
      <c r="D17" s="4029"/>
      <c r="E17" s="4029"/>
      <c r="F17" s="4030"/>
      <c r="G17" s="2805"/>
      <c r="H17" s="3169">
        <v>29.570666000000529</v>
      </c>
      <c r="I17" s="3170">
        <v>38.669999999999973</v>
      </c>
      <c r="K17" s="3157"/>
      <c r="L17" s="3159" t="s">
        <v>2881</v>
      </c>
      <c r="M17" s="2807" t="s">
        <v>2882</v>
      </c>
      <c r="Z17" s="2807" t="s">
        <v>2693</v>
      </c>
      <c r="AB17" s="3171"/>
      <c r="AC17" s="3171"/>
    </row>
    <row r="18" spans="1:48" s="2807" customFormat="1" ht="33.75" customHeight="1">
      <c r="A18" s="2800" t="s">
        <v>1496</v>
      </c>
      <c r="B18" s="2819"/>
      <c r="C18" s="2820"/>
      <c r="D18" s="2820"/>
      <c r="E18" s="2821"/>
      <c r="F18" s="2822"/>
      <c r="G18" s="2823" t="e">
        <v>#REF!</v>
      </c>
      <c r="H18" s="2823" t="e">
        <v>#REF!</v>
      </c>
      <c r="I18" s="2823" t="e">
        <v>#REF!</v>
      </c>
      <c r="J18" s="2824" t="e">
        <v>#REF!</v>
      </c>
      <c r="K18" s="3153"/>
      <c r="L18" s="2815">
        <v>6158.0399999999981</v>
      </c>
      <c r="M18" s="3163">
        <v>155.80799999999999</v>
      </c>
      <c r="O18" s="3160">
        <v>9327.8301973075286</v>
      </c>
      <c r="Z18" s="2807" t="s">
        <v>2694</v>
      </c>
      <c r="AB18" s="3171"/>
      <c r="AC18" s="3171"/>
      <c r="AE18" s="3163">
        <v>2670.8339999999998</v>
      </c>
    </row>
    <row r="19" spans="1:48" s="2807" customFormat="1" ht="27.75" customHeight="1" thickBot="1">
      <c r="A19" s="2825" t="s">
        <v>977</v>
      </c>
      <c r="B19" s="2826"/>
      <c r="C19" s="2827"/>
      <c r="D19" s="2827"/>
      <c r="E19" s="2828"/>
      <c r="F19" s="2829"/>
      <c r="G19" s="2823" t="e">
        <v>#REF!</v>
      </c>
      <c r="H19" s="2823" t="e">
        <v>#REF!</v>
      </c>
      <c r="I19" s="2823" t="e">
        <v>#REF!</v>
      </c>
      <c r="J19" s="2823"/>
      <c r="L19" s="2809">
        <v>0.76478816365638247</v>
      </c>
      <c r="M19" s="3168">
        <v>1.9996067402180275E-2</v>
      </c>
      <c r="Z19" s="2807" t="s">
        <v>2695</v>
      </c>
      <c r="AC19" s="3171"/>
      <c r="AE19" s="2807">
        <v>2765.223</v>
      </c>
    </row>
    <row r="20" spans="1:48" s="2807" customFormat="1" ht="32.25" customHeight="1">
      <c r="A20" s="4031" t="s">
        <v>2588</v>
      </c>
      <c r="B20" s="4032"/>
      <c r="C20" s="4032"/>
      <c r="D20" s="4032"/>
      <c r="E20" s="4032"/>
      <c r="F20" s="4033"/>
      <c r="G20" s="3172">
        <v>-9.5000000000000029E-2</v>
      </c>
      <c r="H20" s="3172">
        <v>-0.74440072258875267</v>
      </c>
      <c r="I20" s="3172">
        <v>-4.3428308143903145E-3</v>
      </c>
      <c r="J20" s="3172">
        <v>8.5539999999999505E-3</v>
      </c>
      <c r="K20" s="3173"/>
      <c r="L20" s="3159" t="s">
        <v>2883</v>
      </c>
      <c r="M20" s="2807" t="s">
        <v>2884</v>
      </c>
      <c r="T20" s="3155" t="s">
        <v>2613</v>
      </c>
      <c r="U20" s="3155" t="s">
        <v>2614</v>
      </c>
      <c r="AE20" s="3153">
        <v>7566.4559971632525</v>
      </c>
    </row>
    <row r="21" spans="1:48" s="2807" customFormat="1" ht="32.25" customHeight="1">
      <c r="A21" s="3161" t="s">
        <v>1496</v>
      </c>
      <c r="B21" s="3318">
        <v>517.77599999999995</v>
      </c>
      <c r="C21" s="3319">
        <v>58.371000000000002</v>
      </c>
      <c r="D21" s="3320">
        <v>0</v>
      </c>
      <c r="E21" s="3319">
        <v>301.077</v>
      </c>
      <c r="F21" s="3319">
        <v>158.328</v>
      </c>
      <c r="G21" s="2806"/>
      <c r="H21" s="2806"/>
      <c r="I21" s="2807">
        <v>624.76</v>
      </c>
      <c r="J21" s="3174">
        <v>7488.5407505286366</v>
      </c>
      <c r="L21" s="2815">
        <v>615.11999999999921</v>
      </c>
      <c r="M21" s="3163">
        <v>204.67800000000079</v>
      </c>
      <c r="O21" s="3160">
        <v>819.798</v>
      </c>
      <c r="S21" s="3155"/>
      <c r="T21" s="3155">
        <v>360.93799999999999</v>
      </c>
      <c r="U21" s="3155">
        <v>309.49200000000002</v>
      </c>
      <c r="V21" s="3155"/>
      <c r="W21" s="3155"/>
      <c r="AE21" s="3153">
        <v>7572.7174684165702</v>
      </c>
      <c r="AS21" s="3160">
        <v>570.28139139999996</v>
      </c>
      <c r="AT21" s="3176">
        <v>7.7893497683378832E-2</v>
      </c>
    </row>
    <row r="22" spans="1:48" s="2807" customFormat="1" ht="32.25" customHeight="1" thickBot="1">
      <c r="A22" s="3175" t="s">
        <v>977</v>
      </c>
      <c r="B22" s="3315">
        <v>6.9142442733378828E-2</v>
      </c>
      <c r="C22" s="3315">
        <v>7.7947099898078845E-3</v>
      </c>
      <c r="D22" s="3322">
        <v>0</v>
      </c>
      <c r="E22" s="3315">
        <v>4.0205028930283888E-2</v>
      </c>
      <c r="F22" s="3315">
        <v>2.1142703813287051E-2</v>
      </c>
      <c r="G22" s="2806"/>
      <c r="H22" s="2806"/>
      <c r="I22" s="2807">
        <v>7488.5407939404313</v>
      </c>
      <c r="J22" s="2807">
        <v>7488.5408121971996</v>
      </c>
      <c r="L22" s="2809">
        <v>7.8943231617089077E-2</v>
      </c>
      <c r="M22" s="3168">
        <v>2.6267939282600829E-2</v>
      </c>
      <c r="AE22" s="2807">
        <v>7566.4029854239698</v>
      </c>
    </row>
    <row r="23" spans="1:48" s="2807" customFormat="1" ht="32.25" hidden="1" customHeight="1">
      <c r="A23" s="2834" t="s">
        <v>1497</v>
      </c>
      <c r="B23" s="2835"/>
      <c r="C23" s="2835"/>
      <c r="D23" s="2835"/>
      <c r="E23" s="2835"/>
      <c r="F23" s="2836"/>
      <c r="G23" s="2806"/>
      <c r="H23" s="2806"/>
      <c r="J23" s="2807">
        <v>7488.5407939404313</v>
      </c>
      <c r="L23" s="2807">
        <v>4475.3175067243601</v>
      </c>
      <c r="M23" s="3176">
        <v>-5.1252354693137776E-3</v>
      </c>
    </row>
    <row r="24" spans="1:48" s="2807" customFormat="1" ht="24.75" hidden="1" customHeight="1">
      <c r="A24" s="2837" t="s">
        <v>2098</v>
      </c>
      <c r="B24" s="3300"/>
      <c r="C24" s="3300"/>
      <c r="D24" s="3300"/>
      <c r="E24" s="3300"/>
      <c r="F24" s="2838"/>
      <c r="G24" s="2806"/>
      <c r="H24" s="2806"/>
    </row>
    <row r="25" spans="1:48" s="2807" customFormat="1" ht="33" hidden="1" customHeight="1">
      <c r="A25" s="2817" t="s">
        <v>1496</v>
      </c>
      <c r="B25" s="2814">
        <v>542.47320000000002</v>
      </c>
      <c r="C25" s="2830"/>
      <c r="D25" s="2830"/>
      <c r="E25" s="2815">
        <v>325.3732</v>
      </c>
      <c r="F25" s="2816">
        <v>217.1</v>
      </c>
      <c r="G25" s="2806"/>
      <c r="H25" s="2806"/>
    </row>
    <row r="26" spans="1:48" s="2807" customFormat="1" ht="24.75" hidden="1" customHeight="1">
      <c r="A26" s="2817" t="s">
        <v>977</v>
      </c>
      <c r="B26" s="2809">
        <v>9.7461106666666658E-2</v>
      </c>
      <c r="C26" s="2832"/>
      <c r="D26" s="2832"/>
      <c r="E26" s="2809">
        <v>5.4041106666666665E-2</v>
      </c>
      <c r="F26" s="2812">
        <v>4.342E-2</v>
      </c>
      <c r="G26" s="2806"/>
      <c r="H26" s="2806">
        <v>6020.8463532575079</v>
      </c>
    </row>
    <row r="27" spans="1:48" s="2807" customFormat="1" ht="24.75" hidden="1" customHeight="1">
      <c r="A27" s="2837" t="s">
        <v>2099</v>
      </c>
      <c r="B27" s="3300"/>
      <c r="C27" s="3300"/>
      <c r="D27" s="3300"/>
      <c r="E27" s="2839"/>
      <c r="F27" s="2838"/>
      <c r="G27" s="2806"/>
      <c r="H27" s="2806"/>
    </row>
    <row r="28" spans="1:48" s="2807" customFormat="1" ht="35.25" hidden="1" customHeight="1">
      <c r="A28" s="2817" t="s">
        <v>1496</v>
      </c>
      <c r="B28" s="2840">
        <v>0</v>
      </c>
      <c r="C28" s="2841"/>
      <c r="D28" s="2841"/>
      <c r="E28" s="2840">
        <v>0</v>
      </c>
      <c r="F28" s="2842">
        <v>0</v>
      </c>
      <c r="G28" s="2806"/>
      <c r="H28" s="2806"/>
    </row>
    <row r="29" spans="1:48" s="2807" customFormat="1" ht="24.75" hidden="1" customHeight="1" thickBot="1">
      <c r="A29" s="2817" t="s">
        <v>977</v>
      </c>
      <c r="B29" s="2843">
        <v>0</v>
      </c>
      <c r="C29" s="2844"/>
      <c r="D29" s="2844"/>
      <c r="E29" s="2843">
        <v>0</v>
      </c>
      <c r="F29" s="2845">
        <v>0</v>
      </c>
      <c r="G29" s="2806"/>
      <c r="H29" s="2806"/>
    </row>
    <row r="30" spans="1:48" ht="33" customHeight="1" thickBot="1">
      <c r="A30" s="4034" t="s">
        <v>2589</v>
      </c>
      <c r="B30" s="4035"/>
      <c r="C30" s="4035"/>
      <c r="D30" s="4035"/>
      <c r="E30" s="4035"/>
      <c r="F30" s="4036"/>
      <c r="AE30" s="2915">
        <v>7569.9710529055756</v>
      </c>
    </row>
    <row r="31" spans="1:48" s="2807" customFormat="1" ht="28.5" customHeight="1">
      <c r="A31" s="3177" t="s">
        <v>1496</v>
      </c>
      <c r="B31" s="3323">
        <v>123599.573</v>
      </c>
      <c r="C31" s="3178">
        <v>123258.58100000001</v>
      </c>
      <c r="D31" s="3179"/>
      <c r="E31" s="3178">
        <v>340.99199999999996</v>
      </c>
      <c r="F31" s="3180"/>
      <c r="L31" s="3160">
        <v>9340.0670000000009</v>
      </c>
      <c r="AT31" s="3181">
        <v>123258.58100000001</v>
      </c>
      <c r="AU31" s="3181"/>
      <c r="AV31" s="3181">
        <v>340.99199999999996</v>
      </c>
    </row>
    <row r="32" spans="1:48" s="2807" customFormat="1" ht="28.5" customHeight="1" thickBot="1">
      <c r="A32" s="3175" t="s">
        <v>977</v>
      </c>
      <c r="B32" s="3315">
        <v>22.003781167819429</v>
      </c>
      <c r="C32" s="3315">
        <v>21.943146749999997</v>
      </c>
      <c r="D32" s="3182"/>
      <c r="E32" s="3315">
        <v>6.0634417819434239E-2</v>
      </c>
      <c r="F32" s="3183"/>
      <c r="L32" s="3160">
        <v>10147.628197307527</v>
      </c>
      <c r="AA32" s="2807">
        <v>5617.1789034770054</v>
      </c>
      <c r="AB32" s="2807">
        <v>5623.73668723025</v>
      </c>
      <c r="AC32" s="2807" t="e">
        <v>#DIV/0!</v>
      </c>
      <c r="AQ32" s="2807">
        <v>5617.1789034770054</v>
      </c>
      <c r="AS32" s="2807">
        <v>5623.73668723025</v>
      </c>
      <c r="AT32" s="3176">
        <v>21.943146749999997</v>
      </c>
      <c r="AU32" s="3176"/>
      <c r="AV32" s="3176">
        <v>6.0634417819434239E-2</v>
      </c>
    </row>
    <row r="33" spans="1:12" ht="17.25" customHeight="1">
      <c r="A33" s="2851"/>
      <c r="B33" s="2852"/>
      <c r="C33" s="2798"/>
      <c r="D33" s="2798"/>
      <c r="E33" s="2853"/>
      <c r="F33" s="2853"/>
      <c r="L33" s="3184">
        <v>1.2400995342845609</v>
      </c>
    </row>
    <row r="34" spans="1:12" s="2807" customFormat="1" ht="17.25" customHeight="1">
      <c r="A34" s="4037" t="s">
        <v>2953</v>
      </c>
      <c r="B34" s="4037"/>
      <c r="C34" s="4037"/>
      <c r="D34" s="4037"/>
      <c r="E34" s="4037"/>
      <c r="F34" s="4037"/>
      <c r="L34" s="3164">
        <v>1.2338312702549914</v>
      </c>
    </row>
    <row r="35" spans="1:12" s="2807" customFormat="1" ht="35.4" customHeight="1">
      <c r="A35" s="4037" t="s">
        <v>2590</v>
      </c>
      <c r="B35" s="4037"/>
      <c r="C35" s="4037"/>
      <c r="D35" s="4037"/>
      <c r="E35" s="4037"/>
      <c r="F35" s="4037"/>
    </row>
    <row r="36" spans="1:12" s="2807" customFormat="1" ht="15" customHeight="1">
      <c r="A36" s="4037" t="s">
        <v>2954</v>
      </c>
      <c r="B36" s="4037"/>
      <c r="C36" s="4037"/>
      <c r="D36" s="4037"/>
      <c r="E36" s="4037"/>
      <c r="F36" s="4037"/>
    </row>
    <row r="37" spans="1:12" ht="15" customHeight="1">
      <c r="A37" s="4011" t="s">
        <v>2591</v>
      </c>
      <c r="B37" s="4011"/>
      <c r="C37" s="3300"/>
      <c r="D37" s="4012" t="s">
        <v>2493</v>
      </c>
      <c r="E37" s="4012"/>
      <c r="F37" s="4012"/>
    </row>
    <row r="38" spans="1:12" ht="32.25" customHeight="1">
      <c r="A38" s="4011"/>
      <c r="B38" s="4011"/>
      <c r="C38" s="2854"/>
      <c r="D38" s="4012"/>
      <c r="E38" s="4012"/>
      <c r="F38" s="4012"/>
    </row>
    <row r="39" spans="1:12" ht="15">
      <c r="A39" s="4011"/>
      <c r="B39" s="4011"/>
      <c r="C39" s="2854"/>
      <c r="D39" s="4012"/>
      <c r="E39" s="4012"/>
      <c r="F39" s="4012"/>
    </row>
    <row r="40" spans="1:12" ht="15">
      <c r="A40" s="4011"/>
      <c r="B40" s="4011"/>
      <c r="C40" s="2854"/>
      <c r="D40" s="4012"/>
      <c r="E40" s="4012"/>
      <c r="F40" s="4012"/>
    </row>
    <row r="41" spans="1:12" ht="15">
      <c r="A41" s="4011"/>
      <c r="B41" s="4011"/>
      <c r="C41" s="2854"/>
      <c r="D41" s="4012"/>
      <c r="E41" s="4012"/>
      <c r="F41" s="4012"/>
    </row>
    <row r="42" spans="1:12" ht="25.5" customHeight="1">
      <c r="A42" s="4008" t="s">
        <v>2115</v>
      </c>
      <c r="B42" s="4008"/>
      <c r="C42" s="2854"/>
      <c r="D42" s="4009" t="s">
        <v>2955</v>
      </c>
      <c r="E42" s="4009"/>
      <c r="F42" s="4009"/>
    </row>
    <row r="43" spans="1:12" ht="15">
      <c r="A43" s="4009" t="s">
        <v>2116</v>
      </c>
      <c r="B43" s="4009"/>
      <c r="C43" s="2854"/>
      <c r="D43" s="4009" t="s">
        <v>2116</v>
      </c>
      <c r="E43" s="4009"/>
      <c r="F43" s="4009"/>
    </row>
    <row r="44" spans="1:12" ht="24.75" customHeight="1">
      <c r="A44" s="4010" t="s">
        <v>1507</v>
      </c>
      <c r="B44" s="4010"/>
      <c r="C44" s="2854"/>
      <c r="D44" s="4010" t="s">
        <v>1507</v>
      </c>
      <c r="E44" s="4010"/>
      <c r="F44" s="4010"/>
    </row>
    <row r="45" spans="1:12" ht="39" customHeight="1">
      <c r="A45" s="4006" t="s">
        <v>2117</v>
      </c>
      <c r="B45" s="4006"/>
    </row>
    <row r="46" spans="1:12" ht="13.8">
      <c r="A46" s="3300"/>
      <c r="B46" s="3300"/>
      <c r="C46" s="3300"/>
      <c r="D46" s="3300"/>
      <c r="E46" s="3300"/>
      <c r="F46" s="3300"/>
    </row>
    <row r="47" spans="1:12" ht="15">
      <c r="A47" s="3300"/>
      <c r="B47" s="3300"/>
      <c r="C47" s="2854"/>
      <c r="D47" s="3300"/>
      <c r="E47" s="3300"/>
      <c r="F47" s="3300"/>
    </row>
    <row r="48" spans="1:12" ht="15.75" customHeight="1">
      <c r="A48" s="2854"/>
      <c r="B48" s="2854"/>
      <c r="C48" s="2854"/>
      <c r="D48" s="2854"/>
      <c r="E48" s="2854"/>
      <c r="F48" s="2854"/>
    </row>
    <row r="49" spans="1:6" ht="17.399999999999999">
      <c r="A49" s="4007"/>
      <c r="B49" s="4007"/>
      <c r="C49" s="2854"/>
      <c r="D49" s="2854"/>
      <c r="E49" s="2854"/>
      <c r="F49" s="2854"/>
    </row>
    <row r="50" spans="1:6" ht="15">
      <c r="A50" s="2854"/>
      <c r="B50" s="2854"/>
      <c r="C50" s="2854"/>
      <c r="D50" s="3299"/>
      <c r="E50" s="2854"/>
      <c r="F50" s="2854"/>
    </row>
  </sheetData>
  <mergeCells count="28">
    <mergeCell ref="E1:F1"/>
    <mergeCell ref="A2:F2"/>
    <mergeCell ref="A3:F3"/>
    <mergeCell ref="A4:F4"/>
    <mergeCell ref="A6:A7"/>
    <mergeCell ref="B6:B7"/>
    <mergeCell ref="C6:F6"/>
    <mergeCell ref="A37:B41"/>
    <mergeCell ref="D37:F41"/>
    <mergeCell ref="A8:F8"/>
    <mergeCell ref="A9:F9"/>
    <mergeCell ref="A12:F12"/>
    <mergeCell ref="A13:F13"/>
    <mergeCell ref="A16:F16"/>
    <mergeCell ref="A17:F17"/>
    <mergeCell ref="A20:F20"/>
    <mergeCell ref="A30:F30"/>
    <mergeCell ref="A34:F34"/>
    <mergeCell ref="A35:F35"/>
    <mergeCell ref="A36:F36"/>
    <mergeCell ref="A45:B45"/>
    <mergeCell ref="A49:B49"/>
    <mergeCell ref="A42:B42"/>
    <mergeCell ref="D42:F42"/>
    <mergeCell ref="A43:B43"/>
    <mergeCell ref="D43:F43"/>
    <mergeCell ref="A44:B44"/>
    <mergeCell ref="D44:F44"/>
  </mergeCells>
  <printOptions horizontalCentered="1"/>
  <pageMargins left="1.1811023622047245" right="0.39370078740157483" top="0.78740157480314965" bottom="0.19685039370078741" header="0.51181102362204722" footer="0.51181102362204722"/>
  <pageSetup paperSize="9" scale="61" orientation="portrait" r:id="rId1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7"/>
  <dimension ref="A1:Q124"/>
  <sheetViews>
    <sheetView workbookViewId="0">
      <selection activeCell="K8" sqref="K8"/>
    </sheetView>
  </sheetViews>
  <sheetFormatPr defaultRowHeight="14.4" outlineLevelRow="1"/>
  <cols>
    <col min="1" max="1" width="9.109375" style="2513"/>
    <col min="2" max="2" width="13.33203125" style="2513" customWidth="1"/>
    <col min="3" max="3" width="8.5546875" style="2570" customWidth="1"/>
    <col min="4" max="4" width="13.33203125" style="2513" customWidth="1"/>
    <col min="5" max="5" width="8.5546875" style="2513" customWidth="1"/>
    <col min="6" max="6" width="13.33203125" style="2513" customWidth="1"/>
    <col min="7" max="7" width="8.5546875" style="2513" customWidth="1"/>
    <col min="8" max="257" width="9.109375" style="2513"/>
    <col min="258" max="258" width="13.33203125" style="2513" customWidth="1"/>
    <col min="259" max="259" width="8.5546875" style="2513" customWidth="1"/>
    <col min="260" max="260" width="13.33203125" style="2513" customWidth="1"/>
    <col min="261" max="261" width="8.5546875" style="2513" customWidth="1"/>
    <col min="262" max="262" width="13.33203125" style="2513" customWidth="1"/>
    <col min="263" max="263" width="8.5546875" style="2513" customWidth="1"/>
    <col min="264" max="513" width="9.109375" style="2513"/>
    <col min="514" max="514" width="13.33203125" style="2513" customWidth="1"/>
    <col min="515" max="515" width="8.5546875" style="2513" customWidth="1"/>
    <col min="516" max="516" width="13.33203125" style="2513" customWidth="1"/>
    <col min="517" max="517" width="8.5546875" style="2513" customWidth="1"/>
    <col min="518" max="518" width="13.33203125" style="2513" customWidth="1"/>
    <col min="519" max="519" width="8.5546875" style="2513" customWidth="1"/>
    <col min="520" max="769" width="9.109375" style="2513"/>
    <col min="770" max="770" width="13.33203125" style="2513" customWidth="1"/>
    <col min="771" max="771" width="8.5546875" style="2513" customWidth="1"/>
    <col min="772" max="772" width="13.33203125" style="2513" customWidth="1"/>
    <col min="773" max="773" width="8.5546875" style="2513" customWidth="1"/>
    <col min="774" max="774" width="13.33203125" style="2513" customWidth="1"/>
    <col min="775" max="775" width="8.5546875" style="2513" customWidth="1"/>
    <col min="776" max="1025" width="9.109375" style="2513"/>
    <col min="1026" max="1026" width="13.33203125" style="2513" customWidth="1"/>
    <col min="1027" max="1027" width="8.5546875" style="2513" customWidth="1"/>
    <col min="1028" max="1028" width="13.33203125" style="2513" customWidth="1"/>
    <col min="1029" max="1029" width="8.5546875" style="2513" customWidth="1"/>
    <col min="1030" max="1030" width="13.33203125" style="2513" customWidth="1"/>
    <col min="1031" max="1031" width="8.5546875" style="2513" customWidth="1"/>
    <col min="1032" max="1281" width="9.109375" style="2513"/>
    <col min="1282" max="1282" width="13.33203125" style="2513" customWidth="1"/>
    <col min="1283" max="1283" width="8.5546875" style="2513" customWidth="1"/>
    <col min="1284" max="1284" width="13.33203125" style="2513" customWidth="1"/>
    <col min="1285" max="1285" width="8.5546875" style="2513" customWidth="1"/>
    <col min="1286" max="1286" width="13.33203125" style="2513" customWidth="1"/>
    <col min="1287" max="1287" width="8.5546875" style="2513" customWidth="1"/>
    <col min="1288" max="1537" width="9.109375" style="2513"/>
    <col min="1538" max="1538" width="13.33203125" style="2513" customWidth="1"/>
    <col min="1539" max="1539" width="8.5546875" style="2513" customWidth="1"/>
    <col min="1540" max="1540" width="13.33203125" style="2513" customWidth="1"/>
    <col min="1541" max="1541" width="8.5546875" style="2513" customWidth="1"/>
    <col min="1542" max="1542" width="13.33203125" style="2513" customWidth="1"/>
    <col min="1543" max="1543" width="8.5546875" style="2513" customWidth="1"/>
    <col min="1544" max="1793" width="9.109375" style="2513"/>
    <col min="1794" max="1794" width="13.33203125" style="2513" customWidth="1"/>
    <col min="1795" max="1795" width="8.5546875" style="2513" customWidth="1"/>
    <col min="1796" max="1796" width="13.33203125" style="2513" customWidth="1"/>
    <col min="1797" max="1797" width="8.5546875" style="2513" customWidth="1"/>
    <col min="1798" max="1798" width="13.33203125" style="2513" customWidth="1"/>
    <col min="1799" max="1799" width="8.5546875" style="2513" customWidth="1"/>
    <col min="1800" max="2049" width="9.109375" style="2513"/>
    <col min="2050" max="2050" width="13.33203125" style="2513" customWidth="1"/>
    <col min="2051" max="2051" width="8.5546875" style="2513" customWidth="1"/>
    <col min="2052" max="2052" width="13.33203125" style="2513" customWidth="1"/>
    <col min="2053" max="2053" width="8.5546875" style="2513" customWidth="1"/>
    <col min="2054" max="2054" width="13.33203125" style="2513" customWidth="1"/>
    <col min="2055" max="2055" width="8.5546875" style="2513" customWidth="1"/>
    <col min="2056" max="2305" width="9.109375" style="2513"/>
    <col min="2306" max="2306" width="13.33203125" style="2513" customWidth="1"/>
    <col min="2307" max="2307" width="8.5546875" style="2513" customWidth="1"/>
    <col min="2308" max="2308" width="13.33203125" style="2513" customWidth="1"/>
    <col min="2309" max="2309" width="8.5546875" style="2513" customWidth="1"/>
    <col min="2310" max="2310" width="13.33203125" style="2513" customWidth="1"/>
    <col min="2311" max="2311" width="8.5546875" style="2513" customWidth="1"/>
    <col min="2312" max="2561" width="9.109375" style="2513"/>
    <col min="2562" max="2562" width="13.33203125" style="2513" customWidth="1"/>
    <col min="2563" max="2563" width="8.5546875" style="2513" customWidth="1"/>
    <col min="2564" max="2564" width="13.33203125" style="2513" customWidth="1"/>
    <col min="2565" max="2565" width="8.5546875" style="2513" customWidth="1"/>
    <col min="2566" max="2566" width="13.33203125" style="2513" customWidth="1"/>
    <col min="2567" max="2567" width="8.5546875" style="2513" customWidth="1"/>
    <col min="2568" max="2817" width="9.109375" style="2513"/>
    <col min="2818" max="2818" width="13.33203125" style="2513" customWidth="1"/>
    <col min="2819" max="2819" width="8.5546875" style="2513" customWidth="1"/>
    <col min="2820" max="2820" width="13.33203125" style="2513" customWidth="1"/>
    <col min="2821" max="2821" width="8.5546875" style="2513" customWidth="1"/>
    <col min="2822" max="2822" width="13.33203125" style="2513" customWidth="1"/>
    <col min="2823" max="2823" width="8.5546875" style="2513" customWidth="1"/>
    <col min="2824" max="3073" width="9.109375" style="2513"/>
    <col min="3074" max="3074" width="13.33203125" style="2513" customWidth="1"/>
    <col min="3075" max="3075" width="8.5546875" style="2513" customWidth="1"/>
    <col min="3076" max="3076" width="13.33203125" style="2513" customWidth="1"/>
    <col min="3077" max="3077" width="8.5546875" style="2513" customWidth="1"/>
    <col min="3078" max="3078" width="13.33203125" style="2513" customWidth="1"/>
    <col min="3079" max="3079" width="8.5546875" style="2513" customWidth="1"/>
    <col min="3080" max="3329" width="9.109375" style="2513"/>
    <col min="3330" max="3330" width="13.33203125" style="2513" customWidth="1"/>
    <col min="3331" max="3331" width="8.5546875" style="2513" customWidth="1"/>
    <col min="3332" max="3332" width="13.33203125" style="2513" customWidth="1"/>
    <col min="3333" max="3333" width="8.5546875" style="2513" customWidth="1"/>
    <col min="3334" max="3334" width="13.33203125" style="2513" customWidth="1"/>
    <col min="3335" max="3335" width="8.5546875" style="2513" customWidth="1"/>
    <col min="3336" max="3585" width="9.109375" style="2513"/>
    <col min="3586" max="3586" width="13.33203125" style="2513" customWidth="1"/>
    <col min="3587" max="3587" width="8.5546875" style="2513" customWidth="1"/>
    <col min="3588" max="3588" width="13.33203125" style="2513" customWidth="1"/>
    <col min="3589" max="3589" width="8.5546875" style="2513" customWidth="1"/>
    <col min="3590" max="3590" width="13.33203125" style="2513" customWidth="1"/>
    <col min="3591" max="3591" width="8.5546875" style="2513" customWidth="1"/>
    <col min="3592" max="3841" width="9.109375" style="2513"/>
    <col min="3842" max="3842" width="13.33203125" style="2513" customWidth="1"/>
    <col min="3843" max="3843" width="8.5546875" style="2513" customWidth="1"/>
    <col min="3844" max="3844" width="13.33203125" style="2513" customWidth="1"/>
    <col min="3845" max="3845" width="8.5546875" style="2513" customWidth="1"/>
    <col min="3846" max="3846" width="13.33203125" style="2513" customWidth="1"/>
    <col min="3847" max="3847" width="8.5546875" style="2513" customWidth="1"/>
    <col min="3848" max="4097" width="9.109375" style="2513"/>
    <col min="4098" max="4098" width="13.33203125" style="2513" customWidth="1"/>
    <col min="4099" max="4099" width="8.5546875" style="2513" customWidth="1"/>
    <col min="4100" max="4100" width="13.33203125" style="2513" customWidth="1"/>
    <col min="4101" max="4101" width="8.5546875" style="2513" customWidth="1"/>
    <col min="4102" max="4102" width="13.33203125" style="2513" customWidth="1"/>
    <col min="4103" max="4103" width="8.5546875" style="2513" customWidth="1"/>
    <col min="4104" max="4353" width="9.109375" style="2513"/>
    <col min="4354" max="4354" width="13.33203125" style="2513" customWidth="1"/>
    <col min="4355" max="4355" width="8.5546875" style="2513" customWidth="1"/>
    <col min="4356" max="4356" width="13.33203125" style="2513" customWidth="1"/>
    <col min="4357" max="4357" width="8.5546875" style="2513" customWidth="1"/>
    <col min="4358" max="4358" width="13.33203125" style="2513" customWidth="1"/>
    <col min="4359" max="4359" width="8.5546875" style="2513" customWidth="1"/>
    <col min="4360" max="4609" width="9.109375" style="2513"/>
    <col min="4610" max="4610" width="13.33203125" style="2513" customWidth="1"/>
    <col min="4611" max="4611" width="8.5546875" style="2513" customWidth="1"/>
    <col min="4612" max="4612" width="13.33203125" style="2513" customWidth="1"/>
    <col min="4613" max="4613" width="8.5546875" style="2513" customWidth="1"/>
    <col min="4614" max="4614" width="13.33203125" style="2513" customWidth="1"/>
    <col min="4615" max="4615" width="8.5546875" style="2513" customWidth="1"/>
    <col min="4616" max="4865" width="9.109375" style="2513"/>
    <col min="4866" max="4866" width="13.33203125" style="2513" customWidth="1"/>
    <col min="4867" max="4867" width="8.5546875" style="2513" customWidth="1"/>
    <col min="4868" max="4868" width="13.33203125" style="2513" customWidth="1"/>
    <col min="4869" max="4869" width="8.5546875" style="2513" customWidth="1"/>
    <col min="4870" max="4870" width="13.33203125" style="2513" customWidth="1"/>
    <col min="4871" max="4871" width="8.5546875" style="2513" customWidth="1"/>
    <col min="4872" max="5121" width="9.109375" style="2513"/>
    <col min="5122" max="5122" width="13.33203125" style="2513" customWidth="1"/>
    <col min="5123" max="5123" width="8.5546875" style="2513" customWidth="1"/>
    <col min="5124" max="5124" width="13.33203125" style="2513" customWidth="1"/>
    <col min="5125" max="5125" width="8.5546875" style="2513" customWidth="1"/>
    <col min="5126" max="5126" width="13.33203125" style="2513" customWidth="1"/>
    <col min="5127" max="5127" width="8.5546875" style="2513" customWidth="1"/>
    <col min="5128" max="5377" width="9.109375" style="2513"/>
    <col min="5378" max="5378" width="13.33203125" style="2513" customWidth="1"/>
    <col min="5379" max="5379" width="8.5546875" style="2513" customWidth="1"/>
    <col min="5380" max="5380" width="13.33203125" style="2513" customWidth="1"/>
    <col min="5381" max="5381" width="8.5546875" style="2513" customWidth="1"/>
    <col min="5382" max="5382" width="13.33203125" style="2513" customWidth="1"/>
    <col min="5383" max="5383" width="8.5546875" style="2513" customWidth="1"/>
    <col min="5384" max="5633" width="9.109375" style="2513"/>
    <col min="5634" max="5634" width="13.33203125" style="2513" customWidth="1"/>
    <col min="5635" max="5635" width="8.5546875" style="2513" customWidth="1"/>
    <col min="5636" max="5636" width="13.33203125" style="2513" customWidth="1"/>
    <col min="5637" max="5637" width="8.5546875" style="2513" customWidth="1"/>
    <col min="5638" max="5638" width="13.33203125" style="2513" customWidth="1"/>
    <col min="5639" max="5639" width="8.5546875" style="2513" customWidth="1"/>
    <col min="5640" max="5889" width="9.109375" style="2513"/>
    <col min="5890" max="5890" width="13.33203125" style="2513" customWidth="1"/>
    <col min="5891" max="5891" width="8.5546875" style="2513" customWidth="1"/>
    <col min="5892" max="5892" width="13.33203125" style="2513" customWidth="1"/>
    <col min="5893" max="5893" width="8.5546875" style="2513" customWidth="1"/>
    <col min="5894" max="5894" width="13.33203125" style="2513" customWidth="1"/>
    <col min="5895" max="5895" width="8.5546875" style="2513" customWidth="1"/>
    <col min="5896" max="6145" width="9.109375" style="2513"/>
    <col min="6146" max="6146" width="13.33203125" style="2513" customWidth="1"/>
    <col min="6147" max="6147" width="8.5546875" style="2513" customWidth="1"/>
    <col min="6148" max="6148" width="13.33203125" style="2513" customWidth="1"/>
    <col min="6149" max="6149" width="8.5546875" style="2513" customWidth="1"/>
    <col min="6150" max="6150" width="13.33203125" style="2513" customWidth="1"/>
    <col min="6151" max="6151" width="8.5546875" style="2513" customWidth="1"/>
    <col min="6152" max="6401" width="9.109375" style="2513"/>
    <col min="6402" max="6402" width="13.33203125" style="2513" customWidth="1"/>
    <col min="6403" max="6403" width="8.5546875" style="2513" customWidth="1"/>
    <col min="6404" max="6404" width="13.33203125" style="2513" customWidth="1"/>
    <col min="6405" max="6405" width="8.5546875" style="2513" customWidth="1"/>
    <col min="6406" max="6406" width="13.33203125" style="2513" customWidth="1"/>
    <col min="6407" max="6407" width="8.5546875" style="2513" customWidth="1"/>
    <col min="6408" max="6657" width="9.109375" style="2513"/>
    <col min="6658" max="6658" width="13.33203125" style="2513" customWidth="1"/>
    <col min="6659" max="6659" width="8.5546875" style="2513" customWidth="1"/>
    <col min="6660" max="6660" width="13.33203125" style="2513" customWidth="1"/>
    <col min="6661" max="6661" width="8.5546875" style="2513" customWidth="1"/>
    <col min="6662" max="6662" width="13.33203125" style="2513" customWidth="1"/>
    <col min="6663" max="6663" width="8.5546875" style="2513" customWidth="1"/>
    <col min="6664" max="6913" width="9.109375" style="2513"/>
    <col min="6914" max="6914" width="13.33203125" style="2513" customWidth="1"/>
    <col min="6915" max="6915" width="8.5546875" style="2513" customWidth="1"/>
    <col min="6916" max="6916" width="13.33203125" style="2513" customWidth="1"/>
    <col min="6917" max="6917" width="8.5546875" style="2513" customWidth="1"/>
    <col min="6918" max="6918" width="13.33203125" style="2513" customWidth="1"/>
    <col min="6919" max="6919" width="8.5546875" style="2513" customWidth="1"/>
    <col min="6920" max="7169" width="9.109375" style="2513"/>
    <col min="7170" max="7170" width="13.33203125" style="2513" customWidth="1"/>
    <col min="7171" max="7171" width="8.5546875" style="2513" customWidth="1"/>
    <col min="7172" max="7172" width="13.33203125" style="2513" customWidth="1"/>
    <col min="7173" max="7173" width="8.5546875" style="2513" customWidth="1"/>
    <col min="7174" max="7174" width="13.33203125" style="2513" customWidth="1"/>
    <col min="7175" max="7175" width="8.5546875" style="2513" customWidth="1"/>
    <col min="7176" max="7425" width="9.109375" style="2513"/>
    <col min="7426" max="7426" width="13.33203125" style="2513" customWidth="1"/>
    <col min="7427" max="7427" width="8.5546875" style="2513" customWidth="1"/>
    <col min="7428" max="7428" width="13.33203125" style="2513" customWidth="1"/>
    <col min="7429" max="7429" width="8.5546875" style="2513" customWidth="1"/>
    <col min="7430" max="7430" width="13.33203125" style="2513" customWidth="1"/>
    <col min="7431" max="7431" width="8.5546875" style="2513" customWidth="1"/>
    <col min="7432" max="7681" width="9.109375" style="2513"/>
    <col min="7682" max="7682" width="13.33203125" style="2513" customWidth="1"/>
    <col min="7683" max="7683" width="8.5546875" style="2513" customWidth="1"/>
    <col min="7684" max="7684" width="13.33203125" style="2513" customWidth="1"/>
    <col min="7685" max="7685" width="8.5546875" style="2513" customWidth="1"/>
    <col min="7686" max="7686" width="13.33203125" style="2513" customWidth="1"/>
    <col min="7687" max="7687" width="8.5546875" style="2513" customWidth="1"/>
    <col min="7688" max="7937" width="9.109375" style="2513"/>
    <col min="7938" max="7938" width="13.33203125" style="2513" customWidth="1"/>
    <col min="7939" max="7939" width="8.5546875" style="2513" customWidth="1"/>
    <col min="7940" max="7940" width="13.33203125" style="2513" customWidth="1"/>
    <col min="7941" max="7941" width="8.5546875" style="2513" customWidth="1"/>
    <col min="7942" max="7942" width="13.33203125" style="2513" customWidth="1"/>
    <col min="7943" max="7943" width="8.5546875" style="2513" customWidth="1"/>
    <col min="7944" max="8193" width="9.109375" style="2513"/>
    <col min="8194" max="8194" width="13.33203125" style="2513" customWidth="1"/>
    <col min="8195" max="8195" width="8.5546875" style="2513" customWidth="1"/>
    <col min="8196" max="8196" width="13.33203125" style="2513" customWidth="1"/>
    <col min="8197" max="8197" width="8.5546875" style="2513" customWidth="1"/>
    <col min="8198" max="8198" width="13.33203125" style="2513" customWidth="1"/>
    <col min="8199" max="8199" width="8.5546875" style="2513" customWidth="1"/>
    <col min="8200" max="8449" width="9.109375" style="2513"/>
    <col min="8450" max="8450" width="13.33203125" style="2513" customWidth="1"/>
    <col min="8451" max="8451" width="8.5546875" style="2513" customWidth="1"/>
    <col min="8452" max="8452" width="13.33203125" style="2513" customWidth="1"/>
    <col min="8453" max="8453" width="8.5546875" style="2513" customWidth="1"/>
    <col min="8454" max="8454" width="13.33203125" style="2513" customWidth="1"/>
    <col min="8455" max="8455" width="8.5546875" style="2513" customWidth="1"/>
    <col min="8456" max="8705" width="9.109375" style="2513"/>
    <col min="8706" max="8706" width="13.33203125" style="2513" customWidth="1"/>
    <col min="8707" max="8707" width="8.5546875" style="2513" customWidth="1"/>
    <col min="8708" max="8708" width="13.33203125" style="2513" customWidth="1"/>
    <col min="8709" max="8709" width="8.5546875" style="2513" customWidth="1"/>
    <col min="8710" max="8710" width="13.33203125" style="2513" customWidth="1"/>
    <col min="8711" max="8711" width="8.5546875" style="2513" customWidth="1"/>
    <col min="8712" max="8961" width="9.109375" style="2513"/>
    <col min="8962" max="8962" width="13.33203125" style="2513" customWidth="1"/>
    <col min="8963" max="8963" width="8.5546875" style="2513" customWidth="1"/>
    <col min="8964" max="8964" width="13.33203125" style="2513" customWidth="1"/>
    <col min="8965" max="8965" width="8.5546875" style="2513" customWidth="1"/>
    <col min="8966" max="8966" width="13.33203125" style="2513" customWidth="1"/>
    <col min="8967" max="8967" width="8.5546875" style="2513" customWidth="1"/>
    <col min="8968" max="9217" width="9.109375" style="2513"/>
    <col min="9218" max="9218" width="13.33203125" style="2513" customWidth="1"/>
    <col min="9219" max="9219" width="8.5546875" style="2513" customWidth="1"/>
    <col min="9220" max="9220" width="13.33203125" style="2513" customWidth="1"/>
    <col min="9221" max="9221" width="8.5546875" style="2513" customWidth="1"/>
    <col min="9222" max="9222" width="13.33203125" style="2513" customWidth="1"/>
    <col min="9223" max="9223" width="8.5546875" style="2513" customWidth="1"/>
    <col min="9224" max="9473" width="9.109375" style="2513"/>
    <col min="9474" max="9474" width="13.33203125" style="2513" customWidth="1"/>
    <col min="9475" max="9475" width="8.5546875" style="2513" customWidth="1"/>
    <col min="9476" max="9476" width="13.33203125" style="2513" customWidth="1"/>
    <col min="9477" max="9477" width="8.5546875" style="2513" customWidth="1"/>
    <col min="9478" max="9478" width="13.33203125" style="2513" customWidth="1"/>
    <col min="9479" max="9479" width="8.5546875" style="2513" customWidth="1"/>
    <col min="9480" max="9729" width="9.109375" style="2513"/>
    <col min="9730" max="9730" width="13.33203125" style="2513" customWidth="1"/>
    <col min="9731" max="9731" width="8.5546875" style="2513" customWidth="1"/>
    <col min="9732" max="9732" width="13.33203125" style="2513" customWidth="1"/>
    <col min="9733" max="9733" width="8.5546875" style="2513" customWidth="1"/>
    <col min="9734" max="9734" width="13.33203125" style="2513" customWidth="1"/>
    <col min="9735" max="9735" width="8.5546875" style="2513" customWidth="1"/>
    <col min="9736" max="9985" width="9.109375" style="2513"/>
    <col min="9986" max="9986" width="13.33203125" style="2513" customWidth="1"/>
    <col min="9987" max="9987" width="8.5546875" style="2513" customWidth="1"/>
    <col min="9988" max="9988" width="13.33203125" style="2513" customWidth="1"/>
    <col min="9989" max="9989" width="8.5546875" style="2513" customWidth="1"/>
    <col min="9990" max="9990" width="13.33203125" style="2513" customWidth="1"/>
    <col min="9991" max="9991" width="8.5546875" style="2513" customWidth="1"/>
    <col min="9992" max="10241" width="9.109375" style="2513"/>
    <col min="10242" max="10242" width="13.33203125" style="2513" customWidth="1"/>
    <col min="10243" max="10243" width="8.5546875" style="2513" customWidth="1"/>
    <col min="10244" max="10244" width="13.33203125" style="2513" customWidth="1"/>
    <col min="10245" max="10245" width="8.5546875" style="2513" customWidth="1"/>
    <col min="10246" max="10246" width="13.33203125" style="2513" customWidth="1"/>
    <col min="10247" max="10247" width="8.5546875" style="2513" customWidth="1"/>
    <col min="10248" max="10497" width="9.109375" style="2513"/>
    <col min="10498" max="10498" width="13.33203125" style="2513" customWidth="1"/>
    <col min="10499" max="10499" width="8.5546875" style="2513" customWidth="1"/>
    <col min="10500" max="10500" width="13.33203125" style="2513" customWidth="1"/>
    <col min="10501" max="10501" width="8.5546875" style="2513" customWidth="1"/>
    <col min="10502" max="10502" width="13.33203125" style="2513" customWidth="1"/>
    <col min="10503" max="10503" width="8.5546875" style="2513" customWidth="1"/>
    <col min="10504" max="10753" width="9.109375" style="2513"/>
    <col min="10754" max="10754" width="13.33203125" style="2513" customWidth="1"/>
    <col min="10755" max="10755" width="8.5546875" style="2513" customWidth="1"/>
    <col min="10756" max="10756" width="13.33203125" style="2513" customWidth="1"/>
    <col min="10757" max="10757" width="8.5546875" style="2513" customWidth="1"/>
    <col min="10758" max="10758" width="13.33203125" style="2513" customWidth="1"/>
    <col min="10759" max="10759" width="8.5546875" style="2513" customWidth="1"/>
    <col min="10760" max="11009" width="9.109375" style="2513"/>
    <col min="11010" max="11010" width="13.33203125" style="2513" customWidth="1"/>
    <col min="11011" max="11011" width="8.5546875" style="2513" customWidth="1"/>
    <col min="11012" max="11012" width="13.33203125" style="2513" customWidth="1"/>
    <col min="11013" max="11013" width="8.5546875" style="2513" customWidth="1"/>
    <col min="11014" max="11014" width="13.33203125" style="2513" customWidth="1"/>
    <col min="11015" max="11015" width="8.5546875" style="2513" customWidth="1"/>
    <col min="11016" max="11265" width="9.109375" style="2513"/>
    <col min="11266" max="11266" width="13.33203125" style="2513" customWidth="1"/>
    <col min="11267" max="11267" width="8.5546875" style="2513" customWidth="1"/>
    <col min="11268" max="11268" width="13.33203125" style="2513" customWidth="1"/>
    <col min="11269" max="11269" width="8.5546875" style="2513" customWidth="1"/>
    <col min="11270" max="11270" width="13.33203125" style="2513" customWidth="1"/>
    <col min="11271" max="11271" width="8.5546875" style="2513" customWidth="1"/>
    <col min="11272" max="11521" width="9.109375" style="2513"/>
    <col min="11522" max="11522" width="13.33203125" style="2513" customWidth="1"/>
    <col min="11523" max="11523" width="8.5546875" style="2513" customWidth="1"/>
    <col min="11524" max="11524" width="13.33203125" style="2513" customWidth="1"/>
    <col min="11525" max="11525" width="8.5546875" style="2513" customWidth="1"/>
    <col min="11526" max="11526" width="13.33203125" style="2513" customWidth="1"/>
    <col min="11527" max="11527" width="8.5546875" style="2513" customWidth="1"/>
    <col min="11528" max="11777" width="9.109375" style="2513"/>
    <col min="11778" max="11778" width="13.33203125" style="2513" customWidth="1"/>
    <col min="11779" max="11779" width="8.5546875" style="2513" customWidth="1"/>
    <col min="11780" max="11780" width="13.33203125" style="2513" customWidth="1"/>
    <col min="11781" max="11781" width="8.5546875" style="2513" customWidth="1"/>
    <col min="11782" max="11782" width="13.33203125" style="2513" customWidth="1"/>
    <col min="11783" max="11783" width="8.5546875" style="2513" customWidth="1"/>
    <col min="11784" max="12033" width="9.109375" style="2513"/>
    <col min="12034" max="12034" width="13.33203125" style="2513" customWidth="1"/>
    <col min="12035" max="12035" width="8.5546875" style="2513" customWidth="1"/>
    <col min="12036" max="12036" width="13.33203125" style="2513" customWidth="1"/>
    <col min="12037" max="12037" width="8.5546875" style="2513" customWidth="1"/>
    <col min="12038" max="12038" width="13.33203125" style="2513" customWidth="1"/>
    <col min="12039" max="12039" width="8.5546875" style="2513" customWidth="1"/>
    <col min="12040" max="12289" width="9.109375" style="2513"/>
    <col min="12290" max="12290" width="13.33203125" style="2513" customWidth="1"/>
    <col min="12291" max="12291" width="8.5546875" style="2513" customWidth="1"/>
    <col min="12292" max="12292" width="13.33203125" style="2513" customWidth="1"/>
    <col min="12293" max="12293" width="8.5546875" style="2513" customWidth="1"/>
    <col min="12294" max="12294" width="13.33203125" style="2513" customWidth="1"/>
    <col min="12295" max="12295" width="8.5546875" style="2513" customWidth="1"/>
    <col min="12296" max="12545" width="9.109375" style="2513"/>
    <col min="12546" max="12546" width="13.33203125" style="2513" customWidth="1"/>
    <col min="12547" max="12547" width="8.5546875" style="2513" customWidth="1"/>
    <col min="12548" max="12548" width="13.33203125" style="2513" customWidth="1"/>
    <col min="12549" max="12549" width="8.5546875" style="2513" customWidth="1"/>
    <col min="12550" max="12550" width="13.33203125" style="2513" customWidth="1"/>
    <col min="12551" max="12551" width="8.5546875" style="2513" customWidth="1"/>
    <col min="12552" max="12801" width="9.109375" style="2513"/>
    <col min="12802" max="12802" width="13.33203125" style="2513" customWidth="1"/>
    <col min="12803" max="12803" width="8.5546875" style="2513" customWidth="1"/>
    <col min="12804" max="12804" width="13.33203125" style="2513" customWidth="1"/>
    <col min="12805" max="12805" width="8.5546875" style="2513" customWidth="1"/>
    <col min="12806" max="12806" width="13.33203125" style="2513" customWidth="1"/>
    <col min="12807" max="12807" width="8.5546875" style="2513" customWidth="1"/>
    <col min="12808" max="13057" width="9.109375" style="2513"/>
    <col min="13058" max="13058" width="13.33203125" style="2513" customWidth="1"/>
    <col min="13059" max="13059" width="8.5546875" style="2513" customWidth="1"/>
    <col min="13060" max="13060" width="13.33203125" style="2513" customWidth="1"/>
    <col min="13061" max="13061" width="8.5546875" style="2513" customWidth="1"/>
    <col min="13062" max="13062" width="13.33203125" style="2513" customWidth="1"/>
    <col min="13063" max="13063" width="8.5546875" style="2513" customWidth="1"/>
    <col min="13064" max="13313" width="9.109375" style="2513"/>
    <col min="13314" max="13314" width="13.33203125" style="2513" customWidth="1"/>
    <col min="13315" max="13315" width="8.5546875" style="2513" customWidth="1"/>
    <col min="13316" max="13316" width="13.33203125" style="2513" customWidth="1"/>
    <col min="13317" max="13317" width="8.5546875" style="2513" customWidth="1"/>
    <col min="13318" max="13318" width="13.33203125" style="2513" customWidth="1"/>
    <col min="13319" max="13319" width="8.5546875" style="2513" customWidth="1"/>
    <col min="13320" max="13569" width="9.109375" style="2513"/>
    <col min="13570" max="13570" width="13.33203125" style="2513" customWidth="1"/>
    <col min="13571" max="13571" width="8.5546875" style="2513" customWidth="1"/>
    <col min="13572" max="13572" width="13.33203125" style="2513" customWidth="1"/>
    <col min="13573" max="13573" width="8.5546875" style="2513" customWidth="1"/>
    <col min="13574" max="13574" width="13.33203125" style="2513" customWidth="1"/>
    <col min="13575" max="13575" width="8.5546875" style="2513" customWidth="1"/>
    <col min="13576" max="13825" width="9.109375" style="2513"/>
    <col min="13826" max="13826" width="13.33203125" style="2513" customWidth="1"/>
    <col min="13827" max="13827" width="8.5546875" style="2513" customWidth="1"/>
    <col min="13828" max="13828" width="13.33203125" style="2513" customWidth="1"/>
    <col min="13829" max="13829" width="8.5546875" style="2513" customWidth="1"/>
    <col min="13830" max="13830" width="13.33203125" style="2513" customWidth="1"/>
    <col min="13831" max="13831" width="8.5546875" style="2513" customWidth="1"/>
    <col min="13832" max="14081" width="9.109375" style="2513"/>
    <col min="14082" max="14082" width="13.33203125" style="2513" customWidth="1"/>
    <col min="14083" max="14083" width="8.5546875" style="2513" customWidth="1"/>
    <col min="14084" max="14084" width="13.33203125" style="2513" customWidth="1"/>
    <col min="14085" max="14085" width="8.5546875" style="2513" customWidth="1"/>
    <col min="14086" max="14086" width="13.33203125" style="2513" customWidth="1"/>
    <col min="14087" max="14087" width="8.5546875" style="2513" customWidth="1"/>
    <col min="14088" max="14337" width="9.109375" style="2513"/>
    <col min="14338" max="14338" width="13.33203125" style="2513" customWidth="1"/>
    <col min="14339" max="14339" width="8.5546875" style="2513" customWidth="1"/>
    <col min="14340" max="14340" width="13.33203125" style="2513" customWidth="1"/>
    <col min="14341" max="14341" width="8.5546875" style="2513" customWidth="1"/>
    <col min="14342" max="14342" width="13.33203125" style="2513" customWidth="1"/>
    <col min="14343" max="14343" width="8.5546875" style="2513" customWidth="1"/>
    <col min="14344" max="14593" width="9.109375" style="2513"/>
    <col min="14594" max="14594" width="13.33203125" style="2513" customWidth="1"/>
    <col min="14595" max="14595" width="8.5546875" style="2513" customWidth="1"/>
    <col min="14596" max="14596" width="13.33203125" style="2513" customWidth="1"/>
    <col min="14597" max="14597" width="8.5546875" style="2513" customWidth="1"/>
    <col min="14598" max="14598" width="13.33203125" style="2513" customWidth="1"/>
    <col min="14599" max="14599" width="8.5546875" style="2513" customWidth="1"/>
    <col min="14600" max="14849" width="9.109375" style="2513"/>
    <col min="14850" max="14850" width="13.33203125" style="2513" customWidth="1"/>
    <col min="14851" max="14851" width="8.5546875" style="2513" customWidth="1"/>
    <col min="14852" max="14852" width="13.33203125" style="2513" customWidth="1"/>
    <col min="14853" max="14853" width="8.5546875" style="2513" customWidth="1"/>
    <col min="14854" max="14854" width="13.33203125" style="2513" customWidth="1"/>
    <col min="14855" max="14855" width="8.5546875" style="2513" customWidth="1"/>
    <col min="14856" max="15105" width="9.109375" style="2513"/>
    <col min="15106" max="15106" width="13.33203125" style="2513" customWidth="1"/>
    <col min="15107" max="15107" width="8.5546875" style="2513" customWidth="1"/>
    <col min="15108" max="15108" width="13.33203125" style="2513" customWidth="1"/>
    <col min="15109" max="15109" width="8.5546875" style="2513" customWidth="1"/>
    <col min="15110" max="15110" width="13.33203125" style="2513" customWidth="1"/>
    <col min="15111" max="15111" width="8.5546875" style="2513" customWidth="1"/>
    <col min="15112" max="15361" width="9.109375" style="2513"/>
    <col min="15362" max="15362" width="13.33203125" style="2513" customWidth="1"/>
    <col min="15363" max="15363" width="8.5546875" style="2513" customWidth="1"/>
    <col min="15364" max="15364" width="13.33203125" style="2513" customWidth="1"/>
    <col min="15365" max="15365" width="8.5546875" style="2513" customWidth="1"/>
    <col min="15366" max="15366" width="13.33203125" style="2513" customWidth="1"/>
    <col min="15367" max="15367" width="8.5546875" style="2513" customWidth="1"/>
    <col min="15368" max="15617" width="9.109375" style="2513"/>
    <col min="15618" max="15618" width="13.33203125" style="2513" customWidth="1"/>
    <col min="15619" max="15619" width="8.5546875" style="2513" customWidth="1"/>
    <col min="15620" max="15620" width="13.33203125" style="2513" customWidth="1"/>
    <col min="15621" max="15621" width="8.5546875" style="2513" customWidth="1"/>
    <col min="15622" max="15622" width="13.33203125" style="2513" customWidth="1"/>
    <col min="15623" max="15623" width="8.5546875" style="2513" customWidth="1"/>
    <col min="15624" max="15873" width="9.109375" style="2513"/>
    <col min="15874" max="15874" width="13.33203125" style="2513" customWidth="1"/>
    <col min="15875" max="15875" width="8.5546875" style="2513" customWidth="1"/>
    <col min="15876" max="15876" width="13.33203125" style="2513" customWidth="1"/>
    <col min="15877" max="15877" width="8.5546875" style="2513" customWidth="1"/>
    <col min="15878" max="15878" width="13.33203125" style="2513" customWidth="1"/>
    <col min="15879" max="15879" width="8.5546875" style="2513" customWidth="1"/>
    <col min="15880" max="16129" width="9.109375" style="2513"/>
    <col min="16130" max="16130" width="13.33203125" style="2513" customWidth="1"/>
    <col min="16131" max="16131" width="8.5546875" style="2513" customWidth="1"/>
    <col min="16132" max="16132" width="13.33203125" style="2513" customWidth="1"/>
    <col min="16133" max="16133" width="8.5546875" style="2513" customWidth="1"/>
    <col min="16134" max="16134" width="13.33203125" style="2513" customWidth="1"/>
    <col min="16135" max="16135" width="8.5546875" style="2513" customWidth="1"/>
    <col min="16136" max="16384" width="9.109375" style="2513"/>
  </cols>
  <sheetData>
    <row r="1" spans="1:17" ht="15.6">
      <c r="A1" s="2510" t="s">
        <v>1807</v>
      </c>
      <c r="B1" s="2510"/>
      <c r="C1" s="2511"/>
      <c r="D1" s="2510"/>
      <c r="E1" s="2510"/>
      <c r="F1" s="2510"/>
      <c r="G1" s="2510"/>
      <c r="H1" s="2512"/>
      <c r="I1" s="2512"/>
      <c r="J1" s="2512"/>
      <c r="K1" s="2512"/>
      <c r="L1" s="2512"/>
      <c r="M1" s="2512"/>
      <c r="N1" s="2512"/>
      <c r="O1" s="2512"/>
      <c r="P1" s="2512"/>
      <c r="Q1" s="2512"/>
    </row>
    <row r="2" spans="1:17" ht="18.75" customHeight="1">
      <c r="A2" s="2510" t="s">
        <v>1808</v>
      </c>
      <c r="B2" s="2510"/>
      <c r="C2" s="2511"/>
      <c r="D2" s="2510"/>
      <c r="E2" s="2510"/>
      <c r="F2" s="2510"/>
      <c r="G2" s="2510"/>
      <c r="H2" s="2512"/>
      <c r="I2" s="2512"/>
      <c r="J2" s="2512"/>
      <c r="K2" s="2512"/>
      <c r="L2" s="2512"/>
      <c r="M2" s="2512"/>
      <c r="N2" s="2512"/>
      <c r="O2" s="2512"/>
      <c r="P2" s="2512"/>
      <c r="Q2" s="2512"/>
    </row>
    <row r="3" spans="1:17" ht="52.5" hidden="1" customHeight="1" outlineLevel="1">
      <c r="A3" s="2512"/>
      <c r="B3" s="2512"/>
      <c r="C3" s="2514"/>
      <c r="D3" s="2512"/>
      <c r="E3" s="2512"/>
      <c r="F3" s="2512"/>
      <c r="G3" s="2512"/>
      <c r="H3" s="2512"/>
      <c r="I3" s="2512"/>
      <c r="J3" s="2512"/>
      <c r="K3" s="2512"/>
      <c r="L3" s="2515" t="s">
        <v>1929</v>
      </c>
      <c r="M3" s="2512"/>
      <c r="N3" s="2512"/>
      <c r="O3" s="2512"/>
      <c r="P3" s="2512"/>
      <c r="Q3" s="2512"/>
    </row>
    <row r="4" spans="1:17" s="2520" customFormat="1" ht="15.6" hidden="1" outlineLevel="1">
      <c r="A4" s="2516" t="s">
        <v>668</v>
      </c>
      <c r="B4" s="2517"/>
      <c r="C4" s="2518"/>
      <c r="D4" s="2517"/>
      <c r="E4" s="2517"/>
      <c r="F4" s="2519"/>
      <c r="G4" s="2517"/>
      <c r="N4" s="2521"/>
      <c r="O4" s="2521"/>
      <c r="P4" s="2521"/>
    </row>
    <row r="5" spans="1:17" s="2520" customFormat="1" ht="15.75" hidden="1" customHeight="1" outlineLevel="1">
      <c r="A5" s="4426" t="s">
        <v>1809</v>
      </c>
      <c r="B5" s="2522" t="s">
        <v>1810</v>
      </c>
      <c r="C5" s="2523"/>
      <c r="D5" s="2524"/>
      <c r="E5" s="2522"/>
      <c r="F5" s="2522" t="s">
        <v>1811</v>
      </c>
      <c r="G5" s="2522"/>
      <c r="H5" s="4426" t="s">
        <v>835</v>
      </c>
      <c r="O5" s="2521"/>
      <c r="P5" s="2521"/>
      <c r="Q5" s="2521"/>
    </row>
    <row r="6" spans="1:17" s="2520" customFormat="1" ht="69" hidden="1" customHeight="1" outlineLevel="1">
      <c r="A6" s="4427"/>
      <c r="B6" s="2525" t="s">
        <v>837</v>
      </c>
      <c r="C6" s="2526" t="s">
        <v>1812</v>
      </c>
      <c r="D6" s="2525" t="s">
        <v>898</v>
      </c>
      <c r="E6" s="2527" t="s">
        <v>1812</v>
      </c>
      <c r="F6" s="2528" t="s">
        <v>839</v>
      </c>
      <c r="G6" s="2527" t="s">
        <v>1812</v>
      </c>
      <c r="H6" s="4428"/>
      <c r="N6" s="2521"/>
    </row>
    <row r="7" spans="1:17" s="2520" customFormat="1" ht="15.6" hidden="1" outlineLevel="1">
      <c r="A7" s="4427"/>
      <c r="B7" s="2529" t="s">
        <v>1813</v>
      </c>
      <c r="C7" s="2530" t="s">
        <v>244</v>
      </c>
      <c r="D7" s="2529" t="s">
        <v>1814</v>
      </c>
      <c r="E7" s="2531" t="s">
        <v>244</v>
      </c>
      <c r="F7" s="2528"/>
      <c r="G7" s="2531" t="s">
        <v>244</v>
      </c>
      <c r="H7" s="2529" t="s">
        <v>963</v>
      </c>
      <c r="O7" s="2521"/>
      <c r="P7" s="2521"/>
      <c r="Q7" s="2521"/>
    </row>
    <row r="8" spans="1:17" s="2521" customFormat="1" ht="15.6" hidden="1" outlineLevel="1">
      <c r="A8" s="4428"/>
      <c r="B8" s="2532" t="s">
        <v>291</v>
      </c>
      <c r="C8" s="2533"/>
      <c r="D8" s="2532" t="s">
        <v>843</v>
      </c>
      <c r="E8" s="2533"/>
      <c r="F8" s="2532" t="s">
        <v>843</v>
      </c>
      <c r="G8" s="2533"/>
      <c r="H8" s="2532" t="s">
        <v>1815</v>
      </c>
    </row>
    <row r="9" spans="1:17" s="2521" customFormat="1" ht="15.6" hidden="1" outlineLevel="1">
      <c r="A9" s="2534" t="s">
        <v>697</v>
      </c>
      <c r="B9" s="2535">
        <v>124404</v>
      </c>
      <c r="C9" s="2533"/>
      <c r="D9" s="2535">
        <v>228.06</v>
      </c>
      <c r="E9" s="2533"/>
      <c r="F9" s="2535">
        <v>433</v>
      </c>
      <c r="G9" s="2533"/>
      <c r="H9" s="2536">
        <f>(B9*12/(F9-D9))</f>
        <v>7284.3173611788816</v>
      </c>
    </row>
    <row r="10" spans="1:17" s="2521" customFormat="1" ht="15.6" hidden="1" outlineLevel="1">
      <c r="A10" s="2534" t="s">
        <v>676</v>
      </c>
      <c r="B10" s="2535">
        <v>166069</v>
      </c>
      <c r="C10" s="2533"/>
      <c r="D10" s="2535">
        <v>749.32</v>
      </c>
      <c r="E10" s="2533"/>
      <c r="F10" s="2535">
        <v>1022.95</v>
      </c>
      <c r="G10" s="2533"/>
      <c r="H10" s="2536">
        <f>(B10*12/(F10-D10))</f>
        <v>7282.9295033439321</v>
      </c>
    </row>
    <row r="11" spans="1:17" s="2521" customFormat="1" ht="15.6" hidden="1" outlineLevel="1">
      <c r="A11" s="2534" t="s">
        <v>847</v>
      </c>
      <c r="B11" s="2535">
        <v>417747</v>
      </c>
      <c r="C11" s="2533"/>
      <c r="D11" s="2535">
        <v>810.58</v>
      </c>
      <c r="E11" s="2533"/>
      <c r="F11" s="2535">
        <v>1498.78</v>
      </c>
      <c r="G11" s="2533"/>
      <c r="H11" s="2536">
        <f>(B11*12/(F11-D11))</f>
        <v>7284.167393199652</v>
      </c>
    </row>
    <row r="12" spans="1:17" s="2521" customFormat="1" ht="15.6" hidden="1" outlineLevel="1">
      <c r="A12" s="2534" t="s">
        <v>681</v>
      </c>
      <c r="B12" s="2535">
        <v>481133</v>
      </c>
      <c r="C12" s="2533"/>
      <c r="D12" s="2535">
        <v>1074.45</v>
      </c>
      <c r="E12" s="2533"/>
      <c r="F12" s="2535">
        <v>1903</v>
      </c>
      <c r="G12" s="2533"/>
      <c r="H12" s="2536">
        <f>(B12*12/(F12-D12))</f>
        <v>6968.3133184478911</v>
      </c>
    </row>
    <row r="13" spans="1:17" s="2521" customFormat="1" ht="21.75" hidden="1" customHeight="1" outlineLevel="1">
      <c r="A13" s="2534" t="s">
        <v>962</v>
      </c>
      <c r="B13" s="2535"/>
      <c r="C13" s="2533"/>
      <c r="D13" s="2535"/>
      <c r="E13" s="2533"/>
      <c r="F13" s="2535"/>
      <c r="G13" s="2533"/>
      <c r="H13" s="2536" t="e">
        <f>(B13*12/(F13-D13))</f>
        <v>#DIV/0!</v>
      </c>
    </row>
    <row r="14" spans="1:17" s="2521" customFormat="1" ht="21.75" hidden="1" customHeight="1" outlineLevel="1">
      <c r="A14" s="2537"/>
      <c r="B14" s="2538"/>
      <c r="C14" s="2539"/>
      <c r="D14" s="2538"/>
      <c r="E14" s="2539"/>
      <c r="F14" s="2538"/>
      <c r="G14" s="2539"/>
      <c r="H14" s="2540"/>
    </row>
    <row r="15" spans="1:17" s="2520" customFormat="1" ht="15.6" hidden="1" outlineLevel="1">
      <c r="A15" s="2516" t="s">
        <v>669</v>
      </c>
      <c r="B15" s="2517"/>
      <c r="C15" s="2518"/>
      <c r="D15" s="2517"/>
      <c r="E15" s="2517"/>
      <c r="F15" s="2519"/>
      <c r="G15" s="2517"/>
      <c r="N15" s="2521"/>
      <c r="O15" s="2521"/>
      <c r="P15" s="2521"/>
    </row>
    <row r="16" spans="1:17" s="2520" customFormat="1" ht="15.75" hidden="1" customHeight="1" outlineLevel="1" collapsed="1">
      <c r="A16" s="4426" t="s">
        <v>1809</v>
      </c>
      <c r="B16" s="2522" t="s">
        <v>1810</v>
      </c>
      <c r="C16" s="2523"/>
      <c r="D16" s="2524"/>
      <c r="E16" s="2522"/>
      <c r="F16" s="2522" t="s">
        <v>1811</v>
      </c>
      <c r="G16" s="2522"/>
      <c r="H16" s="4426" t="s">
        <v>835</v>
      </c>
      <c r="O16" s="2521"/>
      <c r="P16" s="2521"/>
      <c r="Q16" s="2521"/>
    </row>
    <row r="17" spans="1:17" s="2520" customFormat="1" ht="69" hidden="1" customHeight="1" outlineLevel="1">
      <c r="A17" s="4427"/>
      <c r="B17" s="2525" t="s">
        <v>837</v>
      </c>
      <c r="C17" s="2526" t="s">
        <v>1812</v>
      </c>
      <c r="D17" s="2525" t="s">
        <v>898</v>
      </c>
      <c r="E17" s="2527" t="s">
        <v>1812</v>
      </c>
      <c r="F17" s="2528" t="s">
        <v>839</v>
      </c>
      <c r="G17" s="2527" t="s">
        <v>1812</v>
      </c>
      <c r="H17" s="4428"/>
      <c r="N17" s="2521"/>
    </row>
    <row r="18" spans="1:17" s="2520" customFormat="1" ht="15.6" hidden="1" outlineLevel="1">
      <c r="A18" s="4427"/>
      <c r="B18" s="2529" t="s">
        <v>1813</v>
      </c>
      <c r="C18" s="2530" t="s">
        <v>244</v>
      </c>
      <c r="D18" s="2529" t="s">
        <v>1814</v>
      </c>
      <c r="E18" s="2531" t="s">
        <v>244</v>
      </c>
      <c r="F18" s="2528"/>
      <c r="G18" s="2531" t="s">
        <v>244</v>
      </c>
      <c r="H18" s="2529" t="s">
        <v>963</v>
      </c>
      <c r="O18" s="2521"/>
      <c r="P18" s="2521"/>
      <c r="Q18" s="2521"/>
    </row>
    <row r="19" spans="1:17" s="2521" customFormat="1" ht="15.6" hidden="1" outlineLevel="1">
      <c r="A19" s="4428"/>
      <c r="B19" s="2532" t="s">
        <v>291</v>
      </c>
      <c r="C19" s="2533"/>
      <c r="D19" s="2532" t="s">
        <v>843</v>
      </c>
      <c r="E19" s="2533"/>
      <c r="F19" s="2532" t="s">
        <v>843</v>
      </c>
      <c r="G19" s="2533"/>
      <c r="H19" s="2532" t="s">
        <v>1815</v>
      </c>
    </row>
    <row r="20" spans="1:17" s="2521" customFormat="1" ht="15.6" hidden="1" outlineLevel="1">
      <c r="A20" s="2534" t="s">
        <v>697</v>
      </c>
      <c r="B20" s="2535">
        <v>300621.82</v>
      </c>
      <c r="C20" s="2533">
        <f>B20/B9-1</f>
        <v>1.4164964149062733</v>
      </c>
      <c r="D20" s="2535">
        <v>176.8</v>
      </c>
      <c r="E20" s="2533">
        <f>D20/D9-1</f>
        <v>-0.22476541261071648</v>
      </c>
      <c r="F20" s="2535">
        <v>592.41</v>
      </c>
      <c r="G20" s="2533">
        <f>F20/F9-1</f>
        <v>0.36815242494226319</v>
      </c>
      <c r="H20" s="2536">
        <f>(B20*12/(F20-D20))</f>
        <v>8679.9206948822211</v>
      </c>
    </row>
    <row r="21" spans="1:17" s="2521" customFormat="1" ht="15.6" hidden="1" outlineLevel="1">
      <c r="A21" s="2534" t="s">
        <v>676</v>
      </c>
      <c r="B21" s="2535">
        <v>490793.23</v>
      </c>
      <c r="C21" s="2533">
        <f>B21/B10-1</f>
        <v>1.9553572912464094</v>
      </c>
      <c r="D21" s="2535">
        <v>180</v>
      </c>
      <c r="E21" s="2533">
        <f>D21/D10-1</f>
        <v>-0.75978220253029416</v>
      </c>
      <c r="F21" s="2535">
        <v>969.48</v>
      </c>
      <c r="G21" s="2533">
        <f>F21/F10-1</f>
        <v>-5.2270394447431423E-2</v>
      </c>
      <c r="H21" s="2536">
        <f>(B21*12/(F21-D21))</f>
        <v>7459.9974160206712</v>
      </c>
    </row>
    <row r="22" spans="1:17" s="2521" customFormat="1" ht="15.6" hidden="1" outlineLevel="1">
      <c r="A22" s="2534" t="s">
        <v>847</v>
      </c>
      <c r="B22" s="2535">
        <v>680321</v>
      </c>
      <c r="C22" s="2533">
        <f>B22/B11-1</f>
        <v>0.6285479010022812</v>
      </c>
      <c r="D22" s="2535">
        <v>210</v>
      </c>
      <c r="E22" s="2533">
        <f>D22/D11-1</f>
        <v>-0.74092625033926329</v>
      </c>
      <c r="F22" s="2535">
        <v>1441.35</v>
      </c>
      <c r="G22" s="2533">
        <f>F22/F11-1</f>
        <v>-3.8317831836560456E-2</v>
      </c>
      <c r="H22" s="2536">
        <f>(B22*12/(F22-D22))</f>
        <v>6630.0012181751745</v>
      </c>
    </row>
    <row r="23" spans="1:17" s="2521" customFormat="1" ht="15.6" hidden="1" outlineLevel="1">
      <c r="A23" s="2534" t="s">
        <v>681</v>
      </c>
      <c r="B23" s="2535">
        <v>851305.82</v>
      </c>
      <c r="C23" s="2533">
        <f>B23/B12-1</f>
        <v>0.76937732394161262</v>
      </c>
      <c r="D23" s="2535">
        <v>432</v>
      </c>
      <c r="E23" s="2533">
        <f>D23/D12-1</f>
        <v>-0.59793382660896266</v>
      </c>
      <c r="F23" s="2535">
        <v>2296.17</v>
      </c>
      <c r="G23" s="2533">
        <f>F23/F12-1</f>
        <v>0.20660535995796114</v>
      </c>
      <c r="H23" s="2536">
        <f>(B23*12/(F23-D23))</f>
        <v>5480.0097845153605</v>
      </c>
    </row>
    <row r="24" spans="1:17" s="2521" customFormat="1" ht="21.75" hidden="1" customHeight="1" outlineLevel="1">
      <c r="A24" s="2534" t="s">
        <v>962</v>
      </c>
      <c r="B24" s="2535">
        <v>116581.82</v>
      </c>
      <c r="C24" s="2533"/>
      <c r="D24" s="2535">
        <v>162.69999999999999</v>
      </c>
      <c r="E24" s="2533"/>
      <c r="F24" s="2535">
        <v>380.24</v>
      </c>
      <c r="G24" s="2533"/>
      <c r="H24" s="2536">
        <f>(B24*12/(F24-D24))</f>
        <v>6430.9177162820624</v>
      </c>
    </row>
    <row r="25" spans="1:17" s="2521" customFormat="1" ht="21.75" hidden="1" customHeight="1" collapsed="1">
      <c r="A25" s="2537"/>
      <c r="B25" s="2538"/>
      <c r="C25" s="2539"/>
      <c r="D25" s="2538"/>
      <c r="E25" s="2538"/>
      <c r="F25" s="2541" t="s">
        <v>1816</v>
      </c>
      <c r="G25" s="2538"/>
      <c r="H25" s="2540"/>
    </row>
    <row r="26" spans="1:17" s="2520" customFormat="1" ht="15.6" hidden="1">
      <c r="A26" s="2542" t="s">
        <v>1120</v>
      </c>
      <c r="B26" s="2543"/>
      <c r="C26" s="2544"/>
      <c r="D26" s="2543"/>
      <c r="E26" s="2543"/>
      <c r="F26" s="2545"/>
      <c r="G26" s="2543"/>
      <c r="H26" s="2546"/>
      <c r="J26" s="2547" t="s">
        <v>1817</v>
      </c>
      <c r="K26" s="2547"/>
      <c r="N26" s="2521"/>
      <c r="O26" s="2521"/>
      <c r="P26" s="2521"/>
    </row>
    <row r="27" spans="1:17" s="2520" customFormat="1" ht="15.75" hidden="1" customHeight="1">
      <c r="A27" s="4429" t="s">
        <v>1809</v>
      </c>
      <c r="B27" s="2548" t="s">
        <v>1810</v>
      </c>
      <c r="C27" s="2549"/>
      <c r="D27" s="2550"/>
      <c r="E27" s="2548"/>
      <c r="F27" s="2548" t="s">
        <v>1811</v>
      </c>
      <c r="G27" s="2548"/>
      <c r="H27" s="4429" t="s">
        <v>835</v>
      </c>
      <c r="O27" s="2521"/>
      <c r="P27" s="2521"/>
      <c r="Q27" s="2521"/>
    </row>
    <row r="28" spans="1:17" s="2520" customFormat="1" ht="69" hidden="1" customHeight="1">
      <c r="A28" s="4124"/>
      <c r="B28" s="2551" t="s">
        <v>837</v>
      </c>
      <c r="C28" s="2552" t="s">
        <v>1812</v>
      </c>
      <c r="D28" s="2551" t="s">
        <v>898</v>
      </c>
      <c r="E28" s="2553" t="s">
        <v>1812</v>
      </c>
      <c r="F28" s="2554" t="s">
        <v>839</v>
      </c>
      <c r="G28" s="2553" t="s">
        <v>1812</v>
      </c>
      <c r="H28" s="4124"/>
      <c r="J28" s="2555" t="s">
        <v>1818</v>
      </c>
      <c r="K28" s="2555"/>
      <c r="L28" s="2555"/>
      <c r="N28" s="2521"/>
    </row>
    <row r="29" spans="1:17" s="2520" customFormat="1" ht="15.6" hidden="1">
      <c r="A29" s="4124"/>
      <c r="B29" s="2556" t="s">
        <v>1813</v>
      </c>
      <c r="C29" s="2557" t="s">
        <v>244</v>
      </c>
      <c r="D29" s="2556" t="s">
        <v>1814</v>
      </c>
      <c r="E29" s="2554" t="s">
        <v>244</v>
      </c>
      <c r="F29" s="2554"/>
      <c r="G29" s="2554" t="s">
        <v>244</v>
      </c>
      <c r="H29" s="2556" t="s">
        <v>1841</v>
      </c>
      <c r="J29" s="2558" t="s">
        <v>1819</v>
      </c>
      <c r="K29" s="2558"/>
      <c r="L29" s="2559" t="s">
        <v>1820</v>
      </c>
      <c r="O29" s="2521"/>
      <c r="P29" s="2521"/>
      <c r="Q29" s="2521"/>
    </row>
    <row r="30" spans="1:17" s="2520" customFormat="1" ht="15.6" hidden="1">
      <c r="A30" s="4124"/>
      <c r="B30" s="2554" t="s">
        <v>291</v>
      </c>
      <c r="C30" s="2557"/>
      <c r="D30" s="2554" t="s">
        <v>843</v>
      </c>
      <c r="E30" s="2554"/>
      <c r="F30" s="2554" t="s">
        <v>843</v>
      </c>
      <c r="G30" s="2554"/>
      <c r="H30" s="2554" t="s">
        <v>1815</v>
      </c>
      <c r="J30" s="2560" t="s">
        <v>1821</v>
      </c>
      <c r="K30" s="2561" t="s">
        <v>1822</v>
      </c>
      <c r="L30" s="2562"/>
      <c r="O30" s="2521"/>
      <c r="P30" s="2521"/>
      <c r="Q30" s="2521"/>
    </row>
    <row r="31" spans="1:17" s="2520" customFormat="1" ht="15.6" hidden="1">
      <c r="A31" s="2551" t="s">
        <v>697</v>
      </c>
      <c r="B31" s="2563">
        <v>364484.63</v>
      </c>
      <c r="C31" s="2564">
        <f>B31/B20-1</f>
        <v>0.2124357107544621</v>
      </c>
      <c r="D31" s="2563">
        <v>151.36000000000001</v>
      </c>
      <c r="E31" s="2564">
        <f>D31/D20-1</f>
        <v>-0.14389140271493206</v>
      </c>
      <c r="F31" s="2563">
        <v>671</v>
      </c>
      <c r="G31" s="2564">
        <f>F31/F20-1</f>
        <v>0.1326615013250958</v>
      </c>
      <c r="H31" s="2565">
        <f>(B31*12/(F31-D31))</f>
        <v>8417.0109306442937</v>
      </c>
      <c r="J31" s="2566">
        <f>B31/B9-1</f>
        <v>1.9298465483424971</v>
      </c>
      <c r="K31" s="2566">
        <f>D31/D9-1</f>
        <v>-0.33631500482329202</v>
      </c>
      <c r="L31" s="2566">
        <f>F31/F9-1</f>
        <v>0.54965357967667439</v>
      </c>
      <c r="N31" s="2566">
        <v>0.21461487820934821</v>
      </c>
      <c r="O31" s="2521"/>
      <c r="P31" s="2521"/>
      <c r="Q31" s="2521"/>
    </row>
    <row r="32" spans="1:17" s="2520" customFormat="1" ht="15.6" hidden="1">
      <c r="A32" s="2551" t="s">
        <v>676</v>
      </c>
      <c r="B32" s="2563">
        <v>684381.17</v>
      </c>
      <c r="C32" s="2564">
        <f>B32/B21-1</f>
        <v>0.3944388963963501</v>
      </c>
      <c r="D32" s="2563">
        <v>162.12</v>
      </c>
      <c r="E32" s="2564">
        <f>D32/D21-1</f>
        <v>-9.9333333333333274E-2</v>
      </c>
      <c r="F32" s="2563">
        <v>1153.6500000000001</v>
      </c>
      <c r="G32" s="2564">
        <f>F32/F21-1</f>
        <v>0.18996781779923255</v>
      </c>
      <c r="H32" s="2565">
        <f>(B32*12/(F32-D32))</f>
        <v>8282.7287525339634</v>
      </c>
      <c r="J32" s="2566">
        <f>B32/B10-1</f>
        <v>3.1210651596625505</v>
      </c>
      <c r="K32" s="2566">
        <f>D32/D10-1</f>
        <v>-0.78364383707895158</v>
      </c>
      <c r="L32" s="2566">
        <f>F32/F10-1</f>
        <v>0.12776773058311752</v>
      </c>
      <c r="N32" s="2566">
        <v>0.24512109584519526</v>
      </c>
      <c r="O32" s="2521"/>
      <c r="P32" s="2521"/>
      <c r="Q32" s="2521"/>
    </row>
    <row r="33" spans="1:17" s="2520" customFormat="1" ht="15.6" hidden="1">
      <c r="A33" s="2551" t="s">
        <v>847</v>
      </c>
      <c r="B33" s="2563">
        <v>942948.34</v>
      </c>
      <c r="C33" s="2564">
        <f>B33/B22-1</f>
        <v>0.38603444550440158</v>
      </c>
      <c r="D33" s="2567"/>
      <c r="E33" s="2533"/>
      <c r="F33" s="2567"/>
      <c r="G33" s="2533"/>
      <c r="H33" s="2568"/>
      <c r="I33" s="2569"/>
      <c r="J33" s="2566">
        <f>B33/B11-1</f>
        <v>1.2572234869430541</v>
      </c>
      <c r="K33" s="2566">
        <f>D33/D11-1</f>
        <v>-1</v>
      </c>
      <c r="L33" s="2566">
        <f>F33/F11-1</f>
        <v>-1</v>
      </c>
      <c r="N33" s="2566">
        <v>0.35747736497034044</v>
      </c>
      <c r="O33" s="2521"/>
      <c r="P33" s="2521"/>
      <c r="Q33" s="2521"/>
    </row>
    <row r="34" spans="1:17" s="2520" customFormat="1" ht="15.6" hidden="1">
      <c r="A34" s="2551" t="s">
        <v>681</v>
      </c>
      <c r="B34" s="2563">
        <v>1640145.12</v>
      </c>
      <c r="C34" s="2564">
        <f>B34/B23-1</f>
        <v>0.92662270299056604</v>
      </c>
      <c r="D34" s="2563">
        <v>472.06</v>
      </c>
      <c r="E34" s="2564">
        <f>D34/D23-1</f>
        <v>9.273148148148147E-2</v>
      </c>
      <c r="F34" s="2563">
        <v>2747.68</v>
      </c>
      <c r="G34" s="2564">
        <f>F34/F23-1</f>
        <v>0.1966361375682113</v>
      </c>
      <c r="H34" s="2565">
        <f>(B34*12/(F34-D34))</f>
        <v>8648.9578400611717</v>
      </c>
      <c r="J34" s="2566">
        <f>B34/B12-1</f>
        <v>2.4089225224626043</v>
      </c>
      <c r="K34" s="2566">
        <f>D34/D12-1</f>
        <v>-0.56064963469682172</v>
      </c>
      <c r="L34" s="2566">
        <f>F34/F12-1</f>
        <v>0.44386757750919581</v>
      </c>
      <c r="N34" s="2566">
        <v>0.32037262049412729</v>
      </c>
      <c r="O34" s="2521"/>
      <c r="P34" s="2521"/>
      <c r="Q34" s="2521"/>
    </row>
    <row r="35" spans="1:17" s="2520" customFormat="1" ht="21.75" hidden="1" customHeight="1">
      <c r="A35" s="2551" t="s">
        <v>962</v>
      </c>
      <c r="B35" s="2563">
        <v>133702.84</v>
      </c>
      <c r="C35" s="2564">
        <f>B35/B24-1</f>
        <v>0.14685840382316884</v>
      </c>
      <c r="D35" s="2563">
        <v>150</v>
      </c>
      <c r="E35" s="2564">
        <f>D35/D24-1</f>
        <v>-7.8057775046097011E-2</v>
      </c>
      <c r="F35" s="2563">
        <v>437.28</v>
      </c>
      <c r="G35" s="2564">
        <f>F35/F24-1</f>
        <v>0.15001051967178625</v>
      </c>
      <c r="H35" s="2565">
        <f>(B35*12/(F35-D35))</f>
        <v>5584.9139515455308</v>
      </c>
      <c r="J35" s="2555"/>
      <c r="K35" s="2555"/>
      <c r="L35" s="2555"/>
      <c r="N35" s="2566">
        <v>-0.3810225120976225</v>
      </c>
      <c r="O35" s="2521"/>
      <c r="P35" s="2521"/>
      <c r="Q35" s="2521"/>
    </row>
    <row r="36" spans="1:17" hidden="1"/>
    <row r="37" spans="1:17" hidden="1">
      <c r="A37" s="2542" t="s">
        <v>1265</v>
      </c>
      <c r="B37" s="2543"/>
      <c r="C37" s="2544"/>
      <c r="D37" s="2543"/>
      <c r="E37" s="2543"/>
      <c r="F37" s="2545"/>
      <c r="G37" s="2543"/>
      <c r="H37" s="2571"/>
    </row>
    <row r="38" spans="1:17" ht="18.75" hidden="1" customHeight="1">
      <c r="A38" s="4429" t="s">
        <v>1809</v>
      </c>
      <c r="B38" s="2548" t="s">
        <v>1810</v>
      </c>
      <c r="C38" s="2549"/>
      <c r="D38" s="2548"/>
      <c r="E38" s="2548"/>
      <c r="F38" s="2548" t="s">
        <v>1811</v>
      </c>
      <c r="G38" s="2548"/>
      <c r="H38" s="4429" t="s">
        <v>835</v>
      </c>
    </row>
    <row r="39" spans="1:17" ht="66" hidden="1">
      <c r="A39" s="4124"/>
      <c r="B39" s="2551" t="s">
        <v>837</v>
      </c>
      <c r="C39" s="2552" t="s">
        <v>1812</v>
      </c>
      <c r="D39" s="2551" t="s">
        <v>898</v>
      </c>
      <c r="E39" s="2553" t="s">
        <v>1812</v>
      </c>
      <c r="F39" s="2554" t="s">
        <v>839</v>
      </c>
      <c r="G39" s="2553" t="s">
        <v>1812</v>
      </c>
      <c r="H39" s="4124"/>
    </row>
    <row r="40" spans="1:17" ht="15.6" hidden="1">
      <c r="A40" s="4124"/>
      <c r="B40" s="2556" t="s">
        <v>1813</v>
      </c>
      <c r="C40" s="2557" t="s">
        <v>244</v>
      </c>
      <c r="D40" s="2556" t="s">
        <v>1814</v>
      </c>
      <c r="E40" s="2554" t="s">
        <v>244</v>
      </c>
      <c r="F40" s="2554"/>
      <c r="G40" s="2556"/>
      <c r="H40" s="2556" t="s">
        <v>1841</v>
      </c>
    </row>
    <row r="41" spans="1:17" hidden="1">
      <c r="A41" s="4124"/>
      <c r="B41" s="2554" t="s">
        <v>291</v>
      </c>
      <c r="C41" s="2557"/>
      <c r="D41" s="2554" t="s">
        <v>843</v>
      </c>
      <c r="E41" s="2554"/>
      <c r="F41" s="2554" t="s">
        <v>843</v>
      </c>
      <c r="G41" s="2554" t="s">
        <v>244</v>
      </c>
      <c r="H41" s="2554" t="s">
        <v>1815</v>
      </c>
    </row>
    <row r="42" spans="1:17" hidden="1">
      <c r="A42" s="2551" t="s">
        <v>697</v>
      </c>
      <c r="B42" s="2572">
        <v>427956.36</v>
      </c>
      <c r="C42" s="2564">
        <f>B42/B31-1</f>
        <v>0.17414103305261452</v>
      </c>
      <c r="D42" s="2572">
        <v>179.28</v>
      </c>
      <c r="E42" s="2564">
        <f>D42/D31-1</f>
        <v>0.18446088794925997</v>
      </c>
      <c r="F42" s="2572">
        <v>789.41</v>
      </c>
      <c r="G42" s="2564">
        <f>F42/F31-1</f>
        <v>0.17646795827123696</v>
      </c>
      <c r="H42" s="2565">
        <f>(B42*12/(F42-D42))</f>
        <v>8417.0198482290671</v>
      </c>
    </row>
    <row r="43" spans="1:17" hidden="1">
      <c r="A43" s="2551" t="s">
        <v>676</v>
      </c>
      <c r="B43" s="2572">
        <v>781756.21</v>
      </c>
      <c r="C43" s="2564">
        <f>B43/B32-1</f>
        <v>0.14228188072445058</v>
      </c>
      <c r="D43" s="2572">
        <v>191.71</v>
      </c>
      <c r="E43" s="2564">
        <f>D43/D32-1</f>
        <v>0.18251912163829265</v>
      </c>
      <c r="F43" s="2572">
        <v>1324.32</v>
      </c>
      <c r="G43" s="2564">
        <f>F43/F32-1</f>
        <v>0.14793914965544119</v>
      </c>
      <c r="H43" s="2565">
        <f>(B43*12/(F43-D43))</f>
        <v>8282.7050087850184</v>
      </c>
    </row>
    <row r="44" spans="1:17" hidden="1">
      <c r="A44" s="2551" t="s">
        <v>847</v>
      </c>
      <c r="B44" s="2572">
        <v>1110334.72</v>
      </c>
      <c r="C44" s="2564">
        <f>B44/B33-1</f>
        <v>0.17751383919929276</v>
      </c>
      <c r="D44" s="2572">
        <v>469.5</v>
      </c>
      <c r="E44" s="2564" t="e">
        <f>D44/D33-1</f>
        <v>#DIV/0!</v>
      </c>
      <c r="F44" s="2572">
        <v>2146.56</v>
      </c>
      <c r="G44" s="2564" t="e">
        <f>F44/F33-1</f>
        <v>#DIV/0!</v>
      </c>
      <c r="H44" s="2565">
        <f>(B44*12/(F44-D44))</f>
        <v>7944.8658008658012</v>
      </c>
    </row>
    <row r="45" spans="1:17" hidden="1">
      <c r="A45" s="2551" t="s">
        <v>681</v>
      </c>
      <c r="B45" s="2572">
        <v>2019526.48</v>
      </c>
      <c r="C45" s="2564">
        <f>B45/B34-1</f>
        <v>0.23130962947961575</v>
      </c>
      <c r="D45" s="2572">
        <v>535.79999999999995</v>
      </c>
      <c r="E45" s="2564">
        <f>D45/D34-1</f>
        <v>0.13502520865991596</v>
      </c>
      <c r="F45" s="2572">
        <v>3325.91</v>
      </c>
      <c r="G45" s="2564">
        <f>F45/F34-1</f>
        <v>0.21044299190589877</v>
      </c>
      <c r="H45" s="2565">
        <f>(B45*12/(F45-D45))</f>
        <v>8685.7929472314718</v>
      </c>
    </row>
    <row r="46" spans="1:17" ht="27" hidden="1">
      <c r="A46" s="2551" t="s">
        <v>962</v>
      </c>
      <c r="B46" s="2572">
        <v>22308.959999999999</v>
      </c>
      <c r="C46" s="2564">
        <f>B46/B35-1</f>
        <v>-0.83314520469423092</v>
      </c>
      <c r="D46" s="2572">
        <v>210.28899999999999</v>
      </c>
      <c r="E46" s="2564">
        <f>D46/D35-1</f>
        <v>0.40192666666666654</v>
      </c>
      <c r="F46" s="2572">
        <v>258.20999999999998</v>
      </c>
      <c r="G46" s="2564">
        <f>F46/F35-1</f>
        <v>-0.40950878155872672</v>
      </c>
      <c r="H46" s="2565">
        <f>(B46*12/(F46-D46))</f>
        <v>5586.4343398510064</v>
      </c>
    </row>
    <row r="47" spans="1:17" hidden="1"/>
    <row r="48" spans="1:17" s="2520" customFormat="1" ht="15.6" hidden="1">
      <c r="A48" s="2516" t="s">
        <v>1838</v>
      </c>
      <c r="B48" s="2517"/>
      <c r="C48" s="2518"/>
      <c r="D48" s="2517"/>
      <c r="E48" s="2517"/>
      <c r="F48" s="2519"/>
      <c r="G48" s="2517"/>
      <c r="H48" s="2513"/>
      <c r="J48" s="2521"/>
      <c r="K48" s="2521"/>
    </row>
    <row r="49" spans="1:12" s="2520" customFormat="1" ht="15.75" hidden="1" customHeight="1">
      <c r="A49" s="4426" t="s">
        <v>1809</v>
      </c>
      <c r="B49" s="2573" t="s">
        <v>1810</v>
      </c>
      <c r="C49" s="2523"/>
      <c r="D49" s="2522"/>
      <c r="E49" s="2522"/>
      <c r="F49" s="2522" t="s">
        <v>1811</v>
      </c>
      <c r="G49" s="2522"/>
      <c r="H49" s="4426" t="s">
        <v>1869</v>
      </c>
      <c r="J49" s="2521"/>
      <c r="K49" s="2521"/>
      <c r="L49" s="2521"/>
    </row>
    <row r="50" spans="1:12" s="2520" customFormat="1" ht="69" hidden="1" customHeight="1">
      <c r="A50" s="4124"/>
      <c r="B50" s="2525" t="s">
        <v>837</v>
      </c>
      <c r="C50" s="2526" t="s">
        <v>1812</v>
      </c>
      <c r="D50" s="2525" t="s">
        <v>898</v>
      </c>
      <c r="E50" s="2527" t="s">
        <v>1812</v>
      </c>
      <c r="F50" s="2528" t="s">
        <v>839</v>
      </c>
      <c r="G50" s="2527" t="s">
        <v>1812</v>
      </c>
      <c r="H50" s="4430"/>
    </row>
    <row r="51" spans="1:12" s="2520" customFormat="1" ht="15.6" hidden="1">
      <c r="A51" s="4124"/>
      <c r="B51" s="2529" t="s">
        <v>1813</v>
      </c>
      <c r="C51" s="2530" t="s">
        <v>244</v>
      </c>
      <c r="D51" s="2529" t="s">
        <v>1814</v>
      </c>
      <c r="E51" s="2531" t="s">
        <v>244</v>
      </c>
      <c r="F51" s="2528"/>
      <c r="G51" s="2574" t="s">
        <v>244</v>
      </c>
      <c r="H51" s="2575" t="s">
        <v>1841</v>
      </c>
      <c r="J51" s="2521"/>
      <c r="K51" s="2521"/>
      <c r="L51" s="2521"/>
    </row>
    <row r="52" spans="1:12" s="2520" customFormat="1" ht="15.6" hidden="1">
      <c r="A52" s="4124"/>
      <c r="B52" s="2528" t="s">
        <v>291</v>
      </c>
      <c r="C52" s="2530"/>
      <c r="D52" s="2528" t="s">
        <v>843</v>
      </c>
      <c r="E52" s="2531"/>
      <c r="F52" s="2528" t="s">
        <v>843</v>
      </c>
      <c r="G52" s="2531"/>
      <c r="H52" s="2528" t="s">
        <v>1815</v>
      </c>
      <c r="J52" s="2521"/>
      <c r="K52" s="2521"/>
      <c r="L52" s="2521"/>
    </row>
    <row r="53" spans="1:12" s="2520" customFormat="1" ht="15.6" hidden="1">
      <c r="A53" s="2534" t="s">
        <v>697</v>
      </c>
      <c r="B53" s="2535">
        <v>364484.63</v>
      </c>
      <c r="C53" s="2533">
        <f>B53/B31-1</f>
        <v>0</v>
      </c>
      <c r="D53" s="2535">
        <v>151.36000000000001</v>
      </c>
      <c r="E53" s="2533">
        <f>D53/D31-1</f>
        <v>0</v>
      </c>
      <c r="F53" s="2535">
        <v>671</v>
      </c>
      <c r="G53" s="2533">
        <f>F53/F31-1</f>
        <v>0</v>
      </c>
      <c r="H53" s="2536">
        <f>(B53*6/(F53-D53))</f>
        <v>4208.5054653221468</v>
      </c>
      <c r="J53" s="2521"/>
      <c r="K53" s="2521"/>
      <c r="L53" s="2521"/>
    </row>
    <row r="54" spans="1:12" s="2520" customFormat="1" ht="15.6" hidden="1">
      <c r="A54" s="2534" t="s">
        <v>676</v>
      </c>
      <c r="B54" s="2535">
        <v>684381.17</v>
      </c>
      <c r="C54" s="2533">
        <f>B54/B32-1</f>
        <v>0</v>
      </c>
      <c r="D54" s="2535">
        <v>162.12</v>
      </c>
      <c r="E54" s="2533">
        <f>D54/D32-1</f>
        <v>0</v>
      </c>
      <c r="F54" s="2535">
        <v>1153.6500000000001</v>
      </c>
      <c r="G54" s="2533">
        <f>F54/F32-1</f>
        <v>0</v>
      </c>
      <c r="H54" s="2536">
        <f>(B54*6/(F54-D54))</f>
        <v>4141.3643762669817</v>
      </c>
      <c r="J54" s="2521"/>
      <c r="K54" s="2521"/>
      <c r="L54" s="2521"/>
    </row>
    <row r="55" spans="1:12" s="2520" customFormat="1" ht="15.6" hidden="1">
      <c r="A55" s="2534" t="s">
        <v>847</v>
      </c>
      <c r="B55" s="2535">
        <v>942948.34</v>
      </c>
      <c r="C55" s="2533">
        <f>B55/B33-1</f>
        <v>0</v>
      </c>
      <c r="D55" s="2535">
        <v>414.16</v>
      </c>
      <c r="E55" s="2533" t="e">
        <f>D55/D33-1</f>
        <v>#DIV/0!</v>
      </c>
      <c r="F55" s="2535">
        <v>1847.1</v>
      </c>
      <c r="G55" s="2533" t="e">
        <f>F55/F33-1</f>
        <v>#DIV/0!</v>
      </c>
      <c r="H55" s="2536">
        <f>(B55*6/(F55-D55))</f>
        <v>3948.3090987759438</v>
      </c>
      <c r="J55" s="2521"/>
      <c r="K55" s="2521"/>
      <c r="L55" s="2521"/>
    </row>
    <row r="56" spans="1:12" s="2520" customFormat="1" ht="15.6" hidden="1">
      <c r="A56" s="2534" t="s">
        <v>681</v>
      </c>
      <c r="B56" s="2535">
        <v>1640145.12</v>
      </c>
      <c r="C56" s="2533">
        <f>B56/B34-1</f>
        <v>0</v>
      </c>
      <c r="D56" s="2535">
        <v>472.06</v>
      </c>
      <c r="E56" s="2533">
        <f>D56/D34-1</f>
        <v>0</v>
      </c>
      <c r="F56" s="2535">
        <v>2747.68</v>
      </c>
      <c r="G56" s="2533">
        <f>F56/F34-1</f>
        <v>0</v>
      </c>
      <c r="H56" s="2536">
        <f>(B56*6/(F56-D56))</f>
        <v>4324.4789200305859</v>
      </c>
      <c r="J56" s="2521"/>
      <c r="K56" s="2521"/>
      <c r="L56" s="2521"/>
    </row>
    <row r="57" spans="1:12" s="2520" customFormat="1" ht="21.75" hidden="1" customHeight="1">
      <c r="A57" s="2534" t="s">
        <v>962</v>
      </c>
      <c r="B57" s="2535"/>
      <c r="C57" s="2533"/>
      <c r="D57" s="2535"/>
      <c r="E57" s="2533"/>
      <c r="F57" s="2535">
        <v>437.28</v>
      </c>
      <c r="G57" s="2533">
        <f>F57/F35-1</f>
        <v>0</v>
      </c>
      <c r="H57" s="2536"/>
      <c r="J57" s="2521"/>
      <c r="K57" s="2521"/>
      <c r="L57" s="2521"/>
    </row>
    <row r="58" spans="1:12" s="2520" customFormat="1" ht="21.75" hidden="1" customHeight="1">
      <c r="A58" s="2537"/>
      <c r="B58" s="2538"/>
      <c r="C58" s="2576"/>
      <c r="D58" s="2538"/>
      <c r="E58" s="2576"/>
      <c r="F58" s="2538"/>
      <c r="G58" s="2576"/>
      <c r="H58" s="2540"/>
      <c r="J58" s="2521"/>
      <c r="K58" s="2521"/>
      <c r="L58" s="2521"/>
    </row>
    <row r="59" spans="1:12" s="2520" customFormat="1" ht="15.6" hidden="1">
      <c r="A59" s="2516" t="s">
        <v>1842</v>
      </c>
      <c r="B59" s="2517"/>
      <c r="C59" s="2518"/>
      <c r="D59" s="2517"/>
      <c r="E59" s="2517"/>
      <c r="F59" s="2519"/>
      <c r="G59" s="2517"/>
      <c r="H59" s="2513"/>
      <c r="J59" s="2521"/>
      <c r="K59" s="2521"/>
    </row>
    <row r="60" spans="1:12" s="2520" customFormat="1" ht="15.75" hidden="1" customHeight="1">
      <c r="A60" s="4426" t="s">
        <v>1809</v>
      </c>
      <c r="B60" s="2573" t="s">
        <v>1810</v>
      </c>
      <c r="C60" s="2523"/>
      <c r="D60" s="2522"/>
      <c r="E60" s="2522"/>
      <c r="F60" s="2522" t="s">
        <v>1811</v>
      </c>
      <c r="G60" s="2522"/>
      <c r="H60" s="4426" t="s">
        <v>1870</v>
      </c>
      <c r="I60" s="4426" t="s">
        <v>835</v>
      </c>
      <c r="J60" s="2521"/>
      <c r="K60" s="2521"/>
      <c r="L60" s="2521"/>
    </row>
    <row r="61" spans="1:12" s="2520" customFormat="1" ht="69" hidden="1" customHeight="1">
      <c r="A61" s="4124"/>
      <c r="B61" s="2525" t="s">
        <v>837</v>
      </c>
      <c r="C61" s="2526" t="s">
        <v>1812</v>
      </c>
      <c r="D61" s="2525" t="s">
        <v>898</v>
      </c>
      <c r="E61" s="2527" t="s">
        <v>1812</v>
      </c>
      <c r="F61" s="2528" t="s">
        <v>839</v>
      </c>
      <c r="G61" s="2527" t="s">
        <v>1812</v>
      </c>
      <c r="H61" s="4430"/>
      <c r="I61" s="4430"/>
    </row>
    <row r="62" spans="1:12" s="2520" customFormat="1" ht="15.6" hidden="1">
      <c r="A62" s="4124"/>
      <c r="B62" s="2529" t="s">
        <v>1813</v>
      </c>
      <c r="C62" s="2530" t="s">
        <v>244</v>
      </c>
      <c r="D62" s="2529" t="s">
        <v>1814</v>
      </c>
      <c r="E62" s="2531" t="s">
        <v>244</v>
      </c>
      <c r="F62" s="2528"/>
      <c r="G62" s="2574" t="s">
        <v>244</v>
      </c>
      <c r="H62" s="2575" t="s">
        <v>1841</v>
      </c>
      <c r="I62" s="2575" t="s">
        <v>1841</v>
      </c>
      <c r="J62" s="2521"/>
      <c r="K62" s="2521"/>
      <c r="L62" s="2521"/>
    </row>
    <row r="63" spans="1:12" s="2520" customFormat="1" ht="15.6" hidden="1">
      <c r="A63" s="4124"/>
      <c r="B63" s="2528" t="s">
        <v>291</v>
      </c>
      <c r="C63" s="2530"/>
      <c r="D63" s="2528" t="s">
        <v>843</v>
      </c>
      <c r="E63" s="2531"/>
      <c r="F63" s="2528" t="s">
        <v>843</v>
      </c>
      <c r="G63" s="2531"/>
      <c r="H63" s="2528" t="s">
        <v>1815</v>
      </c>
      <c r="I63" s="2528" t="s">
        <v>1815</v>
      </c>
      <c r="J63" s="2521"/>
      <c r="K63" s="2521"/>
      <c r="L63" s="2521"/>
    </row>
    <row r="64" spans="1:12" s="2520" customFormat="1" ht="15.6" hidden="1">
      <c r="A64" s="2534" t="s">
        <v>697</v>
      </c>
      <c r="B64" s="2535">
        <v>397387.35</v>
      </c>
      <c r="C64" s="2533">
        <f>B64/B53-1</f>
        <v>9.0271899805486999E-2</v>
      </c>
      <c r="D64" s="2535">
        <v>158.29</v>
      </c>
      <c r="E64" s="2533">
        <f>D64/D53-1</f>
        <v>4.5784883720930036E-2</v>
      </c>
      <c r="F64" s="2535">
        <v>690.41</v>
      </c>
      <c r="G64" s="2533">
        <f>F64/F53-1</f>
        <v>2.8926974664679639E-2</v>
      </c>
      <c r="H64" s="2536">
        <f>(B64*6/(F64-D64))</f>
        <v>4480.8015109373819</v>
      </c>
      <c r="I64" s="2536">
        <f>H53+H64</f>
        <v>8689.3069762595296</v>
      </c>
      <c r="J64" s="2521"/>
      <c r="K64" s="2521"/>
      <c r="L64" s="2521"/>
    </row>
    <row r="65" spans="1:12" s="2520" customFormat="1" ht="15.6" hidden="1">
      <c r="A65" s="2534" t="s">
        <v>676</v>
      </c>
      <c r="B65" s="2535">
        <v>740597.33</v>
      </c>
      <c r="C65" s="2533">
        <f>B65/B54-1</f>
        <v>8.2141593696974269E-2</v>
      </c>
      <c r="D65" s="2535">
        <v>168.14</v>
      </c>
      <c r="E65" s="2533">
        <f>D65/D54-1</f>
        <v>3.7132987910189819E-2</v>
      </c>
      <c r="F65" s="2535">
        <v>1174.03</v>
      </c>
      <c r="G65" s="2533">
        <f>F65/F54-1</f>
        <v>1.7665669830537745E-2</v>
      </c>
      <c r="H65" s="2536">
        <f>(B65*6/(F65-D65))</f>
        <v>4417.5645249480558</v>
      </c>
      <c r="I65" s="2536">
        <f>H54+H65</f>
        <v>8558.9289012150366</v>
      </c>
      <c r="J65" s="2521"/>
      <c r="K65" s="2521"/>
      <c r="L65" s="2521"/>
    </row>
    <row r="66" spans="1:12" s="2520" customFormat="1" ht="15.6" hidden="1">
      <c r="A66" s="2534" t="s">
        <v>847</v>
      </c>
      <c r="B66" s="2535">
        <v>1021368.45</v>
      </c>
      <c r="C66" s="2533">
        <f>B66/B55-1</f>
        <v>8.3164799887128549E-2</v>
      </c>
      <c r="D66" s="2535">
        <v>432.48</v>
      </c>
      <c r="E66" s="2533">
        <f>D66/D55-1</f>
        <v>4.4234112420320715E-2</v>
      </c>
      <c r="F66" s="2535">
        <v>1817.25</v>
      </c>
      <c r="G66" s="2533">
        <f>F66/F55-1</f>
        <v>-1.6160467760272801E-2</v>
      </c>
      <c r="H66" s="2536">
        <f>(B66*6/(F66-D66))</f>
        <v>4425.4357763383086</v>
      </c>
      <c r="I66" s="2536">
        <f>H55+H66</f>
        <v>8373.7448751142529</v>
      </c>
      <c r="J66" s="2521"/>
      <c r="K66" s="2521"/>
      <c r="L66" s="2521"/>
    </row>
    <row r="67" spans="1:12" s="2520" customFormat="1" ht="15.6" hidden="1">
      <c r="A67" s="2534" t="s">
        <v>681</v>
      </c>
      <c r="B67" s="2535">
        <v>1766107.62</v>
      </c>
      <c r="C67" s="2533">
        <f>B67/B56-1</f>
        <v>7.6799606610419957E-2</v>
      </c>
      <c r="D67" s="2535">
        <v>495.34</v>
      </c>
      <c r="E67" s="2533">
        <f>D67/D56-1</f>
        <v>4.9315764945134122E-2</v>
      </c>
      <c r="F67" s="2535">
        <v>2688.41</v>
      </c>
      <c r="G67" s="2533">
        <f>F67/F56-1</f>
        <v>-2.157092528969895E-2</v>
      </c>
      <c r="H67" s="2536">
        <f>(B67*6/(F67-D67))</f>
        <v>4831.877559767815</v>
      </c>
      <c r="I67" s="2577">
        <f>H56+H67</f>
        <v>9156.3564797984</v>
      </c>
      <c r="J67" s="2521"/>
      <c r="K67" s="2521"/>
      <c r="L67" s="2521"/>
    </row>
    <row r="68" spans="1:12" s="2520" customFormat="1" ht="21.75" hidden="1" customHeight="1">
      <c r="A68" s="2534" t="s">
        <v>962</v>
      </c>
      <c r="B68" s="2535"/>
      <c r="C68" s="2533"/>
      <c r="D68" s="2535"/>
      <c r="E68" s="2533"/>
      <c r="F68" s="2535">
        <v>422.2</v>
      </c>
      <c r="G68" s="2533">
        <f>F68/F57-1</f>
        <v>-3.4485912916209283E-2</v>
      </c>
      <c r="H68" s="2536"/>
      <c r="I68" s="2536"/>
      <c r="J68" s="2521"/>
      <c r="K68" s="2521"/>
      <c r="L68" s="2521"/>
    </row>
    <row r="69" spans="1:12" s="2520" customFormat="1" ht="21.75" hidden="1" customHeight="1">
      <c r="A69" s="2537"/>
      <c r="B69" s="2538"/>
      <c r="C69" s="2576"/>
      <c r="D69" s="2538"/>
      <c r="E69" s="2576"/>
      <c r="F69" s="2538"/>
      <c r="G69" s="2576"/>
      <c r="H69" s="2540"/>
      <c r="J69" s="2521"/>
      <c r="K69" s="2521"/>
      <c r="L69" s="2521"/>
    </row>
    <row r="70" spans="1:12" hidden="1">
      <c r="A70" s="2516" t="s">
        <v>1930</v>
      </c>
      <c r="B70" s="2517"/>
      <c r="C70" s="2518"/>
      <c r="D70" s="2517"/>
      <c r="E70" s="2517"/>
      <c r="F70" s="2519"/>
      <c r="G70" s="2517"/>
    </row>
    <row r="71" spans="1:12" ht="18.75" hidden="1" customHeight="1">
      <c r="A71" s="4426" t="s">
        <v>1809</v>
      </c>
      <c r="B71" s="2522" t="s">
        <v>1810</v>
      </c>
      <c r="C71" s="2523"/>
      <c r="D71" s="2522"/>
      <c r="E71" s="2522"/>
      <c r="F71" s="2522" t="s">
        <v>1811</v>
      </c>
      <c r="G71" s="2522"/>
      <c r="H71" s="4426" t="s">
        <v>1869</v>
      </c>
    </row>
    <row r="72" spans="1:12" ht="66" hidden="1">
      <c r="A72" s="4431"/>
      <c r="B72" s="2525" t="s">
        <v>837</v>
      </c>
      <c r="C72" s="2526" t="s">
        <v>1812</v>
      </c>
      <c r="D72" s="2525" t="s">
        <v>898</v>
      </c>
      <c r="E72" s="2527" t="s">
        <v>1812</v>
      </c>
      <c r="F72" s="2528" t="s">
        <v>839</v>
      </c>
      <c r="G72" s="2527" t="s">
        <v>1812</v>
      </c>
      <c r="H72" s="4430"/>
    </row>
    <row r="73" spans="1:12" ht="15.6" hidden="1">
      <c r="A73" s="4431"/>
      <c r="B73" s="2529" t="s">
        <v>1813</v>
      </c>
      <c r="C73" s="2530" t="s">
        <v>244</v>
      </c>
      <c r="D73" s="2529" t="s">
        <v>1814</v>
      </c>
      <c r="E73" s="2531" t="s">
        <v>244</v>
      </c>
      <c r="F73" s="2528"/>
      <c r="G73" s="2574"/>
      <c r="H73" s="2575" t="s">
        <v>1841</v>
      </c>
    </row>
    <row r="74" spans="1:12" hidden="1">
      <c r="A74" s="4430"/>
      <c r="B74" s="2528" t="s">
        <v>291</v>
      </c>
      <c r="C74" s="2530"/>
      <c r="D74" s="2528" t="s">
        <v>843</v>
      </c>
      <c r="E74" s="2531"/>
      <c r="F74" s="2528" t="s">
        <v>843</v>
      </c>
      <c r="G74" s="2531" t="s">
        <v>244</v>
      </c>
      <c r="H74" s="2528" t="s">
        <v>1815</v>
      </c>
    </row>
    <row r="75" spans="1:12" hidden="1">
      <c r="A75" s="2534" t="s">
        <v>697</v>
      </c>
      <c r="B75" s="2535">
        <v>397387.35</v>
      </c>
      <c r="C75" s="2533">
        <f>B75/B64-1</f>
        <v>0</v>
      </c>
      <c r="D75" s="2535">
        <v>158.29</v>
      </c>
      <c r="E75" s="2533">
        <f>D75/D64-1</f>
        <v>0</v>
      </c>
      <c r="F75" s="2535">
        <v>690.41</v>
      </c>
      <c r="G75" s="2533">
        <f>F75/F64-1</f>
        <v>0</v>
      </c>
      <c r="H75" s="2536">
        <f>(B75*6/(F75-D75))</f>
        <v>4480.8015109373819</v>
      </c>
    </row>
    <row r="76" spans="1:12" hidden="1">
      <c r="A76" s="2534" t="s">
        <v>676</v>
      </c>
      <c r="B76" s="2535">
        <v>740597.33</v>
      </c>
      <c r="C76" s="2533">
        <f>B76/B65-1</f>
        <v>0</v>
      </c>
      <c r="D76" s="2535">
        <v>168.14</v>
      </c>
      <c r="E76" s="2533">
        <f>D76/D65-1</f>
        <v>0</v>
      </c>
      <c r="F76" s="2535">
        <v>1174.03</v>
      </c>
      <c r="G76" s="2533">
        <f>F76/F65-1</f>
        <v>0</v>
      </c>
      <c r="H76" s="2536">
        <f>(B76*6/(F76-D76))</f>
        <v>4417.5645249480558</v>
      </c>
    </row>
    <row r="77" spans="1:12" hidden="1">
      <c r="A77" s="2534" t="s">
        <v>847</v>
      </c>
      <c r="B77" s="2535">
        <v>1021368.45</v>
      </c>
      <c r="C77" s="2533">
        <f>B77/B66-1</f>
        <v>0</v>
      </c>
      <c r="D77" s="2535">
        <v>432.48</v>
      </c>
      <c r="E77" s="2533">
        <f>D77/D66-1</f>
        <v>0</v>
      </c>
      <c r="F77" s="2535">
        <v>1817.25</v>
      </c>
      <c r="G77" s="2533">
        <f>F77/F66-1</f>
        <v>0</v>
      </c>
      <c r="H77" s="2536">
        <f>(B77*6/(F77-D77))</f>
        <v>4425.4357763383086</v>
      </c>
    </row>
    <row r="78" spans="1:12" hidden="1">
      <c r="A78" s="2534" t="s">
        <v>681</v>
      </c>
      <c r="B78" s="2535">
        <v>1766107.62</v>
      </c>
      <c r="C78" s="2533">
        <f>B78/B67-1</f>
        <v>0</v>
      </c>
      <c r="D78" s="2535">
        <v>495.34</v>
      </c>
      <c r="E78" s="2533">
        <f>D78/D67-1</f>
        <v>0</v>
      </c>
      <c r="F78" s="2535">
        <v>2688.41</v>
      </c>
      <c r="G78" s="2533">
        <f>F78/F67-1</f>
        <v>0</v>
      </c>
      <c r="H78" s="2536">
        <f>(B78*6/(F78-D78))</f>
        <v>4831.877559767815</v>
      </c>
    </row>
    <row r="79" spans="1:12" ht="27" hidden="1">
      <c r="A79" s="2534" t="s">
        <v>962</v>
      </c>
      <c r="B79" s="2535"/>
      <c r="C79" s="2533"/>
      <c r="D79" s="2535"/>
      <c r="E79" s="2533"/>
      <c r="F79" s="2535">
        <v>422.2</v>
      </c>
      <c r="G79" s="2533">
        <f>F79/F68-1</f>
        <v>0</v>
      </c>
      <c r="H79" s="2536"/>
    </row>
    <row r="80" spans="1:12" hidden="1"/>
    <row r="81" spans="1:9" hidden="1">
      <c r="A81" s="2516" t="s">
        <v>1931</v>
      </c>
      <c r="B81" s="2517"/>
      <c r="C81" s="2518"/>
      <c r="D81" s="2517"/>
      <c r="E81" s="2517"/>
      <c r="F81" s="2519"/>
      <c r="G81" s="2517"/>
    </row>
    <row r="82" spans="1:9" ht="18.75" hidden="1" customHeight="1">
      <c r="A82" s="4426" t="s">
        <v>1809</v>
      </c>
      <c r="B82" s="2522" t="s">
        <v>1810</v>
      </c>
      <c r="C82" s="2523"/>
      <c r="D82" s="2522"/>
      <c r="E82" s="2522"/>
      <c r="F82" s="2522" t="s">
        <v>1811</v>
      </c>
      <c r="G82" s="2522"/>
      <c r="H82" s="4426" t="s">
        <v>1870</v>
      </c>
      <c r="I82" s="4426" t="s">
        <v>835</v>
      </c>
    </row>
    <row r="83" spans="1:9" ht="66" hidden="1">
      <c r="A83" s="4431"/>
      <c r="B83" s="2525" t="s">
        <v>837</v>
      </c>
      <c r="C83" s="2526" t="s">
        <v>1812</v>
      </c>
      <c r="D83" s="2525" t="s">
        <v>898</v>
      </c>
      <c r="E83" s="2527" t="s">
        <v>1812</v>
      </c>
      <c r="F83" s="2528" t="s">
        <v>839</v>
      </c>
      <c r="G83" s="2527" t="s">
        <v>1812</v>
      </c>
      <c r="H83" s="4430"/>
      <c r="I83" s="4430"/>
    </row>
    <row r="84" spans="1:9" ht="15.6" hidden="1">
      <c r="A84" s="4431"/>
      <c r="B84" s="2529" t="s">
        <v>1813</v>
      </c>
      <c r="C84" s="2530" t="s">
        <v>244</v>
      </c>
      <c r="D84" s="2529" t="s">
        <v>1814</v>
      </c>
      <c r="E84" s="2531" t="s">
        <v>244</v>
      </c>
      <c r="F84" s="2528"/>
      <c r="G84" s="2574"/>
      <c r="H84" s="2575" t="s">
        <v>1841</v>
      </c>
      <c r="I84" s="2575" t="s">
        <v>1841</v>
      </c>
    </row>
    <row r="85" spans="1:9" hidden="1">
      <c r="A85" s="4430"/>
      <c r="B85" s="2528" t="s">
        <v>291</v>
      </c>
      <c r="C85" s="2530"/>
      <c r="D85" s="2528" t="s">
        <v>843</v>
      </c>
      <c r="E85" s="2531"/>
      <c r="F85" s="2528" t="s">
        <v>843</v>
      </c>
      <c r="G85" s="2531" t="s">
        <v>244</v>
      </c>
      <c r="H85" s="2528" t="s">
        <v>1815</v>
      </c>
      <c r="I85" s="2528" t="s">
        <v>1815</v>
      </c>
    </row>
    <row r="86" spans="1:9" hidden="1">
      <c r="A86" s="2534" t="s">
        <v>697</v>
      </c>
      <c r="B86" s="2535">
        <v>448807.96</v>
      </c>
      <c r="C86" s="2533">
        <f>B86/B75-1</f>
        <v>0.12939669569250256</v>
      </c>
      <c r="D86" s="2535">
        <v>182.92</v>
      </c>
      <c r="E86" s="2533">
        <f>D86/D75-1</f>
        <v>0.15560048013140437</v>
      </c>
      <c r="F86" s="2535">
        <v>779.62</v>
      </c>
      <c r="G86" s="2533">
        <f>F86/F75-1</f>
        <v>0.12921307628800283</v>
      </c>
      <c r="H86" s="2536">
        <f>(B86*6/(F86-D86))</f>
        <v>4512.9005530417298</v>
      </c>
      <c r="I86" s="2536">
        <f>H75+H86</f>
        <v>8993.7020639791117</v>
      </c>
    </row>
    <row r="87" spans="1:9" hidden="1">
      <c r="A87" s="2534" t="s">
        <v>676</v>
      </c>
      <c r="B87" s="2535">
        <v>815684.34</v>
      </c>
      <c r="C87" s="2533">
        <f>B87/B76-1</f>
        <v>0.10138709249734945</v>
      </c>
      <c r="D87" s="2535">
        <v>173.48</v>
      </c>
      <c r="E87" s="2533">
        <f>D87/D76-1</f>
        <v>3.1759248245509797E-2</v>
      </c>
      <c r="F87" s="2535">
        <v>1325.68</v>
      </c>
      <c r="G87" s="2533">
        <f>F87/F76-1</f>
        <v>0.12917046412783328</v>
      </c>
      <c r="H87" s="2536">
        <f>(B87*6/(F87-D87))</f>
        <v>4247.618503731991</v>
      </c>
      <c r="I87" s="2536">
        <f>H76+H87</f>
        <v>8665.1830286800468</v>
      </c>
    </row>
    <row r="88" spans="1:9" hidden="1">
      <c r="A88" s="2534" t="s">
        <v>847</v>
      </c>
      <c r="B88" s="2535">
        <v>1123518.33</v>
      </c>
      <c r="C88" s="2533">
        <f>B88/B77-1</f>
        <v>0.10001276228965184</v>
      </c>
      <c r="D88" s="2535">
        <v>480.74</v>
      </c>
      <c r="E88" s="2533">
        <f>D88/D77-1</f>
        <v>0.11158897521272659</v>
      </c>
      <c r="F88" s="2535">
        <v>2041.19</v>
      </c>
      <c r="G88" s="2533">
        <f>F88/F77-1</f>
        <v>0.12323015545467064</v>
      </c>
      <c r="H88" s="2536">
        <f>(B88*6/(F88-D88))</f>
        <v>4319.9781985965592</v>
      </c>
      <c r="I88" s="2536">
        <f>H77+H88</f>
        <v>8745.4139749348687</v>
      </c>
    </row>
    <row r="89" spans="1:9" hidden="1">
      <c r="A89" s="2534" t="s">
        <v>681</v>
      </c>
      <c r="B89" s="2535">
        <v>1832395.98</v>
      </c>
      <c r="C89" s="2533">
        <f>B89/B78-1</f>
        <v>3.7533590393545646E-2</v>
      </c>
      <c r="D89" s="2535">
        <v>509.65</v>
      </c>
      <c r="E89" s="2533">
        <f>D89/D78-1</f>
        <v>2.8889247789397166E-2</v>
      </c>
      <c r="F89" s="2535">
        <v>3019.54</v>
      </c>
      <c r="G89" s="2533">
        <f>F89/F78-1</f>
        <v>0.12316945703966287</v>
      </c>
      <c r="H89" s="2536">
        <f>(B89*6/(F89-D89))</f>
        <v>4380.4214049221282</v>
      </c>
      <c r="I89" s="2577">
        <f>H78+H89</f>
        <v>9212.2989646899441</v>
      </c>
    </row>
    <row r="90" spans="1:9" ht="27" hidden="1">
      <c r="A90" s="2534" t="s">
        <v>962</v>
      </c>
      <c r="B90" s="2535"/>
      <c r="C90" s="2533"/>
      <c r="D90" s="2535"/>
      <c r="E90" s="2533"/>
      <c r="F90" s="2535">
        <v>632.74</v>
      </c>
      <c r="G90" s="2533">
        <f>F90/F79-1</f>
        <v>0.49867361440075797</v>
      </c>
      <c r="H90" s="2536"/>
      <c r="I90" s="2536"/>
    </row>
    <row r="91" spans="1:9" hidden="1"/>
    <row r="92" spans="1:9" hidden="1">
      <c r="A92" s="2516" t="s">
        <v>1824</v>
      </c>
      <c r="B92" s="2517"/>
      <c r="C92" s="2518"/>
      <c r="D92" s="2517"/>
      <c r="E92" s="2517"/>
      <c r="F92" s="2519"/>
      <c r="G92" s="2517"/>
    </row>
    <row r="93" spans="1:9" ht="18.75" hidden="1" customHeight="1">
      <c r="A93" s="4426" t="s">
        <v>1809</v>
      </c>
      <c r="B93" s="2522" t="s">
        <v>1810</v>
      </c>
      <c r="C93" s="2523"/>
      <c r="D93" s="2522"/>
      <c r="E93" s="2522"/>
      <c r="F93" s="2522" t="s">
        <v>1811</v>
      </c>
      <c r="G93" s="2522"/>
      <c r="H93" s="4426" t="s">
        <v>835</v>
      </c>
    </row>
    <row r="94" spans="1:9" ht="66" hidden="1">
      <c r="A94" s="4431"/>
      <c r="B94" s="2525" t="s">
        <v>837</v>
      </c>
      <c r="C94" s="2526" t="s">
        <v>1812</v>
      </c>
      <c r="D94" s="2525" t="s">
        <v>898</v>
      </c>
      <c r="E94" s="2527" t="s">
        <v>1812</v>
      </c>
      <c r="F94" s="2528" t="s">
        <v>839</v>
      </c>
      <c r="G94" s="2527" t="s">
        <v>1812</v>
      </c>
      <c r="H94" s="4430"/>
    </row>
    <row r="95" spans="1:9" ht="15.6" hidden="1">
      <c r="A95" s="4431"/>
      <c r="B95" s="2529" t="s">
        <v>1813</v>
      </c>
      <c r="C95" s="2530" t="s">
        <v>244</v>
      </c>
      <c r="D95" s="2529" t="s">
        <v>1814</v>
      </c>
      <c r="E95" s="2531" t="s">
        <v>244</v>
      </c>
      <c r="F95" s="2528"/>
      <c r="G95" s="2574"/>
      <c r="H95" s="2575" t="s">
        <v>1841</v>
      </c>
    </row>
    <row r="96" spans="1:9" hidden="1">
      <c r="A96" s="4430"/>
      <c r="B96" s="2528" t="s">
        <v>291</v>
      </c>
      <c r="C96" s="2530"/>
      <c r="D96" s="2528" t="s">
        <v>843</v>
      </c>
      <c r="E96" s="2531"/>
      <c r="F96" s="2528" t="s">
        <v>843</v>
      </c>
      <c r="G96" s="2531" t="s">
        <v>244</v>
      </c>
      <c r="H96" s="2528" t="s">
        <v>1815</v>
      </c>
    </row>
    <row r="97" spans="1:8" hidden="1">
      <c r="A97" s="2534" t="s">
        <v>697</v>
      </c>
      <c r="B97" s="2535">
        <v>556235.52000000002</v>
      </c>
      <c r="C97" s="2533">
        <f>B97/B86-1</f>
        <v>0.23936197566549389</v>
      </c>
      <c r="D97" s="2535">
        <v>233.02</v>
      </c>
      <c r="E97" s="2533">
        <f>D97/D75-1</f>
        <v>0.47210815591635624</v>
      </c>
      <c r="F97" s="2535">
        <v>1026.03</v>
      </c>
      <c r="G97" s="2533">
        <f>F97/F75-1</f>
        <v>0.48611694500369351</v>
      </c>
      <c r="H97" s="2536">
        <f>(B97*12/(F97-D97))</f>
        <v>8417.0770103781797</v>
      </c>
    </row>
    <row r="98" spans="1:8" hidden="1">
      <c r="A98" s="2534" t="s">
        <v>676</v>
      </c>
      <c r="B98" s="2535">
        <v>1016086.23</v>
      </c>
      <c r="C98" s="2533">
        <f>B98/B76-1</f>
        <v>0.37198203239539085</v>
      </c>
      <c r="D98" s="2535">
        <v>249.17</v>
      </c>
      <c r="E98" s="2533">
        <f>D98/D76-1</f>
        <v>0.48191982871416683</v>
      </c>
      <c r="F98" s="2535">
        <v>1721.28</v>
      </c>
      <c r="G98" s="2533">
        <f>F98/F76-1</f>
        <v>0.46612948561791434</v>
      </c>
      <c r="H98" s="2536">
        <f>(B98*12/(F98-D98))</f>
        <v>8282.69270638743</v>
      </c>
    </row>
    <row r="99" spans="1:8" hidden="1">
      <c r="A99" s="2534" t="s">
        <v>847</v>
      </c>
      <c r="B99" s="2535">
        <v>1443155.57</v>
      </c>
      <c r="C99" s="2533">
        <f>B99/B77-1</f>
        <v>0.41296274620583806</v>
      </c>
      <c r="D99" s="2535">
        <v>600.1</v>
      </c>
      <c r="E99" s="2533">
        <f>D99/D77-1</f>
        <v>0.38757861635220126</v>
      </c>
      <c r="F99" s="2535">
        <v>2789.99</v>
      </c>
      <c r="G99" s="2533">
        <f>F99/F77-1</f>
        <v>0.53528133168248715</v>
      </c>
      <c r="H99" s="2536">
        <f>(B99*12/(F99-D99))</f>
        <v>7908.0989638748979</v>
      </c>
    </row>
    <row r="100" spans="1:8" hidden="1">
      <c r="A100" s="2534" t="s">
        <v>681</v>
      </c>
      <c r="B100" s="2535">
        <v>2624875.9300000002</v>
      </c>
      <c r="C100" s="2533">
        <f>B100/B78-1</f>
        <v>0.48624913922289736</v>
      </c>
      <c r="D100" s="2535">
        <v>684.4</v>
      </c>
      <c r="E100" s="2533">
        <f>D100/D78-1</f>
        <v>0.3816772318003796</v>
      </c>
      <c r="F100" s="2535">
        <v>4322.84</v>
      </c>
      <c r="G100" s="2533">
        <f>F100/F78-1</f>
        <v>0.60795414389918223</v>
      </c>
      <c r="H100" s="2536">
        <f>(B100*12/(F100-D100))</f>
        <v>8657.1473378700775</v>
      </c>
    </row>
    <row r="101" spans="1:8" ht="27" hidden="1">
      <c r="A101" s="2534" t="s">
        <v>962</v>
      </c>
      <c r="B101" s="2535">
        <v>28996.04</v>
      </c>
      <c r="C101" s="2533" t="e">
        <f>B101/B79-1</f>
        <v>#DIV/0!</v>
      </c>
      <c r="D101" s="2535">
        <v>273.31</v>
      </c>
      <c r="E101" s="2533" t="e">
        <f>D101/D79-1</f>
        <v>#DIV/0!</v>
      </c>
      <c r="F101" s="2535">
        <v>335.61</v>
      </c>
      <c r="G101" s="2533">
        <f>F101/F79-1</f>
        <v>-0.20509237328280427</v>
      </c>
      <c r="H101" s="2536">
        <f>(B101*12/(F101-D101))</f>
        <v>5585.1120385232734</v>
      </c>
    </row>
    <row r="102" spans="1:8" hidden="1"/>
    <row r="104" spans="1:8">
      <c r="A104" s="2516" t="s">
        <v>2144</v>
      </c>
      <c r="B104" s="2517"/>
      <c r="C104" s="2518"/>
      <c r="D104" s="2517"/>
      <c r="E104" s="2517"/>
      <c r="F104" s="2519"/>
      <c r="G104" s="2517"/>
    </row>
    <row r="105" spans="1:8" ht="18.75" customHeight="1">
      <c r="A105" s="4426" t="s">
        <v>1809</v>
      </c>
      <c r="B105" s="2522" t="s">
        <v>1810</v>
      </c>
      <c r="C105" s="2523"/>
      <c r="D105" s="2522"/>
      <c r="E105" s="2522"/>
      <c r="F105" s="2522" t="s">
        <v>1811</v>
      </c>
      <c r="G105" s="2522"/>
      <c r="H105" s="4426" t="s">
        <v>835</v>
      </c>
    </row>
    <row r="106" spans="1:8" ht="66">
      <c r="A106" s="4431"/>
      <c r="B106" s="2525" t="s">
        <v>837</v>
      </c>
      <c r="C106" s="2526" t="s">
        <v>1812</v>
      </c>
      <c r="D106" s="2525" t="s">
        <v>898</v>
      </c>
      <c r="E106" s="2527" t="s">
        <v>1812</v>
      </c>
      <c r="F106" s="2528" t="s">
        <v>839</v>
      </c>
      <c r="G106" s="2527" t="s">
        <v>1812</v>
      </c>
      <c r="H106" s="4430"/>
    </row>
    <row r="107" spans="1:8" ht="15.6">
      <c r="A107" s="4431"/>
      <c r="B107" s="2529" t="s">
        <v>1813</v>
      </c>
      <c r="C107" s="2530" t="s">
        <v>244</v>
      </c>
      <c r="D107" s="2529" t="s">
        <v>1814</v>
      </c>
      <c r="E107" s="2531" t="s">
        <v>244</v>
      </c>
      <c r="F107" s="2528"/>
      <c r="G107" s="2574"/>
      <c r="H107" s="2575" t="s">
        <v>1841</v>
      </c>
    </row>
    <row r="108" spans="1:8">
      <c r="A108" s="4430"/>
      <c r="B108" s="2528" t="s">
        <v>291</v>
      </c>
      <c r="C108" s="2530"/>
      <c r="D108" s="2528" t="s">
        <v>843</v>
      </c>
      <c r="E108" s="2531"/>
      <c r="F108" s="2528" t="s">
        <v>843</v>
      </c>
      <c r="G108" s="2531" t="s">
        <v>244</v>
      </c>
      <c r="H108" s="2528" t="s">
        <v>1815</v>
      </c>
    </row>
    <row r="109" spans="1:8">
      <c r="A109" s="2534" t="s">
        <v>697</v>
      </c>
      <c r="B109" s="2535">
        <v>446315.56</v>
      </c>
      <c r="C109" s="2533">
        <f>B109/B97-1</f>
        <v>-0.19761406103659118</v>
      </c>
      <c r="D109" s="2535">
        <v>182.68</v>
      </c>
      <c r="E109" s="2533">
        <f>D109/D97-1</f>
        <v>-0.21603295854433091</v>
      </c>
      <c r="F109" s="2535">
        <v>783.69</v>
      </c>
      <c r="G109" s="2533">
        <f>F109/F97-1</f>
        <v>-0.23619192421274227</v>
      </c>
      <c r="H109" s="2536">
        <f>(B109*12/(F109-D109))</f>
        <v>8911.3104940017638</v>
      </c>
    </row>
    <row r="110" spans="1:8">
      <c r="A110" s="2534" t="s">
        <v>676</v>
      </c>
      <c r="B110" s="2535">
        <v>847448.2</v>
      </c>
      <c r="C110" s="2533">
        <f>B110/B98-1</f>
        <v>-0.1659682269289291</v>
      </c>
      <c r="D110" s="2535">
        <v>189.4</v>
      </c>
      <c r="E110" s="2533">
        <f>D110/D98-1</f>
        <v>-0.23987638961351676</v>
      </c>
      <c r="F110" s="2535">
        <v>1348.38</v>
      </c>
      <c r="G110" s="2533">
        <f>F110/F98-1</f>
        <v>-0.21664110429447847</v>
      </c>
      <c r="H110" s="2536">
        <f>(B110*12/(F110-D110))</f>
        <v>8774.4209563581753</v>
      </c>
    </row>
    <row r="111" spans="1:8">
      <c r="A111" s="2534" t="s">
        <v>847</v>
      </c>
      <c r="B111" s="2535">
        <v>1156955</v>
      </c>
      <c r="C111" s="2533">
        <f>B111/B99-1</f>
        <v>-0.1983158128960415</v>
      </c>
      <c r="D111" s="2535">
        <v>482.36</v>
      </c>
      <c r="E111" s="2533">
        <f>D111/D99-1</f>
        <v>-0.19620063322779535</v>
      </c>
      <c r="F111" s="2535">
        <v>2064.62</v>
      </c>
      <c r="G111" s="2533">
        <f>F111/F99-1</f>
        <v>-0.25999017917626943</v>
      </c>
      <c r="H111" s="2536">
        <f>(B111*12/(F111-D111))</f>
        <v>8774.4492055667215</v>
      </c>
    </row>
    <row r="112" spans="1:8">
      <c r="A112" s="2534" t="s">
        <v>681</v>
      </c>
      <c r="B112" s="2535">
        <v>1853656.95</v>
      </c>
      <c r="C112" s="2533">
        <f>B112/B100-1</f>
        <v>-0.29381159360168319</v>
      </c>
      <c r="D112" s="2535">
        <v>519.70000000000005</v>
      </c>
      <c r="E112" s="2533">
        <f>D112/D100-1</f>
        <v>-0.24064874342489762</v>
      </c>
      <c r="F112" s="2535">
        <v>3054.78</v>
      </c>
      <c r="G112" s="2533">
        <f>F112/F100-1</f>
        <v>-0.29333956380527615</v>
      </c>
      <c r="H112" s="2536">
        <f>(B112*12/(F112-D112))</f>
        <v>8774.4305505151715</v>
      </c>
    </row>
    <row r="113" spans="1:8" ht="27">
      <c r="A113" s="2534" t="s">
        <v>962</v>
      </c>
      <c r="B113" s="2535"/>
      <c r="C113" s="2533"/>
      <c r="D113" s="2535"/>
      <c r="E113" s="2533"/>
      <c r="F113" s="2535"/>
      <c r="G113" s="2533"/>
      <c r="H113" s="2536"/>
    </row>
    <row r="115" spans="1:8">
      <c r="A115" s="2516" t="s">
        <v>2145</v>
      </c>
      <c r="B115" s="2517"/>
      <c r="C115" s="2518"/>
      <c r="D115" s="2517"/>
      <c r="E115" s="2517"/>
      <c r="F115" s="2519"/>
      <c r="G115" s="2517"/>
    </row>
    <row r="116" spans="1:8" ht="18.75" customHeight="1">
      <c r="A116" s="4426" t="s">
        <v>1809</v>
      </c>
      <c r="B116" s="2522" t="s">
        <v>1810</v>
      </c>
      <c r="C116" s="2523"/>
      <c r="D116" s="2522"/>
      <c r="E116" s="2522"/>
      <c r="F116" s="2522" t="s">
        <v>1811</v>
      </c>
      <c r="G116" s="2522"/>
      <c r="H116" s="4426" t="s">
        <v>835</v>
      </c>
    </row>
    <row r="117" spans="1:8" ht="66">
      <c r="A117" s="4431"/>
      <c r="B117" s="2525" t="s">
        <v>837</v>
      </c>
      <c r="C117" s="2526" t="s">
        <v>1812</v>
      </c>
      <c r="D117" s="2525" t="s">
        <v>898</v>
      </c>
      <c r="E117" s="2527" t="s">
        <v>1812</v>
      </c>
      <c r="F117" s="2528" t="s">
        <v>839</v>
      </c>
      <c r="G117" s="2527" t="s">
        <v>1812</v>
      </c>
      <c r="H117" s="4430"/>
    </row>
    <row r="118" spans="1:8" ht="15.6">
      <c r="A118" s="4431"/>
      <c r="B118" s="2529" t="s">
        <v>1813</v>
      </c>
      <c r="C118" s="2530" t="s">
        <v>244</v>
      </c>
      <c r="D118" s="2529" t="s">
        <v>1814</v>
      </c>
      <c r="E118" s="2531" t="s">
        <v>244</v>
      </c>
      <c r="F118" s="2528"/>
      <c r="G118" s="2574"/>
      <c r="H118" s="2575" t="s">
        <v>1841</v>
      </c>
    </row>
    <row r="119" spans="1:8">
      <c r="A119" s="4430"/>
      <c r="B119" s="2528" t="s">
        <v>291</v>
      </c>
      <c r="C119" s="2530"/>
      <c r="D119" s="2528" t="s">
        <v>843</v>
      </c>
      <c r="E119" s="2531"/>
      <c r="F119" s="2528" t="s">
        <v>843</v>
      </c>
      <c r="G119" s="2531" t="s">
        <v>244</v>
      </c>
      <c r="H119" s="2528" t="s">
        <v>1815</v>
      </c>
    </row>
    <row r="120" spans="1:8">
      <c r="A120" s="2534" t="s">
        <v>697</v>
      </c>
      <c r="B120" s="2535">
        <v>696788.79</v>
      </c>
      <c r="C120" s="2533">
        <f>B120/B109-1</f>
        <v>0.56120210104258983</v>
      </c>
      <c r="D120" s="2535">
        <v>93.89</v>
      </c>
      <c r="E120" s="2533">
        <f>D120/D109-1</f>
        <v>-0.48604116487847604</v>
      </c>
      <c r="F120" s="2535">
        <v>1048.4000000000001</v>
      </c>
      <c r="G120" s="2533">
        <f>F120/F109-1</f>
        <v>0.33777386466587567</v>
      </c>
      <c r="H120" s="2536">
        <f>(B120*12/(F120-D120))</f>
        <v>8759.9558726466985</v>
      </c>
    </row>
    <row r="121" spans="1:8">
      <c r="A121" s="2534" t="s">
        <v>676</v>
      </c>
      <c r="B121" s="2535">
        <v>1170896.3600000001</v>
      </c>
      <c r="C121" s="2533">
        <f>B121/B110-1</f>
        <v>0.3816730745312813</v>
      </c>
      <c r="D121" s="2535">
        <v>198.82</v>
      </c>
      <c r="E121" s="2533">
        <f>D121/D110-1</f>
        <v>4.9736008447729629E-2</v>
      </c>
      <c r="F121" s="2535">
        <v>1802.78</v>
      </c>
      <c r="G121" s="2533">
        <f>F121/F110-1</f>
        <v>0.33699698897936781</v>
      </c>
      <c r="H121" s="2536">
        <f>(B121*12/(F121-D121))</f>
        <v>8760.0415970473077</v>
      </c>
    </row>
    <row r="122" spans="1:8">
      <c r="A122" s="2534" t="s">
        <v>847</v>
      </c>
      <c r="B122" s="2535">
        <v>1821035.14</v>
      </c>
      <c r="C122" s="2533">
        <f>B122/B111-1</f>
        <v>0.57398960201563587</v>
      </c>
      <c r="D122" s="2535">
        <v>261.7</v>
      </c>
      <c r="E122" s="2533">
        <f>D122/D111-1</f>
        <v>-0.45745915913425661</v>
      </c>
      <c r="F122" s="2535">
        <v>2756.27</v>
      </c>
      <c r="G122" s="2533">
        <f>F122/F111-1</f>
        <v>0.33500111400645172</v>
      </c>
      <c r="H122" s="2536">
        <f>(B122*12/(F122-D122))</f>
        <v>8759.9953819696366</v>
      </c>
    </row>
    <row r="123" spans="1:8">
      <c r="A123" s="2534" t="s">
        <v>681</v>
      </c>
      <c r="B123" s="2535">
        <v>2450996.14</v>
      </c>
      <c r="C123" s="2533">
        <f>B123/B112-1</f>
        <v>0.32224904937237731</v>
      </c>
      <c r="D123" s="2535">
        <v>714.49</v>
      </c>
      <c r="E123" s="2533">
        <f>D123/D112-1</f>
        <v>0.37481239176447945</v>
      </c>
      <c r="F123" s="2535">
        <v>4072.02</v>
      </c>
      <c r="G123" s="2533">
        <f>F123/F112-1</f>
        <v>0.33299943040087987</v>
      </c>
      <c r="H123" s="2536">
        <f>(B123*12/(F123-D123))</f>
        <v>8759.9972837174955</v>
      </c>
    </row>
    <row r="124" spans="1:8" ht="27">
      <c r="A124" s="2534" t="s">
        <v>962</v>
      </c>
      <c r="B124" s="2535"/>
      <c r="C124" s="2533"/>
      <c r="D124" s="2535"/>
      <c r="E124" s="2533"/>
      <c r="F124" s="2535"/>
      <c r="G124" s="2533"/>
      <c r="H124" s="2536"/>
    </row>
  </sheetData>
  <mergeCells count="24">
    <mergeCell ref="A93:A96"/>
    <mergeCell ref="H93:H94"/>
    <mergeCell ref="A105:A108"/>
    <mergeCell ref="H105:H106"/>
    <mergeCell ref="A116:A119"/>
    <mergeCell ref="H116:H117"/>
    <mergeCell ref="I60:I61"/>
    <mergeCell ref="A71:A74"/>
    <mergeCell ref="H71:H72"/>
    <mergeCell ref="A82:A85"/>
    <mergeCell ref="H82:H83"/>
    <mergeCell ref="I82:I83"/>
    <mergeCell ref="A38:A41"/>
    <mergeCell ref="H38:H39"/>
    <mergeCell ref="A49:A52"/>
    <mergeCell ref="H49:H50"/>
    <mergeCell ref="A60:A63"/>
    <mergeCell ref="H60:H61"/>
    <mergeCell ref="A5:A8"/>
    <mergeCell ref="H5:H6"/>
    <mergeCell ref="A16:A19"/>
    <mergeCell ref="H16:H17"/>
    <mergeCell ref="A27:A30"/>
    <mergeCell ref="H27:H2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pageSetUpPr fitToPage="1"/>
  </sheetPr>
  <dimension ref="A1:K50"/>
  <sheetViews>
    <sheetView topLeftCell="A7" zoomScale="85" zoomScaleNormal="85" zoomScaleSheetLayoutView="65" workbookViewId="0">
      <selection activeCell="B32" sqref="A1:XFD1048576"/>
    </sheetView>
  </sheetViews>
  <sheetFormatPr defaultRowHeight="13.2"/>
  <cols>
    <col min="1" max="1" width="36.6640625" style="2793" customWidth="1"/>
    <col min="2" max="2" width="17.88671875" style="2793" customWidth="1"/>
    <col min="3" max="3" width="19" style="2793" customWidth="1"/>
    <col min="4" max="4" width="18" style="2793" customWidth="1"/>
    <col min="5" max="5" width="17.88671875" style="2793" customWidth="1"/>
    <col min="6" max="6" width="19.33203125" style="2793" customWidth="1"/>
    <col min="7" max="20" width="0" style="2793" hidden="1" customWidth="1"/>
    <col min="21" max="256" width="9.109375" style="2793"/>
    <col min="257" max="257" width="36.6640625" style="2793" customWidth="1"/>
    <col min="258" max="258" width="17.88671875" style="2793" customWidth="1"/>
    <col min="259" max="259" width="19" style="2793" customWidth="1"/>
    <col min="260" max="260" width="18" style="2793" customWidth="1"/>
    <col min="261" max="261" width="17.88671875" style="2793" customWidth="1"/>
    <col min="262" max="262" width="19.33203125" style="2793" customWidth="1"/>
    <col min="263" max="276" width="0" style="2793" hidden="1" customWidth="1"/>
    <col min="277" max="512" width="9.109375" style="2793"/>
    <col min="513" max="513" width="36.6640625" style="2793" customWidth="1"/>
    <col min="514" max="514" width="17.88671875" style="2793" customWidth="1"/>
    <col min="515" max="515" width="19" style="2793" customWidth="1"/>
    <col min="516" max="516" width="18" style="2793" customWidth="1"/>
    <col min="517" max="517" width="17.88671875" style="2793" customWidth="1"/>
    <col min="518" max="518" width="19.33203125" style="2793" customWidth="1"/>
    <col min="519" max="532" width="0" style="2793" hidden="1" customWidth="1"/>
    <col min="533" max="768" width="9.109375" style="2793"/>
    <col min="769" max="769" width="36.6640625" style="2793" customWidth="1"/>
    <col min="770" max="770" width="17.88671875" style="2793" customWidth="1"/>
    <col min="771" max="771" width="19" style="2793" customWidth="1"/>
    <col min="772" max="772" width="18" style="2793" customWidth="1"/>
    <col min="773" max="773" width="17.88671875" style="2793" customWidth="1"/>
    <col min="774" max="774" width="19.33203125" style="2793" customWidth="1"/>
    <col min="775" max="788" width="0" style="2793" hidden="1" customWidth="1"/>
    <col min="789" max="1024" width="9.109375" style="2793"/>
    <col min="1025" max="1025" width="36.6640625" style="2793" customWidth="1"/>
    <col min="1026" max="1026" width="17.88671875" style="2793" customWidth="1"/>
    <col min="1027" max="1027" width="19" style="2793" customWidth="1"/>
    <col min="1028" max="1028" width="18" style="2793" customWidth="1"/>
    <col min="1029" max="1029" width="17.88671875" style="2793" customWidth="1"/>
    <col min="1030" max="1030" width="19.33203125" style="2793" customWidth="1"/>
    <col min="1031" max="1044" width="0" style="2793" hidden="1" customWidth="1"/>
    <col min="1045" max="1280" width="9.109375" style="2793"/>
    <col min="1281" max="1281" width="36.6640625" style="2793" customWidth="1"/>
    <col min="1282" max="1282" width="17.88671875" style="2793" customWidth="1"/>
    <col min="1283" max="1283" width="19" style="2793" customWidth="1"/>
    <col min="1284" max="1284" width="18" style="2793" customWidth="1"/>
    <col min="1285" max="1285" width="17.88671875" style="2793" customWidth="1"/>
    <col min="1286" max="1286" width="19.33203125" style="2793" customWidth="1"/>
    <col min="1287" max="1300" width="0" style="2793" hidden="1" customWidth="1"/>
    <col min="1301" max="1536" width="9.109375" style="2793"/>
    <col min="1537" max="1537" width="36.6640625" style="2793" customWidth="1"/>
    <col min="1538" max="1538" width="17.88671875" style="2793" customWidth="1"/>
    <col min="1539" max="1539" width="19" style="2793" customWidth="1"/>
    <col min="1540" max="1540" width="18" style="2793" customWidth="1"/>
    <col min="1541" max="1541" width="17.88671875" style="2793" customWidth="1"/>
    <col min="1542" max="1542" width="19.33203125" style="2793" customWidth="1"/>
    <col min="1543" max="1556" width="0" style="2793" hidden="1" customWidth="1"/>
    <col min="1557" max="1792" width="9.109375" style="2793"/>
    <col min="1793" max="1793" width="36.6640625" style="2793" customWidth="1"/>
    <col min="1794" max="1794" width="17.88671875" style="2793" customWidth="1"/>
    <col min="1795" max="1795" width="19" style="2793" customWidth="1"/>
    <col min="1796" max="1796" width="18" style="2793" customWidth="1"/>
    <col min="1797" max="1797" width="17.88671875" style="2793" customWidth="1"/>
    <col min="1798" max="1798" width="19.33203125" style="2793" customWidth="1"/>
    <col min="1799" max="1812" width="0" style="2793" hidden="1" customWidth="1"/>
    <col min="1813" max="2048" width="9.109375" style="2793"/>
    <col min="2049" max="2049" width="36.6640625" style="2793" customWidth="1"/>
    <col min="2050" max="2050" width="17.88671875" style="2793" customWidth="1"/>
    <col min="2051" max="2051" width="19" style="2793" customWidth="1"/>
    <col min="2052" max="2052" width="18" style="2793" customWidth="1"/>
    <col min="2053" max="2053" width="17.88671875" style="2793" customWidth="1"/>
    <col min="2054" max="2054" width="19.33203125" style="2793" customWidth="1"/>
    <col min="2055" max="2068" width="0" style="2793" hidden="1" customWidth="1"/>
    <col min="2069" max="2304" width="9.109375" style="2793"/>
    <col min="2305" max="2305" width="36.6640625" style="2793" customWidth="1"/>
    <col min="2306" max="2306" width="17.88671875" style="2793" customWidth="1"/>
    <col min="2307" max="2307" width="19" style="2793" customWidth="1"/>
    <col min="2308" max="2308" width="18" style="2793" customWidth="1"/>
    <col min="2309" max="2309" width="17.88671875" style="2793" customWidth="1"/>
    <col min="2310" max="2310" width="19.33203125" style="2793" customWidth="1"/>
    <col min="2311" max="2324" width="0" style="2793" hidden="1" customWidth="1"/>
    <col min="2325" max="2560" width="9.109375" style="2793"/>
    <col min="2561" max="2561" width="36.6640625" style="2793" customWidth="1"/>
    <col min="2562" max="2562" width="17.88671875" style="2793" customWidth="1"/>
    <col min="2563" max="2563" width="19" style="2793" customWidth="1"/>
    <col min="2564" max="2564" width="18" style="2793" customWidth="1"/>
    <col min="2565" max="2565" width="17.88671875" style="2793" customWidth="1"/>
    <col min="2566" max="2566" width="19.33203125" style="2793" customWidth="1"/>
    <col min="2567" max="2580" width="0" style="2793" hidden="1" customWidth="1"/>
    <col min="2581" max="2816" width="9.109375" style="2793"/>
    <col min="2817" max="2817" width="36.6640625" style="2793" customWidth="1"/>
    <col min="2818" max="2818" width="17.88671875" style="2793" customWidth="1"/>
    <col min="2819" max="2819" width="19" style="2793" customWidth="1"/>
    <col min="2820" max="2820" width="18" style="2793" customWidth="1"/>
    <col min="2821" max="2821" width="17.88671875" style="2793" customWidth="1"/>
    <col min="2822" max="2822" width="19.33203125" style="2793" customWidth="1"/>
    <col min="2823" max="2836" width="0" style="2793" hidden="1" customWidth="1"/>
    <col min="2837" max="3072" width="9.109375" style="2793"/>
    <col min="3073" max="3073" width="36.6640625" style="2793" customWidth="1"/>
    <col min="3074" max="3074" width="17.88671875" style="2793" customWidth="1"/>
    <col min="3075" max="3075" width="19" style="2793" customWidth="1"/>
    <col min="3076" max="3076" width="18" style="2793" customWidth="1"/>
    <col min="3077" max="3077" width="17.88671875" style="2793" customWidth="1"/>
    <col min="3078" max="3078" width="19.33203125" style="2793" customWidth="1"/>
    <col min="3079" max="3092" width="0" style="2793" hidden="1" customWidth="1"/>
    <col min="3093" max="3328" width="9.109375" style="2793"/>
    <col min="3329" max="3329" width="36.6640625" style="2793" customWidth="1"/>
    <col min="3330" max="3330" width="17.88671875" style="2793" customWidth="1"/>
    <col min="3331" max="3331" width="19" style="2793" customWidth="1"/>
    <col min="3332" max="3332" width="18" style="2793" customWidth="1"/>
    <col min="3333" max="3333" width="17.88671875" style="2793" customWidth="1"/>
    <col min="3334" max="3334" width="19.33203125" style="2793" customWidth="1"/>
    <col min="3335" max="3348" width="0" style="2793" hidden="1" customWidth="1"/>
    <col min="3349" max="3584" width="9.109375" style="2793"/>
    <col min="3585" max="3585" width="36.6640625" style="2793" customWidth="1"/>
    <col min="3586" max="3586" width="17.88671875" style="2793" customWidth="1"/>
    <col min="3587" max="3587" width="19" style="2793" customWidth="1"/>
    <col min="3588" max="3588" width="18" style="2793" customWidth="1"/>
    <col min="3589" max="3589" width="17.88671875" style="2793" customWidth="1"/>
    <col min="3590" max="3590" width="19.33203125" style="2793" customWidth="1"/>
    <col min="3591" max="3604" width="0" style="2793" hidden="1" customWidth="1"/>
    <col min="3605" max="3840" width="9.109375" style="2793"/>
    <col min="3841" max="3841" width="36.6640625" style="2793" customWidth="1"/>
    <col min="3842" max="3842" width="17.88671875" style="2793" customWidth="1"/>
    <col min="3843" max="3843" width="19" style="2793" customWidth="1"/>
    <col min="3844" max="3844" width="18" style="2793" customWidth="1"/>
    <col min="3845" max="3845" width="17.88671875" style="2793" customWidth="1"/>
    <col min="3846" max="3846" width="19.33203125" style="2793" customWidth="1"/>
    <col min="3847" max="3860" width="0" style="2793" hidden="1" customWidth="1"/>
    <col min="3861" max="4096" width="9.109375" style="2793"/>
    <col min="4097" max="4097" width="36.6640625" style="2793" customWidth="1"/>
    <col min="4098" max="4098" width="17.88671875" style="2793" customWidth="1"/>
    <col min="4099" max="4099" width="19" style="2793" customWidth="1"/>
    <col min="4100" max="4100" width="18" style="2793" customWidth="1"/>
    <col min="4101" max="4101" width="17.88671875" style="2793" customWidth="1"/>
    <col min="4102" max="4102" width="19.33203125" style="2793" customWidth="1"/>
    <col min="4103" max="4116" width="0" style="2793" hidden="1" customWidth="1"/>
    <col min="4117" max="4352" width="9.109375" style="2793"/>
    <col min="4353" max="4353" width="36.6640625" style="2793" customWidth="1"/>
    <col min="4354" max="4354" width="17.88671875" style="2793" customWidth="1"/>
    <col min="4355" max="4355" width="19" style="2793" customWidth="1"/>
    <col min="4356" max="4356" width="18" style="2793" customWidth="1"/>
    <col min="4357" max="4357" width="17.88671875" style="2793" customWidth="1"/>
    <col min="4358" max="4358" width="19.33203125" style="2793" customWidth="1"/>
    <col min="4359" max="4372" width="0" style="2793" hidden="1" customWidth="1"/>
    <col min="4373" max="4608" width="9.109375" style="2793"/>
    <col min="4609" max="4609" width="36.6640625" style="2793" customWidth="1"/>
    <col min="4610" max="4610" width="17.88671875" style="2793" customWidth="1"/>
    <col min="4611" max="4611" width="19" style="2793" customWidth="1"/>
    <col min="4612" max="4612" width="18" style="2793" customWidth="1"/>
    <col min="4613" max="4613" width="17.88671875" style="2793" customWidth="1"/>
    <col min="4614" max="4614" width="19.33203125" style="2793" customWidth="1"/>
    <col min="4615" max="4628" width="0" style="2793" hidden="1" customWidth="1"/>
    <col min="4629" max="4864" width="9.109375" style="2793"/>
    <col min="4865" max="4865" width="36.6640625" style="2793" customWidth="1"/>
    <col min="4866" max="4866" width="17.88671875" style="2793" customWidth="1"/>
    <col min="4867" max="4867" width="19" style="2793" customWidth="1"/>
    <col min="4868" max="4868" width="18" style="2793" customWidth="1"/>
    <col min="4869" max="4869" width="17.88671875" style="2793" customWidth="1"/>
    <col min="4870" max="4870" width="19.33203125" style="2793" customWidth="1"/>
    <col min="4871" max="4884" width="0" style="2793" hidden="1" customWidth="1"/>
    <col min="4885" max="5120" width="9.109375" style="2793"/>
    <col min="5121" max="5121" width="36.6640625" style="2793" customWidth="1"/>
    <col min="5122" max="5122" width="17.88671875" style="2793" customWidth="1"/>
    <col min="5123" max="5123" width="19" style="2793" customWidth="1"/>
    <col min="5124" max="5124" width="18" style="2793" customWidth="1"/>
    <col min="5125" max="5125" width="17.88671875" style="2793" customWidth="1"/>
    <col min="5126" max="5126" width="19.33203125" style="2793" customWidth="1"/>
    <col min="5127" max="5140" width="0" style="2793" hidden="1" customWidth="1"/>
    <col min="5141" max="5376" width="9.109375" style="2793"/>
    <col min="5377" max="5377" width="36.6640625" style="2793" customWidth="1"/>
    <col min="5378" max="5378" width="17.88671875" style="2793" customWidth="1"/>
    <col min="5379" max="5379" width="19" style="2793" customWidth="1"/>
    <col min="5380" max="5380" width="18" style="2793" customWidth="1"/>
    <col min="5381" max="5381" width="17.88671875" style="2793" customWidth="1"/>
    <col min="5382" max="5382" width="19.33203125" style="2793" customWidth="1"/>
    <col min="5383" max="5396" width="0" style="2793" hidden="1" customWidth="1"/>
    <col min="5397" max="5632" width="9.109375" style="2793"/>
    <col min="5633" max="5633" width="36.6640625" style="2793" customWidth="1"/>
    <col min="5634" max="5634" width="17.88671875" style="2793" customWidth="1"/>
    <col min="5635" max="5635" width="19" style="2793" customWidth="1"/>
    <col min="5636" max="5636" width="18" style="2793" customWidth="1"/>
    <col min="5637" max="5637" width="17.88671875" style="2793" customWidth="1"/>
    <col min="5638" max="5638" width="19.33203125" style="2793" customWidth="1"/>
    <col min="5639" max="5652" width="0" style="2793" hidden="1" customWidth="1"/>
    <col min="5653" max="5888" width="9.109375" style="2793"/>
    <col min="5889" max="5889" width="36.6640625" style="2793" customWidth="1"/>
    <col min="5890" max="5890" width="17.88671875" style="2793" customWidth="1"/>
    <col min="5891" max="5891" width="19" style="2793" customWidth="1"/>
    <col min="5892" max="5892" width="18" style="2793" customWidth="1"/>
    <col min="5893" max="5893" width="17.88671875" style="2793" customWidth="1"/>
    <col min="5894" max="5894" width="19.33203125" style="2793" customWidth="1"/>
    <col min="5895" max="5908" width="0" style="2793" hidden="1" customWidth="1"/>
    <col min="5909" max="6144" width="9.109375" style="2793"/>
    <col min="6145" max="6145" width="36.6640625" style="2793" customWidth="1"/>
    <col min="6146" max="6146" width="17.88671875" style="2793" customWidth="1"/>
    <col min="6147" max="6147" width="19" style="2793" customWidth="1"/>
    <col min="6148" max="6148" width="18" style="2793" customWidth="1"/>
    <col min="6149" max="6149" width="17.88671875" style="2793" customWidth="1"/>
    <col min="6150" max="6150" width="19.33203125" style="2793" customWidth="1"/>
    <col min="6151" max="6164" width="0" style="2793" hidden="1" customWidth="1"/>
    <col min="6165" max="6400" width="9.109375" style="2793"/>
    <col min="6401" max="6401" width="36.6640625" style="2793" customWidth="1"/>
    <col min="6402" max="6402" width="17.88671875" style="2793" customWidth="1"/>
    <col min="6403" max="6403" width="19" style="2793" customWidth="1"/>
    <col min="6404" max="6404" width="18" style="2793" customWidth="1"/>
    <col min="6405" max="6405" width="17.88671875" style="2793" customWidth="1"/>
    <col min="6406" max="6406" width="19.33203125" style="2793" customWidth="1"/>
    <col min="6407" max="6420" width="0" style="2793" hidden="1" customWidth="1"/>
    <col min="6421" max="6656" width="9.109375" style="2793"/>
    <col min="6657" max="6657" width="36.6640625" style="2793" customWidth="1"/>
    <col min="6658" max="6658" width="17.88671875" style="2793" customWidth="1"/>
    <col min="6659" max="6659" width="19" style="2793" customWidth="1"/>
    <col min="6660" max="6660" width="18" style="2793" customWidth="1"/>
    <col min="6661" max="6661" width="17.88671875" style="2793" customWidth="1"/>
    <col min="6662" max="6662" width="19.33203125" style="2793" customWidth="1"/>
    <col min="6663" max="6676" width="0" style="2793" hidden="1" customWidth="1"/>
    <col min="6677" max="6912" width="9.109375" style="2793"/>
    <col min="6913" max="6913" width="36.6640625" style="2793" customWidth="1"/>
    <col min="6914" max="6914" width="17.88671875" style="2793" customWidth="1"/>
    <col min="6915" max="6915" width="19" style="2793" customWidth="1"/>
    <col min="6916" max="6916" width="18" style="2793" customWidth="1"/>
    <col min="6917" max="6917" width="17.88671875" style="2793" customWidth="1"/>
    <col min="6918" max="6918" width="19.33203125" style="2793" customWidth="1"/>
    <col min="6919" max="6932" width="0" style="2793" hidden="1" customWidth="1"/>
    <col min="6933" max="7168" width="9.109375" style="2793"/>
    <col min="7169" max="7169" width="36.6640625" style="2793" customWidth="1"/>
    <col min="7170" max="7170" width="17.88671875" style="2793" customWidth="1"/>
    <col min="7171" max="7171" width="19" style="2793" customWidth="1"/>
    <col min="7172" max="7172" width="18" style="2793" customWidth="1"/>
    <col min="7173" max="7173" width="17.88671875" style="2793" customWidth="1"/>
    <col min="7174" max="7174" width="19.33203125" style="2793" customWidth="1"/>
    <col min="7175" max="7188" width="0" style="2793" hidden="1" customWidth="1"/>
    <col min="7189" max="7424" width="9.109375" style="2793"/>
    <col min="7425" max="7425" width="36.6640625" style="2793" customWidth="1"/>
    <col min="7426" max="7426" width="17.88671875" style="2793" customWidth="1"/>
    <col min="7427" max="7427" width="19" style="2793" customWidth="1"/>
    <col min="7428" max="7428" width="18" style="2793" customWidth="1"/>
    <col min="7429" max="7429" width="17.88671875" style="2793" customWidth="1"/>
    <col min="7430" max="7430" width="19.33203125" style="2793" customWidth="1"/>
    <col min="7431" max="7444" width="0" style="2793" hidden="1" customWidth="1"/>
    <col min="7445" max="7680" width="9.109375" style="2793"/>
    <col min="7681" max="7681" width="36.6640625" style="2793" customWidth="1"/>
    <col min="7682" max="7682" width="17.88671875" style="2793" customWidth="1"/>
    <col min="7683" max="7683" width="19" style="2793" customWidth="1"/>
    <col min="7684" max="7684" width="18" style="2793" customWidth="1"/>
    <col min="7685" max="7685" width="17.88671875" style="2793" customWidth="1"/>
    <col min="7686" max="7686" width="19.33203125" style="2793" customWidth="1"/>
    <col min="7687" max="7700" width="0" style="2793" hidden="1" customWidth="1"/>
    <col min="7701" max="7936" width="9.109375" style="2793"/>
    <col min="7937" max="7937" width="36.6640625" style="2793" customWidth="1"/>
    <col min="7938" max="7938" width="17.88671875" style="2793" customWidth="1"/>
    <col min="7939" max="7939" width="19" style="2793" customWidth="1"/>
    <col min="7940" max="7940" width="18" style="2793" customWidth="1"/>
    <col min="7941" max="7941" width="17.88671875" style="2793" customWidth="1"/>
    <col min="7942" max="7942" width="19.33203125" style="2793" customWidth="1"/>
    <col min="7943" max="7956" width="0" style="2793" hidden="1" customWidth="1"/>
    <col min="7957" max="8192" width="9.109375" style="2793"/>
    <col min="8193" max="8193" width="36.6640625" style="2793" customWidth="1"/>
    <col min="8194" max="8194" width="17.88671875" style="2793" customWidth="1"/>
    <col min="8195" max="8195" width="19" style="2793" customWidth="1"/>
    <col min="8196" max="8196" width="18" style="2793" customWidth="1"/>
    <col min="8197" max="8197" width="17.88671875" style="2793" customWidth="1"/>
    <col min="8198" max="8198" width="19.33203125" style="2793" customWidth="1"/>
    <col min="8199" max="8212" width="0" style="2793" hidden="1" customWidth="1"/>
    <col min="8213" max="8448" width="9.109375" style="2793"/>
    <col min="8449" max="8449" width="36.6640625" style="2793" customWidth="1"/>
    <col min="8450" max="8450" width="17.88671875" style="2793" customWidth="1"/>
    <col min="8451" max="8451" width="19" style="2793" customWidth="1"/>
    <col min="8452" max="8452" width="18" style="2793" customWidth="1"/>
    <col min="8453" max="8453" width="17.88671875" style="2793" customWidth="1"/>
    <col min="8454" max="8454" width="19.33203125" style="2793" customWidth="1"/>
    <col min="8455" max="8468" width="0" style="2793" hidden="1" customWidth="1"/>
    <col min="8469" max="8704" width="9.109375" style="2793"/>
    <col min="8705" max="8705" width="36.6640625" style="2793" customWidth="1"/>
    <col min="8706" max="8706" width="17.88671875" style="2793" customWidth="1"/>
    <col min="8707" max="8707" width="19" style="2793" customWidth="1"/>
    <col min="8708" max="8708" width="18" style="2793" customWidth="1"/>
    <col min="8709" max="8709" width="17.88671875" style="2793" customWidth="1"/>
    <col min="8710" max="8710" width="19.33203125" style="2793" customWidth="1"/>
    <col min="8711" max="8724" width="0" style="2793" hidden="1" customWidth="1"/>
    <col min="8725" max="8960" width="9.109375" style="2793"/>
    <col min="8961" max="8961" width="36.6640625" style="2793" customWidth="1"/>
    <col min="8962" max="8962" width="17.88671875" style="2793" customWidth="1"/>
    <col min="8963" max="8963" width="19" style="2793" customWidth="1"/>
    <col min="8964" max="8964" width="18" style="2793" customWidth="1"/>
    <col min="8965" max="8965" width="17.88671875" style="2793" customWidth="1"/>
    <col min="8966" max="8966" width="19.33203125" style="2793" customWidth="1"/>
    <col min="8967" max="8980" width="0" style="2793" hidden="1" customWidth="1"/>
    <col min="8981" max="9216" width="9.109375" style="2793"/>
    <col min="9217" max="9217" width="36.6640625" style="2793" customWidth="1"/>
    <col min="9218" max="9218" width="17.88671875" style="2793" customWidth="1"/>
    <col min="9219" max="9219" width="19" style="2793" customWidth="1"/>
    <col min="9220" max="9220" width="18" style="2793" customWidth="1"/>
    <col min="9221" max="9221" width="17.88671875" style="2793" customWidth="1"/>
    <col min="9222" max="9222" width="19.33203125" style="2793" customWidth="1"/>
    <col min="9223" max="9236" width="0" style="2793" hidden="1" customWidth="1"/>
    <col min="9237" max="9472" width="9.109375" style="2793"/>
    <col min="9473" max="9473" width="36.6640625" style="2793" customWidth="1"/>
    <col min="9474" max="9474" width="17.88671875" style="2793" customWidth="1"/>
    <col min="9475" max="9475" width="19" style="2793" customWidth="1"/>
    <col min="9476" max="9476" width="18" style="2793" customWidth="1"/>
    <col min="9477" max="9477" width="17.88671875" style="2793" customWidth="1"/>
    <col min="9478" max="9478" width="19.33203125" style="2793" customWidth="1"/>
    <col min="9479" max="9492" width="0" style="2793" hidden="1" customWidth="1"/>
    <col min="9493" max="9728" width="9.109375" style="2793"/>
    <col min="9729" max="9729" width="36.6640625" style="2793" customWidth="1"/>
    <col min="9730" max="9730" width="17.88671875" style="2793" customWidth="1"/>
    <col min="9731" max="9731" width="19" style="2793" customWidth="1"/>
    <col min="9732" max="9732" width="18" style="2793" customWidth="1"/>
    <col min="9733" max="9733" width="17.88671875" style="2793" customWidth="1"/>
    <col min="9734" max="9734" width="19.33203125" style="2793" customWidth="1"/>
    <col min="9735" max="9748" width="0" style="2793" hidden="1" customWidth="1"/>
    <col min="9749" max="9984" width="9.109375" style="2793"/>
    <col min="9985" max="9985" width="36.6640625" style="2793" customWidth="1"/>
    <col min="9986" max="9986" width="17.88671875" style="2793" customWidth="1"/>
    <col min="9987" max="9987" width="19" style="2793" customWidth="1"/>
    <col min="9988" max="9988" width="18" style="2793" customWidth="1"/>
    <col min="9989" max="9989" width="17.88671875" style="2793" customWidth="1"/>
    <col min="9990" max="9990" width="19.33203125" style="2793" customWidth="1"/>
    <col min="9991" max="10004" width="0" style="2793" hidden="1" customWidth="1"/>
    <col min="10005" max="10240" width="9.109375" style="2793"/>
    <col min="10241" max="10241" width="36.6640625" style="2793" customWidth="1"/>
    <col min="10242" max="10242" width="17.88671875" style="2793" customWidth="1"/>
    <col min="10243" max="10243" width="19" style="2793" customWidth="1"/>
    <col min="10244" max="10244" width="18" style="2793" customWidth="1"/>
    <col min="10245" max="10245" width="17.88671875" style="2793" customWidth="1"/>
    <col min="10246" max="10246" width="19.33203125" style="2793" customWidth="1"/>
    <col min="10247" max="10260" width="0" style="2793" hidden="1" customWidth="1"/>
    <col min="10261" max="10496" width="9.109375" style="2793"/>
    <col min="10497" max="10497" width="36.6640625" style="2793" customWidth="1"/>
    <col min="10498" max="10498" width="17.88671875" style="2793" customWidth="1"/>
    <col min="10499" max="10499" width="19" style="2793" customWidth="1"/>
    <col min="10500" max="10500" width="18" style="2793" customWidth="1"/>
    <col min="10501" max="10501" width="17.88671875" style="2793" customWidth="1"/>
    <col min="10502" max="10502" width="19.33203125" style="2793" customWidth="1"/>
    <col min="10503" max="10516" width="0" style="2793" hidden="1" customWidth="1"/>
    <col min="10517" max="10752" width="9.109375" style="2793"/>
    <col min="10753" max="10753" width="36.6640625" style="2793" customWidth="1"/>
    <col min="10754" max="10754" width="17.88671875" style="2793" customWidth="1"/>
    <col min="10755" max="10755" width="19" style="2793" customWidth="1"/>
    <col min="10756" max="10756" width="18" style="2793" customWidth="1"/>
    <col min="10757" max="10757" width="17.88671875" style="2793" customWidth="1"/>
    <col min="10758" max="10758" width="19.33203125" style="2793" customWidth="1"/>
    <col min="10759" max="10772" width="0" style="2793" hidden="1" customWidth="1"/>
    <col min="10773" max="11008" width="9.109375" style="2793"/>
    <col min="11009" max="11009" width="36.6640625" style="2793" customWidth="1"/>
    <col min="11010" max="11010" width="17.88671875" style="2793" customWidth="1"/>
    <col min="11011" max="11011" width="19" style="2793" customWidth="1"/>
    <col min="11012" max="11012" width="18" style="2793" customWidth="1"/>
    <col min="11013" max="11013" width="17.88671875" style="2793" customWidth="1"/>
    <col min="11014" max="11014" width="19.33203125" style="2793" customWidth="1"/>
    <col min="11015" max="11028" width="0" style="2793" hidden="1" customWidth="1"/>
    <col min="11029" max="11264" width="9.109375" style="2793"/>
    <col min="11265" max="11265" width="36.6640625" style="2793" customWidth="1"/>
    <col min="11266" max="11266" width="17.88671875" style="2793" customWidth="1"/>
    <col min="11267" max="11267" width="19" style="2793" customWidth="1"/>
    <col min="11268" max="11268" width="18" style="2793" customWidth="1"/>
    <col min="11269" max="11269" width="17.88671875" style="2793" customWidth="1"/>
    <col min="11270" max="11270" width="19.33203125" style="2793" customWidth="1"/>
    <col min="11271" max="11284" width="0" style="2793" hidden="1" customWidth="1"/>
    <col min="11285" max="11520" width="9.109375" style="2793"/>
    <col min="11521" max="11521" width="36.6640625" style="2793" customWidth="1"/>
    <col min="11522" max="11522" width="17.88671875" style="2793" customWidth="1"/>
    <col min="11523" max="11523" width="19" style="2793" customWidth="1"/>
    <col min="11524" max="11524" width="18" style="2793" customWidth="1"/>
    <col min="11525" max="11525" width="17.88671875" style="2793" customWidth="1"/>
    <col min="11526" max="11526" width="19.33203125" style="2793" customWidth="1"/>
    <col min="11527" max="11540" width="0" style="2793" hidden="1" customWidth="1"/>
    <col min="11541" max="11776" width="9.109375" style="2793"/>
    <col min="11777" max="11777" width="36.6640625" style="2793" customWidth="1"/>
    <col min="11778" max="11778" width="17.88671875" style="2793" customWidth="1"/>
    <col min="11779" max="11779" width="19" style="2793" customWidth="1"/>
    <col min="11780" max="11780" width="18" style="2793" customWidth="1"/>
    <col min="11781" max="11781" width="17.88671875" style="2793" customWidth="1"/>
    <col min="11782" max="11782" width="19.33203125" style="2793" customWidth="1"/>
    <col min="11783" max="11796" width="0" style="2793" hidden="1" customWidth="1"/>
    <col min="11797" max="12032" width="9.109375" style="2793"/>
    <col min="12033" max="12033" width="36.6640625" style="2793" customWidth="1"/>
    <col min="12034" max="12034" width="17.88671875" style="2793" customWidth="1"/>
    <col min="12035" max="12035" width="19" style="2793" customWidth="1"/>
    <col min="12036" max="12036" width="18" style="2793" customWidth="1"/>
    <col min="12037" max="12037" width="17.88671875" style="2793" customWidth="1"/>
    <col min="12038" max="12038" width="19.33203125" style="2793" customWidth="1"/>
    <col min="12039" max="12052" width="0" style="2793" hidden="1" customWidth="1"/>
    <col min="12053" max="12288" width="9.109375" style="2793"/>
    <col min="12289" max="12289" width="36.6640625" style="2793" customWidth="1"/>
    <col min="12290" max="12290" width="17.88671875" style="2793" customWidth="1"/>
    <col min="12291" max="12291" width="19" style="2793" customWidth="1"/>
    <col min="12292" max="12292" width="18" style="2793" customWidth="1"/>
    <col min="12293" max="12293" width="17.88671875" style="2793" customWidth="1"/>
    <col min="12294" max="12294" width="19.33203125" style="2793" customWidth="1"/>
    <col min="12295" max="12308" width="0" style="2793" hidden="1" customWidth="1"/>
    <col min="12309" max="12544" width="9.109375" style="2793"/>
    <col min="12545" max="12545" width="36.6640625" style="2793" customWidth="1"/>
    <col min="12546" max="12546" width="17.88671875" style="2793" customWidth="1"/>
    <col min="12547" max="12547" width="19" style="2793" customWidth="1"/>
    <col min="12548" max="12548" width="18" style="2793" customWidth="1"/>
    <col min="12549" max="12549" width="17.88671875" style="2793" customWidth="1"/>
    <col min="12550" max="12550" width="19.33203125" style="2793" customWidth="1"/>
    <col min="12551" max="12564" width="0" style="2793" hidden="1" customWidth="1"/>
    <col min="12565" max="12800" width="9.109375" style="2793"/>
    <col min="12801" max="12801" width="36.6640625" style="2793" customWidth="1"/>
    <col min="12802" max="12802" width="17.88671875" style="2793" customWidth="1"/>
    <col min="12803" max="12803" width="19" style="2793" customWidth="1"/>
    <col min="12804" max="12804" width="18" style="2793" customWidth="1"/>
    <col min="12805" max="12805" width="17.88671875" style="2793" customWidth="1"/>
    <col min="12806" max="12806" width="19.33203125" style="2793" customWidth="1"/>
    <col min="12807" max="12820" width="0" style="2793" hidden="1" customWidth="1"/>
    <col min="12821" max="13056" width="9.109375" style="2793"/>
    <col min="13057" max="13057" width="36.6640625" style="2793" customWidth="1"/>
    <col min="13058" max="13058" width="17.88671875" style="2793" customWidth="1"/>
    <col min="13059" max="13059" width="19" style="2793" customWidth="1"/>
    <col min="13060" max="13060" width="18" style="2793" customWidth="1"/>
    <col min="13061" max="13061" width="17.88671875" style="2793" customWidth="1"/>
    <col min="13062" max="13062" width="19.33203125" style="2793" customWidth="1"/>
    <col min="13063" max="13076" width="0" style="2793" hidden="1" customWidth="1"/>
    <col min="13077" max="13312" width="9.109375" style="2793"/>
    <col min="13313" max="13313" width="36.6640625" style="2793" customWidth="1"/>
    <col min="13314" max="13314" width="17.88671875" style="2793" customWidth="1"/>
    <col min="13315" max="13315" width="19" style="2793" customWidth="1"/>
    <col min="13316" max="13316" width="18" style="2793" customWidth="1"/>
    <col min="13317" max="13317" width="17.88671875" style="2793" customWidth="1"/>
    <col min="13318" max="13318" width="19.33203125" style="2793" customWidth="1"/>
    <col min="13319" max="13332" width="0" style="2793" hidden="1" customWidth="1"/>
    <col min="13333" max="13568" width="9.109375" style="2793"/>
    <col min="13569" max="13569" width="36.6640625" style="2793" customWidth="1"/>
    <col min="13570" max="13570" width="17.88671875" style="2793" customWidth="1"/>
    <col min="13571" max="13571" width="19" style="2793" customWidth="1"/>
    <col min="13572" max="13572" width="18" style="2793" customWidth="1"/>
    <col min="13573" max="13573" width="17.88671875" style="2793" customWidth="1"/>
    <col min="13574" max="13574" width="19.33203125" style="2793" customWidth="1"/>
    <col min="13575" max="13588" width="0" style="2793" hidden="1" customWidth="1"/>
    <col min="13589" max="13824" width="9.109375" style="2793"/>
    <col min="13825" max="13825" width="36.6640625" style="2793" customWidth="1"/>
    <col min="13826" max="13826" width="17.88671875" style="2793" customWidth="1"/>
    <col min="13827" max="13827" width="19" style="2793" customWidth="1"/>
    <col min="13828" max="13828" width="18" style="2793" customWidth="1"/>
    <col min="13829" max="13829" width="17.88671875" style="2793" customWidth="1"/>
    <col min="13830" max="13830" width="19.33203125" style="2793" customWidth="1"/>
    <col min="13831" max="13844" width="0" style="2793" hidden="1" customWidth="1"/>
    <col min="13845" max="14080" width="9.109375" style="2793"/>
    <col min="14081" max="14081" width="36.6640625" style="2793" customWidth="1"/>
    <col min="14082" max="14082" width="17.88671875" style="2793" customWidth="1"/>
    <col min="14083" max="14083" width="19" style="2793" customWidth="1"/>
    <col min="14084" max="14084" width="18" style="2793" customWidth="1"/>
    <col min="14085" max="14085" width="17.88671875" style="2793" customWidth="1"/>
    <col min="14086" max="14086" width="19.33203125" style="2793" customWidth="1"/>
    <col min="14087" max="14100" width="0" style="2793" hidden="1" customWidth="1"/>
    <col min="14101" max="14336" width="9.109375" style="2793"/>
    <col min="14337" max="14337" width="36.6640625" style="2793" customWidth="1"/>
    <col min="14338" max="14338" width="17.88671875" style="2793" customWidth="1"/>
    <col min="14339" max="14339" width="19" style="2793" customWidth="1"/>
    <col min="14340" max="14340" width="18" style="2793" customWidth="1"/>
    <col min="14341" max="14341" width="17.88671875" style="2793" customWidth="1"/>
    <col min="14342" max="14342" width="19.33203125" style="2793" customWidth="1"/>
    <col min="14343" max="14356" width="0" style="2793" hidden="1" customWidth="1"/>
    <col min="14357" max="14592" width="9.109375" style="2793"/>
    <col min="14593" max="14593" width="36.6640625" style="2793" customWidth="1"/>
    <col min="14594" max="14594" width="17.88671875" style="2793" customWidth="1"/>
    <col min="14595" max="14595" width="19" style="2793" customWidth="1"/>
    <col min="14596" max="14596" width="18" style="2793" customWidth="1"/>
    <col min="14597" max="14597" width="17.88671875" style="2793" customWidth="1"/>
    <col min="14598" max="14598" width="19.33203125" style="2793" customWidth="1"/>
    <col min="14599" max="14612" width="0" style="2793" hidden="1" customWidth="1"/>
    <col min="14613" max="14848" width="9.109375" style="2793"/>
    <col min="14849" max="14849" width="36.6640625" style="2793" customWidth="1"/>
    <col min="14850" max="14850" width="17.88671875" style="2793" customWidth="1"/>
    <col min="14851" max="14851" width="19" style="2793" customWidth="1"/>
    <col min="14852" max="14852" width="18" style="2793" customWidth="1"/>
    <col min="14853" max="14853" width="17.88671875" style="2793" customWidth="1"/>
    <col min="14854" max="14854" width="19.33203125" style="2793" customWidth="1"/>
    <col min="14855" max="14868" width="0" style="2793" hidden="1" customWidth="1"/>
    <col min="14869" max="15104" width="9.109375" style="2793"/>
    <col min="15105" max="15105" width="36.6640625" style="2793" customWidth="1"/>
    <col min="15106" max="15106" width="17.88671875" style="2793" customWidth="1"/>
    <col min="15107" max="15107" width="19" style="2793" customWidth="1"/>
    <col min="15108" max="15108" width="18" style="2793" customWidth="1"/>
    <col min="15109" max="15109" width="17.88671875" style="2793" customWidth="1"/>
    <col min="15110" max="15110" width="19.33203125" style="2793" customWidth="1"/>
    <col min="15111" max="15124" width="0" style="2793" hidden="1" customWidth="1"/>
    <col min="15125" max="15360" width="9.109375" style="2793"/>
    <col min="15361" max="15361" width="36.6640625" style="2793" customWidth="1"/>
    <col min="15362" max="15362" width="17.88671875" style="2793" customWidth="1"/>
    <col min="15363" max="15363" width="19" style="2793" customWidth="1"/>
    <col min="15364" max="15364" width="18" style="2793" customWidth="1"/>
    <col min="15365" max="15365" width="17.88671875" style="2793" customWidth="1"/>
    <col min="15366" max="15366" width="19.33203125" style="2793" customWidth="1"/>
    <col min="15367" max="15380" width="0" style="2793" hidden="1" customWidth="1"/>
    <col min="15381" max="15616" width="9.109375" style="2793"/>
    <col min="15617" max="15617" width="36.6640625" style="2793" customWidth="1"/>
    <col min="15618" max="15618" width="17.88671875" style="2793" customWidth="1"/>
    <col min="15619" max="15619" width="19" style="2793" customWidth="1"/>
    <col min="15620" max="15620" width="18" style="2793" customWidth="1"/>
    <col min="15621" max="15621" width="17.88671875" style="2793" customWidth="1"/>
    <col min="15622" max="15622" width="19.33203125" style="2793" customWidth="1"/>
    <col min="15623" max="15636" width="0" style="2793" hidden="1" customWidth="1"/>
    <col min="15637" max="15872" width="9.109375" style="2793"/>
    <col min="15873" max="15873" width="36.6640625" style="2793" customWidth="1"/>
    <col min="15874" max="15874" width="17.88671875" style="2793" customWidth="1"/>
    <col min="15875" max="15875" width="19" style="2793" customWidth="1"/>
    <col min="15876" max="15876" width="18" style="2793" customWidth="1"/>
    <col min="15877" max="15877" width="17.88671875" style="2793" customWidth="1"/>
    <col min="15878" max="15878" width="19.33203125" style="2793" customWidth="1"/>
    <col min="15879" max="15892" width="0" style="2793" hidden="1" customWidth="1"/>
    <col min="15893" max="16128" width="9.109375" style="2793"/>
    <col min="16129" max="16129" width="36.6640625" style="2793" customWidth="1"/>
    <col min="16130" max="16130" width="17.88671875" style="2793" customWidth="1"/>
    <col min="16131" max="16131" width="19" style="2793" customWidth="1"/>
    <col min="16132" max="16132" width="18" style="2793" customWidth="1"/>
    <col min="16133" max="16133" width="17.88671875" style="2793" customWidth="1"/>
    <col min="16134" max="16134" width="19.33203125" style="2793" customWidth="1"/>
    <col min="16135" max="16148" width="0" style="2793" hidden="1" customWidth="1"/>
    <col min="16149" max="16384" width="9.109375" style="2793"/>
  </cols>
  <sheetData>
    <row r="1" spans="1:11" ht="28.5" customHeight="1">
      <c r="A1" s="2792"/>
      <c r="E1" s="4038"/>
      <c r="F1" s="4038"/>
    </row>
    <row r="2" spans="1:11" ht="23.25" customHeight="1">
      <c r="A2" s="4039" t="s">
        <v>2935</v>
      </c>
      <c r="B2" s="4039"/>
      <c r="C2" s="4039"/>
      <c r="D2" s="4039"/>
      <c r="E2" s="4039"/>
      <c r="F2" s="4039"/>
      <c r="G2" s="2794"/>
    </row>
    <row r="3" spans="1:11" ht="24" customHeight="1">
      <c r="A3" s="4052" t="s">
        <v>2487</v>
      </c>
      <c r="B3" s="4052"/>
      <c r="C3" s="4052"/>
      <c r="D3" s="4052"/>
      <c r="E3" s="4052"/>
      <c r="F3" s="4052"/>
      <c r="G3" s="2794"/>
    </row>
    <row r="4" spans="1:11" ht="16.5" customHeight="1">
      <c r="A4" s="4041" t="s">
        <v>971</v>
      </c>
      <c r="B4" s="4041"/>
      <c r="C4" s="4041"/>
      <c r="D4" s="4041"/>
      <c r="E4" s="4041"/>
      <c r="F4" s="4041"/>
      <c r="G4" s="2794"/>
    </row>
    <row r="5" spans="1:11" ht="31.5" customHeight="1" thickBot="1">
      <c r="A5" s="3298"/>
      <c r="B5" s="3298"/>
      <c r="C5" s="3298"/>
      <c r="D5" s="3298"/>
      <c r="E5" s="3298"/>
      <c r="F5" s="3298"/>
      <c r="G5" s="2794"/>
    </row>
    <row r="6" spans="1:11" ht="24" customHeight="1">
      <c r="A6" s="4042" t="s">
        <v>972</v>
      </c>
      <c r="B6" s="4044" t="s">
        <v>679</v>
      </c>
      <c r="C6" s="4046" t="s">
        <v>974</v>
      </c>
      <c r="D6" s="4047"/>
      <c r="E6" s="4047"/>
      <c r="F6" s="4048"/>
      <c r="G6" s="2795"/>
    </row>
    <row r="7" spans="1:11" ht="45" customHeight="1" thickBot="1">
      <c r="A7" s="4043"/>
      <c r="B7" s="4045"/>
      <c r="C7" s="2796" t="s">
        <v>697</v>
      </c>
      <c r="D7" s="2796" t="s">
        <v>548</v>
      </c>
      <c r="E7" s="2796" t="s">
        <v>549</v>
      </c>
      <c r="F7" s="2797" t="s">
        <v>681</v>
      </c>
      <c r="G7" s="2795"/>
    </row>
    <row r="8" spans="1:11" ht="26.25" customHeight="1">
      <c r="A8" s="4013" t="s">
        <v>2586</v>
      </c>
      <c r="B8" s="4014"/>
      <c r="C8" s="4014"/>
      <c r="D8" s="4014"/>
      <c r="E8" s="4014"/>
      <c r="F8" s="4015"/>
      <c r="G8" s="2798"/>
      <c r="H8" s="2799"/>
    </row>
    <row r="9" spans="1:11" ht="29.25" customHeight="1" thickBot="1">
      <c r="A9" s="4016" t="s">
        <v>980</v>
      </c>
      <c r="B9" s="4017"/>
      <c r="C9" s="4017"/>
      <c r="D9" s="4017"/>
      <c r="E9" s="4017"/>
      <c r="F9" s="4018"/>
      <c r="G9" s="2798"/>
      <c r="H9" s="2799"/>
    </row>
    <row r="10" spans="1:11" s="2807" customFormat="1" ht="37.5" customHeight="1">
      <c r="A10" s="2800" t="s">
        <v>1496</v>
      </c>
      <c r="B10" s="2801">
        <v>52.505391400000001</v>
      </c>
      <c r="C10" s="2802"/>
      <c r="D10" s="2803"/>
      <c r="E10" s="2840">
        <v>0</v>
      </c>
      <c r="F10" s="2804">
        <v>52.505391400000001</v>
      </c>
      <c r="G10" s="2805"/>
      <c r="H10" s="2806">
        <v>56.457410107526883</v>
      </c>
      <c r="K10" s="2807">
        <v>56.186019337140003</v>
      </c>
    </row>
    <row r="11" spans="1:11" s="2807" customFormat="1" ht="34.5" customHeight="1" thickBot="1">
      <c r="A11" s="2808" t="s">
        <v>977</v>
      </c>
      <c r="B11" s="2809">
        <v>8.75105495E-3</v>
      </c>
      <c r="C11" s="2810"/>
      <c r="D11" s="2811"/>
      <c r="E11" s="2840">
        <v>0</v>
      </c>
      <c r="F11" s="2812">
        <v>8.75105495E-3</v>
      </c>
      <c r="G11" s="2805"/>
      <c r="H11" s="2806">
        <v>9.4097365053763451E-3</v>
      </c>
    </row>
    <row r="12" spans="1:11" ht="20.25" customHeight="1">
      <c r="A12" s="4019" t="s">
        <v>1497</v>
      </c>
      <c r="B12" s="4020"/>
      <c r="C12" s="4020"/>
      <c r="D12" s="4020"/>
      <c r="E12" s="4020"/>
      <c r="F12" s="4021"/>
      <c r="G12" s="2798"/>
      <c r="H12" s="2799"/>
    </row>
    <row r="13" spans="1:11" s="2807" customFormat="1" ht="29.25" customHeight="1">
      <c r="A13" s="4022" t="s">
        <v>2093</v>
      </c>
      <c r="B13" s="4023"/>
      <c r="C13" s="4023"/>
      <c r="D13" s="4023"/>
      <c r="E13" s="4023"/>
      <c r="F13" s="4024"/>
      <c r="G13" s="2805"/>
      <c r="H13" s="2806"/>
    </row>
    <row r="14" spans="1:11" s="2807" customFormat="1" ht="36.75" customHeight="1">
      <c r="A14" s="2800" t="s">
        <v>1496</v>
      </c>
      <c r="B14" s="2814"/>
      <c r="C14" s="2815"/>
      <c r="D14" s="2815"/>
      <c r="E14" s="2815"/>
      <c r="F14" s="2816"/>
      <c r="G14" s="2805"/>
      <c r="H14" s="2806"/>
    </row>
    <row r="15" spans="1:11" s="2807" customFormat="1" ht="27" customHeight="1">
      <c r="A15" s="2817" t="s">
        <v>977</v>
      </c>
      <c r="B15" s="2818"/>
      <c r="C15" s="2818"/>
      <c r="D15" s="2818"/>
      <c r="E15" s="2818"/>
      <c r="F15" s="2855"/>
      <c r="G15" s="2805"/>
      <c r="H15" s="2806"/>
    </row>
    <row r="16" spans="1:11" s="2807" customFormat="1" ht="20.25" customHeight="1">
      <c r="A16" s="4049" t="s">
        <v>1497</v>
      </c>
      <c r="B16" s="4050"/>
      <c r="C16" s="4050"/>
      <c r="D16" s="4050"/>
      <c r="E16" s="4050"/>
      <c r="F16" s="4051"/>
      <c r="G16" s="2805"/>
      <c r="H16" s="2806"/>
    </row>
    <row r="17" spans="1:10" s="2807" customFormat="1" ht="31.5" customHeight="1">
      <c r="A17" s="4028" t="s">
        <v>2587</v>
      </c>
      <c r="B17" s="4029"/>
      <c r="C17" s="4029"/>
      <c r="D17" s="4029"/>
      <c r="E17" s="4029"/>
      <c r="F17" s="4030"/>
      <c r="G17" s="2805"/>
      <c r="H17" s="2806"/>
    </row>
    <row r="18" spans="1:10" s="2807" customFormat="1" ht="33.75" customHeight="1">
      <c r="A18" s="2800" t="s">
        <v>1496</v>
      </c>
      <c r="B18" s="2819"/>
      <c r="C18" s="2820"/>
      <c r="D18" s="2820"/>
      <c r="E18" s="2821"/>
      <c r="F18" s="2822"/>
      <c r="G18" s="2805"/>
      <c r="H18" s="2806"/>
    </row>
    <row r="19" spans="1:10" s="2807" customFormat="1" ht="27.75" customHeight="1" thickBot="1">
      <c r="A19" s="2825" t="s">
        <v>977</v>
      </c>
      <c r="B19" s="2826"/>
      <c r="C19" s="2827"/>
      <c r="D19" s="2827"/>
      <c r="E19" s="2828"/>
      <c r="F19" s="2829"/>
      <c r="G19" s="2805"/>
      <c r="H19" s="2806"/>
    </row>
    <row r="20" spans="1:10" s="2807" customFormat="1" ht="32.25" customHeight="1">
      <c r="A20" s="4022" t="s">
        <v>2588</v>
      </c>
      <c r="B20" s="4023"/>
      <c r="C20" s="4023"/>
      <c r="D20" s="4023"/>
      <c r="E20" s="4023"/>
      <c r="F20" s="4024"/>
      <c r="G20" s="2806"/>
      <c r="H20" s="2806"/>
    </row>
    <row r="21" spans="1:10" s="2807" customFormat="1" ht="32.25" customHeight="1">
      <c r="A21" s="2817" t="s">
        <v>1496</v>
      </c>
      <c r="B21" s="2814">
        <v>52.505391400000001</v>
      </c>
      <c r="C21" s="2830"/>
      <c r="D21" s="2830"/>
      <c r="E21" s="2840">
        <v>0</v>
      </c>
      <c r="F21" s="2831">
        <v>52.505391400000001</v>
      </c>
      <c r="G21" s="2806"/>
      <c r="H21" s="2806"/>
    </row>
    <row r="22" spans="1:10" s="2807" customFormat="1" ht="32.25" customHeight="1" thickBot="1">
      <c r="A22" s="2817" t="s">
        <v>977</v>
      </c>
      <c r="B22" s="2809">
        <v>8.75105495E-3</v>
      </c>
      <c r="C22" s="2832"/>
      <c r="D22" s="2832"/>
      <c r="E22" s="2840">
        <v>0</v>
      </c>
      <c r="F22" s="2833">
        <v>8.75105495E-3</v>
      </c>
      <c r="G22" s="2806"/>
      <c r="H22" s="2806"/>
    </row>
    <row r="23" spans="1:10" s="2807" customFormat="1" ht="32.25" hidden="1" customHeight="1">
      <c r="A23" s="2834" t="s">
        <v>1497</v>
      </c>
      <c r="B23" s="2835"/>
      <c r="C23" s="2835"/>
      <c r="D23" s="2835"/>
      <c r="E23" s="2835"/>
      <c r="F23" s="2836"/>
      <c r="G23" s="2806"/>
      <c r="H23" s="2806"/>
    </row>
    <row r="24" spans="1:10" s="2807" customFormat="1" ht="24.75" hidden="1" customHeight="1">
      <c r="A24" s="2837" t="s">
        <v>2098</v>
      </c>
      <c r="B24" s="3300"/>
      <c r="C24" s="3300"/>
      <c r="D24" s="3300"/>
      <c r="E24" s="3300"/>
      <c r="F24" s="2838"/>
      <c r="G24" s="2806"/>
      <c r="H24" s="2806"/>
    </row>
    <row r="25" spans="1:10" s="2807" customFormat="1" ht="33" hidden="1" customHeight="1">
      <c r="A25" s="2817" t="s">
        <v>1496</v>
      </c>
      <c r="B25" s="2814">
        <v>52.505391400000001</v>
      </c>
      <c r="C25" s="2830"/>
      <c r="D25" s="2830"/>
      <c r="E25" s="2815">
        <v>0</v>
      </c>
      <c r="F25" s="2816">
        <v>52.505391400000001</v>
      </c>
      <c r="G25" s="2806"/>
      <c r="H25" s="2806"/>
    </row>
    <row r="26" spans="1:10" s="2807" customFormat="1" ht="24.75" hidden="1" customHeight="1">
      <c r="A26" s="2817" t="s">
        <v>977</v>
      </c>
      <c r="B26" s="2809">
        <v>8.75105495E-3</v>
      </c>
      <c r="C26" s="2832"/>
      <c r="D26" s="2832"/>
      <c r="E26" s="2809">
        <v>0</v>
      </c>
      <c r="F26" s="2812">
        <v>8.75105495E-3</v>
      </c>
      <c r="G26" s="2806"/>
      <c r="H26" s="2806"/>
    </row>
    <row r="27" spans="1:10" s="2807" customFormat="1" ht="24.75" hidden="1" customHeight="1">
      <c r="A27" s="2837" t="s">
        <v>2099</v>
      </c>
      <c r="B27" s="3300"/>
      <c r="C27" s="3300"/>
      <c r="D27" s="3300"/>
      <c r="E27" s="2839"/>
      <c r="F27" s="2838"/>
      <c r="G27" s="2806"/>
      <c r="H27" s="2806"/>
    </row>
    <row r="28" spans="1:10" s="2807" customFormat="1" ht="35.25" hidden="1" customHeight="1">
      <c r="A28" s="2817" t="s">
        <v>1496</v>
      </c>
      <c r="B28" s="2840">
        <v>0</v>
      </c>
      <c r="C28" s="2841"/>
      <c r="D28" s="2841"/>
      <c r="E28" s="2840">
        <v>0</v>
      </c>
      <c r="F28" s="2856">
        <v>0</v>
      </c>
      <c r="G28" s="2806"/>
      <c r="H28" s="2806"/>
    </row>
    <row r="29" spans="1:10" s="2807" customFormat="1" ht="24.75" hidden="1" customHeight="1" thickBot="1">
      <c r="A29" s="2817" t="s">
        <v>977</v>
      </c>
      <c r="B29" s="2857">
        <v>0</v>
      </c>
      <c r="C29" s="2858"/>
      <c r="D29" s="2858"/>
      <c r="E29" s="2857">
        <v>0</v>
      </c>
      <c r="F29" s="2859">
        <v>0</v>
      </c>
      <c r="G29" s="2806"/>
      <c r="H29" s="2806"/>
    </row>
    <row r="30" spans="1:10" ht="33" customHeight="1" thickBot="1">
      <c r="A30" s="4034" t="s">
        <v>2589</v>
      </c>
      <c r="B30" s="4035"/>
      <c r="C30" s="4035"/>
      <c r="D30" s="4035"/>
      <c r="E30" s="4035"/>
      <c r="F30" s="4036"/>
    </row>
    <row r="31" spans="1:10" ht="28.5" customHeight="1">
      <c r="A31" s="2846" t="s">
        <v>1496</v>
      </c>
      <c r="B31" s="2847">
        <v>1416.13</v>
      </c>
      <c r="C31" s="2802"/>
      <c r="D31" s="2848"/>
      <c r="E31" s="2802">
        <v>1416.13</v>
      </c>
      <c r="F31" s="2849"/>
    </row>
    <row r="32" spans="1:10" ht="28.5" customHeight="1" thickBot="1">
      <c r="A32" s="2825" t="s">
        <v>977</v>
      </c>
      <c r="B32" s="2810">
        <v>0.16203000000000001</v>
      </c>
      <c r="C32" s="2810"/>
      <c r="D32" s="2850"/>
      <c r="E32" s="2810">
        <v>0.16203000000000001</v>
      </c>
      <c r="F32" s="2860"/>
      <c r="J32" s="2915">
        <v>8739.9247053014878</v>
      </c>
    </row>
    <row r="33" spans="1:6" ht="17.25" customHeight="1">
      <c r="A33" s="2851"/>
      <c r="B33" s="2852"/>
      <c r="C33" s="2798"/>
      <c r="D33" s="2798"/>
      <c r="E33" s="2853"/>
      <c r="F33" s="2853"/>
    </row>
    <row r="34" spans="1:6" ht="17.25" customHeight="1">
      <c r="A34" s="4037" t="s">
        <v>3009</v>
      </c>
      <c r="B34" s="4037"/>
      <c r="C34" s="4037"/>
      <c r="D34" s="4037"/>
      <c r="E34" s="4037"/>
      <c r="F34" s="4037"/>
    </row>
    <row r="35" spans="1:6" ht="35.4" customHeight="1">
      <c r="A35" s="4037" t="s">
        <v>2590</v>
      </c>
      <c r="B35" s="4037"/>
      <c r="C35" s="4037"/>
      <c r="D35" s="4037"/>
      <c r="E35" s="4037"/>
      <c r="F35" s="4037"/>
    </row>
    <row r="36" spans="1:6" ht="15" customHeight="1">
      <c r="A36" s="4037" t="s">
        <v>3010</v>
      </c>
      <c r="B36" s="4037"/>
      <c r="C36" s="4037"/>
      <c r="D36" s="4037"/>
      <c r="E36" s="4037"/>
      <c r="F36" s="4037"/>
    </row>
    <row r="37" spans="1:6" ht="15" customHeight="1">
      <c r="A37" s="4012" t="s">
        <v>3011</v>
      </c>
      <c r="B37" s="4012"/>
      <c r="C37" s="3300"/>
      <c r="D37" s="4012" t="s">
        <v>2493</v>
      </c>
      <c r="E37" s="4012"/>
      <c r="F37" s="4012"/>
    </row>
    <row r="38" spans="1:6" ht="32.25" customHeight="1">
      <c r="A38" s="4012"/>
      <c r="B38" s="4012"/>
      <c r="C38" s="2854"/>
      <c r="D38" s="4012"/>
      <c r="E38" s="4012"/>
      <c r="F38" s="4012"/>
    </row>
    <row r="39" spans="1:6" ht="15">
      <c r="A39" s="4012"/>
      <c r="B39" s="4012"/>
      <c r="C39" s="2854"/>
      <c r="D39" s="4012"/>
      <c r="E39" s="4012"/>
      <c r="F39" s="4012"/>
    </row>
    <row r="40" spans="1:6" ht="15">
      <c r="A40" s="4012"/>
      <c r="B40" s="4012"/>
      <c r="C40" s="2854"/>
      <c r="D40" s="4012"/>
      <c r="E40" s="4012"/>
      <c r="F40" s="4012"/>
    </row>
    <row r="41" spans="1:6" ht="15">
      <c r="A41" s="4012"/>
      <c r="B41" s="4012"/>
      <c r="C41" s="2854"/>
      <c r="D41" s="4012"/>
      <c r="E41" s="4012"/>
      <c r="F41" s="4012"/>
    </row>
    <row r="42" spans="1:6" ht="25.5" customHeight="1">
      <c r="A42" s="4008" t="s">
        <v>2115</v>
      </c>
      <c r="B42" s="4008"/>
      <c r="C42" s="2854"/>
      <c r="D42" s="4009" t="s">
        <v>3012</v>
      </c>
      <c r="E42" s="4009"/>
      <c r="F42" s="4009"/>
    </row>
    <row r="43" spans="1:6" ht="15">
      <c r="A43" s="4009" t="s">
        <v>2116</v>
      </c>
      <c r="B43" s="4009"/>
      <c r="C43" s="2854"/>
      <c r="D43" s="4009" t="s">
        <v>2116</v>
      </c>
      <c r="E43" s="4009"/>
      <c r="F43" s="4009"/>
    </row>
    <row r="44" spans="1:6" ht="24.75" customHeight="1">
      <c r="A44" s="4010" t="s">
        <v>1507</v>
      </c>
      <c r="B44" s="4010"/>
      <c r="C44" s="2854"/>
      <c r="D44" s="4010" t="s">
        <v>1507</v>
      </c>
      <c r="E44" s="4010"/>
      <c r="F44" s="4010"/>
    </row>
    <row r="45" spans="1:6" ht="39" customHeight="1">
      <c r="A45" s="4006" t="s">
        <v>2117</v>
      </c>
      <c r="B45" s="4006"/>
    </row>
    <row r="46" spans="1:6" ht="13.8">
      <c r="A46" s="3300"/>
      <c r="B46" s="3300"/>
      <c r="C46" s="3300"/>
      <c r="D46" s="3300"/>
      <c r="E46" s="3300"/>
      <c r="F46" s="3300"/>
    </row>
    <row r="47" spans="1:6" ht="15">
      <c r="A47" s="3300"/>
      <c r="B47" s="3300"/>
      <c r="C47" s="2854"/>
      <c r="D47" s="3300"/>
      <c r="E47" s="3300"/>
      <c r="F47" s="3300"/>
    </row>
    <row r="48" spans="1:6" ht="15.75" customHeight="1">
      <c r="A48" s="2854"/>
      <c r="B48" s="2854"/>
      <c r="C48" s="2854"/>
      <c r="D48" s="2854"/>
      <c r="E48" s="2854"/>
      <c r="F48" s="2854"/>
    </row>
    <row r="49" spans="1:6" ht="17.399999999999999">
      <c r="A49" s="4007"/>
      <c r="B49" s="4007"/>
      <c r="C49" s="2854"/>
      <c r="D49" s="2854"/>
      <c r="E49" s="2854"/>
      <c r="F49" s="2854"/>
    </row>
    <row r="50" spans="1:6" ht="15">
      <c r="A50" s="2854"/>
      <c r="B50" s="2854"/>
      <c r="C50" s="2854"/>
      <c r="D50" s="3299"/>
      <c r="E50" s="2854"/>
      <c r="F50" s="2854"/>
    </row>
  </sheetData>
  <mergeCells count="28">
    <mergeCell ref="E1:F1"/>
    <mergeCell ref="A2:F2"/>
    <mergeCell ref="A3:F3"/>
    <mergeCell ref="A4:F4"/>
    <mergeCell ref="A6:A7"/>
    <mergeCell ref="B6:B7"/>
    <mergeCell ref="C6:F6"/>
    <mergeCell ref="A37:B41"/>
    <mergeCell ref="D37:F41"/>
    <mergeCell ref="A8:F8"/>
    <mergeCell ref="A9:F9"/>
    <mergeCell ref="A12:F12"/>
    <mergeCell ref="A13:F13"/>
    <mergeCell ref="A16:F16"/>
    <mergeCell ref="A17:F17"/>
    <mergeCell ref="A20:F20"/>
    <mergeCell ref="A30:F30"/>
    <mergeCell ref="A34:F34"/>
    <mergeCell ref="A35:F35"/>
    <mergeCell ref="A36:F36"/>
    <mergeCell ref="A45:B45"/>
    <mergeCell ref="A49:B49"/>
    <mergeCell ref="A42:B42"/>
    <mergeCell ref="D42:F42"/>
    <mergeCell ref="A43:B43"/>
    <mergeCell ref="D43:F43"/>
    <mergeCell ref="A44:B44"/>
    <mergeCell ref="D44:F44"/>
  </mergeCells>
  <printOptions horizontalCentered="1"/>
  <pageMargins left="1.1811023622047245" right="0.39370078740157483" top="0.78740157480314965" bottom="0.19685039370078741" header="0.51181102362204722" footer="0.51181102362204722"/>
  <pageSetup paperSize="9" scale="61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 enableFormatConditionsCalculation="0">
    <tabColor rgb="FFFF0000"/>
  </sheetPr>
  <dimension ref="A1:U37"/>
  <sheetViews>
    <sheetView workbookViewId="0">
      <selection activeCell="AC4" sqref="AC4"/>
    </sheetView>
  </sheetViews>
  <sheetFormatPr defaultColWidth="9.109375" defaultRowHeight="13.2"/>
  <cols>
    <col min="1" max="1" width="3.33203125" style="2006" customWidth="1"/>
    <col min="2" max="2" width="14.88671875" style="2006" customWidth="1"/>
    <col min="3" max="3" width="9.109375" style="2006"/>
    <col min="4" max="4" width="9" style="2006" customWidth="1"/>
    <col min="5" max="5" width="7.33203125" style="2006" customWidth="1"/>
    <col min="6" max="6" width="8.33203125" style="2006" bestFit="1" customWidth="1"/>
    <col min="7" max="7" width="8.5546875" style="2006" customWidth="1"/>
    <col min="8" max="8" width="8.21875" style="2006" customWidth="1"/>
    <col min="9" max="9" width="7.88671875" style="2006" customWidth="1"/>
    <col min="10" max="10" width="6.44140625" style="2006" customWidth="1"/>
    <col min="11" max="12" width="7.88671875" style="2006" customWidth="1"/>
    <col min="13" max="13" width="11.33203125" style="2006" customWidth="1"/>
    <col min="14" max="15" width="7.5546875" style="2006" bestFit="1" customWidth="1"/>
    <col min="16" max="16" width="6.6640625" style="2006" customWidth="1"/>
    <col min="17" max="17" width="6.33203125" style="2006" customWidth="1"/>
    <col min="18" max="18" width="6.6640625" style="2006" customWidth="1"/>
    <col min="19" max="27" width="0" style="2006" hidden="1" customWidth="1"/>
    <col min="28" max="16384" width="9.109375" style="2006"/>
  </cols>
  <sheetData>
    <row r="1" spans="1:21">
      <c r="R1" s="3473" t="s">
        <v>706</v>
      </c>
    </row>
    <row r="2" spans="1:21" ht="15.6">
      <c r="A2" s="2007" t="s">
        <v>424</v>
      </c>
      <c r="B2" s="2344"/>
      <c r="C2" s="2344"/>
      <c r="D2" s="2344"/>
      <c r="E2" s="2344"/>
      <c r="F2" s="2344"/>
      <c r="G2" s="2344"/>
      <c r="H2" s="2344"/>
      <c r="I2" s="2344"/>
      <c r="J2" s="2344"/>
      <c r="K2" s="2344"/>
      <c r="L2" s="2344"/>
      <c r="M2" s="2344"/>
      <c r="N2" s="2344"/>
      <c r="O2" s="2344"/>
      <c r="P2" s="2344"/>
      <c r="Q2" s="2344"/>
      <c r="R2" s="2344"/>
    </row>
    <row r="3" spans="1:21" ht="15.6">
      <c r="A3" s="2007" t="s">
        <v>2487</v>
      </c>
      <c r="B3" s="2344"/>
      <c r="C3" s="2344"/>
      <c r="D3" s="2344"/>
      <c r="E3" s="2344"/>
      <c r="F3" s="2344"/>
      <c r="G3" s="2344"/>
      <c r="H3" s="2344"/>
      <c r="I3" s="2344"/>
      <c r="J3" s="2344"/>
      <c r="K3" s="2344"/>
      <c r="L3" s="2344"/>
      <c r="M3" s="2344"/>
      <c r="N3" s="2344"/>
      <c r="O3" s="2344"/>
      <c r="P3" s="2344"/>
      <c r="Q3" s="2344"/>
      <c r="R3" s="2344"/>
    </row>
    <row r="4" spans="1:21">
      <c r="A4" s="3530"/>
      <c r="B4" s="3531" t="s">
        <v>1401</v>
      </c>
      <c r="C4" s="3491"/>
      <c r="D4" s="2152"/>
      <c r="E4" s="2152"/>
      <c r="F4" s="2152"/>
      <c r="G4" s="2152"/>
      <c r="H4" s="2152"/>
      <c r="I4" s="2152"/>
      <c r="J4" s="2152"/>
      <c r="K4" s="2152"/>
      <c r="L4" s="2152"/>
    </row>
    <row r="5" spans="1:21" ht="12.75" customHeight="1">
      <c r="A5" s="4053" t="s">
        <v>707</v>
      </c>
      <c r="B5" s="4053" t="s">
        <v>708</v>
      </c>
      <c r="C5" s="3532" t="s">
        <v>709</v>
      </c>
      <c r="D5" s="3533"/>
      <c r="E5" s="3533"/>
      <c r="F5" s="3533"/>
      <c r="G5" s="3534"/>
      <c r="H5" s="3532" t="s">
        <v>711</v>
      </c>
      <c r="I5" s="3533"/>
      <c r="J5" s="3533"/>
      <c r="K5" s="3533"/>
      <c r="L5" s="3534"/>
      <c r="M5" s="3535" t="s">
        <v>894</v>
      </c>
      <c r="N5" s="3532" t="s">
        <v>713</v>
      </c>
      <c r="O5" s="3533"/>
      <c r="P5" s="3533"/>
      <c r="Q5" s="3533"/>
      <c r="R5" s="3534"/>
    </row>
    <row r="6" spans="1:21" ht="12.75" customHeight="1">
      <c r="A6" s="4054"/>
      <c r="B6" s="4056"/>
      <c r="C6" s="3536" t="s">
        <v>710</v>
      </c>
      <c r="D6" s="3537"/>
      <c r="E6" s="3537"/>
      <c r="F6" s="3537"/>
      <c r="G6" s="3538"/>
      <c r="H6" s="3536" t="s">
        <v>712</v>
      </c>
      <c r="I6" s="3537"/>
      <c r="J6" s="3537"/>
      <c r="K6" s="3537"/>
      <c r="L6" s="3538"/>
      <c r="M6" s="3539" t="s">
        <v>895</v>
      </c>
      <c r="N6" s="3536" t="s">
        <v>714</v>
      </c>
      <c r="O6" s="3537"/>
      <c r="P6" s="3537"/>
      <c r="Q6" s="3537"/>
      <c r="R6" s="3538"/>
    </row>
    <row r="7" spans="1:21" s="2346" customFormat="1" ht="20.399999999999999">
      <c r="A7" s="4055"/>
      <c r="B7" s="4057"/>
      <c r="C7" s="3540" t="s">
        <v>679</v>
      </c>
      <c r="D7" s="3541" t="s">
        <v>697</v>
      </c>
      <c r="E7" s="3541" t="s">
        <v>676</v>
      </c>
      <c r="F7" s="3541" t="s">
        <v>677</v>
      </c>
      <c r="G7" s="3541" t="s">
        <v>715</v>
      </c>
      <c r="H7" s="3541" t="s">
        <v>679</v>
      </c>
      <c r="I7" s="3541" t="s">
        <v>697</v>
      </c>
      <c r="J7" s="3541" t="s">
        <v>676</v>
      </c>
      <c r="K7" s="3541" t="s">
        <v>680</v>
      </c>
      <c r="L7" s="3541" t="s">
        <v>681</v>
      </c>
      <c r="M7" s="3542" t="s">
        <v>896</v>
      </c>
      <c r="N7" s="3541" t="s">
        <v>679</v>
      </c>
      <c r="O7" s="3541" t="s">
        <v>697</v>
      </c>
      <c r="P7" s="3541" t="s">
        <v>676</v>
      </c>
      <c r="Q7" s="3541" t="s">
        <v>677</v>
      </c>
      <c r="R7" s="3541" t="s">
        <v>681</v>
      </c>
    </row>
    <row r="8" spans="1:21" s="2346" customFormat="1">
      <c r="A8" s="3542">
        <v>1</v>
      </c>
      <c r="B8" s="3543">
        <v>2</v>
      </c>
      <c r="C8" s="3543">
        <v>3</v>
      </c>
      <c r="D8" s="3543">
        <v>4</v>
      </c>
      <c r="E8" s="3543">
        <v>5</v>
      </c>
      <c r="F8" s="3543">
        <v>6</v>
      </c>
      <c r="G8" s="3543">
        <v>7</v>
      </c>
      <c r="H8" s="3543">
        <v>8</v>
      </c>
      <c r="I8" s="3543">
        <v>9</v>
      </c>
      <c r="J8" s="3543">
        <v>10</v>
      </c>
      <c r="K8" s="3543">
        <v>11</v>
      </c>
      <c r="L8" s="3543">
        <v>12</v>
      </c>
      <c r="M8" s="3543">
        <v>13</v>
      </c>
      <c r="N8" s="3543">
        <v>14</v>
      </c>
      <c r="O8" s="3543">
        <v>15</v>
      </c>
      <c r="P8" s="3543">
        <v>16</v>
      </c>
      <c r="Q8" s="3543">
        <v>17</v>
      </c>
      <c r="R8" s="3544">
        <v>18</v>
      </c>
    </row>
    <row r="9" spans="1:21">
      <c r="A9" s="3545" t="s">
        <v>716</v>
      </c>
      <c r="B9" s="3546"/>
      <c r="C9" s="3546"/>
      <c r="D9" s="3546"/>
      <c r="E9" s="3546"/>
      <c r="F9" s="3546"/>
      <c r="G9" s="3546"/>
      <c r="H9" s="3546"/>
      <c r="I9" s="3546"/>
      <c r="J9" s="3546"/>
      <c r="K9" s="3546"/>
      <c r="L9" s="3546"/>
      <c r="M9" s="3546"/>
      <c r="N9" s="3546"/>
      <c r="O9" s="3546"/>
      <c r="P9" s="3546"/>
      <c r="Q9" s="3546"/>
      <c r="R9" s="3547"/>
    </row>
    <row r="10" spans="1:21" ht="25.5" customHeight="1">
      <c r="A10" s="3548" t="s">
        <v>689</v>
      </c>
      <c r="B10" s="3549" t="s">
        <v>717</v>
      </c>
      <c r="C10" s="3550"/>
      <c r="D10" s="3550"/>
      <c r="E10" s="3550"/>
      <c r="F10" s="3550"/>
      <c r="G10" s="3550"/>
      <c r="H10" s="3550"/>
      <c r="I10" s="3550"/>
      <c r="J10" s="3550"/>
      <c r="K10" s="3550"/>
      <c r="L10" s="3550"/>
      <c r="M10" s="3550"/>
      <c r="N10" s="3550"/>
      <c r="O10" s="3550"/>
      <c r="P10" s="3550"/>
      <c r="Q10" s="3550"/>
      <c r="R10" s="3550"/>
    </row>
    <row r="11" spans="1:21" ht="13.5" customHeight="1">
      <c r="A11" s="3551"/>
      <c r="B11" s="3549" t="s">
        <v>718</v>
      </c>
      <c r="C11" s="3550"/>
      <c r="D11" s="3550"/>
      <c r="E11" s="3550"/>
      <c r="F11" s="3550"/>
      <c r="G11" s="3550"/>
      <c r="H11" s="3550"/>
      <c r="I11" s="3550"/>
      <c r="J11" s="3550"/>
      <c r="K11" s="3550"/>
      <c r="L11" s="3550"/>
      <c r="M11" s="3550"/>
      <c r="N11" s="3550"/>
      <c r="O11" s="3550"/>
      <c r="P11" s="3550"/>
      <c r="Q11" s="3550"/>
      <c r="R11" s="3550"/>
    </row>
    <row r="12" spans="1:21" ht="13.5" customHeight="1">
      <c r="A12" s="3551"/>
      <c r="B12" s="3549" t="s">
        <v>719</v>
      </c>
      <c r="C12" s="3550"/>
      <c r="D12" s="3550"/>
      <c r="E12" s="3550"/>
      <c r="F12" s="3550"/>
      <c r="G12" s="3550"/>
      <c r="H12" s="3550"/>
      <c r="I12" s="3550"/>
      <c r="J12" s="3550"/>
      <c r="K12" s="3550"/>
      <c r="L12" s="3550"/>
      <c r="M12" s="3550"/>
      <c r="N12" s="3550"/>
      <c r="O12" s="3550"/>
      <c r="P12" s="3550"/>
      <c r="Q12" s="3550"/>
      <c r="R12" s="3550"/>
    </row>
    <row r="13" spans="1:21" ht="12.75" customHeight="1">
      <c r="A13" s="3551"/>
      <c r="B13" s="3549" t="s">
        <v>720</v>
      </c>
      <c r="C13" s="3550"/>
      <c r="D13" s="3550"/>
      <c r="E13" s="3550"/>
      <c r="F13" s="3550"/>
      <c r="G13" s="3550"/>
      <c r="H13" s="3550"/>
      <c r="I13" s="3550"/>
      <c r="J13" s="3550"/>
      <c r="K13" s="3550"/>
      <c r="L13" s="3550"/>
      <c r="M13" s="3550"/>
      <c r="N13" s="3550"/>
      <c r="O13" s="3550"/>
      <c r="P13" s="3550"/>
      <c r="Q13" s="3550"/>
      <c r="R13" s="3550"/>
    </row>
    <row r="14" spans="1:21" s="2231" customFormat="1">
      <c r="A14" s="3551" t="s">
        <v>700</v>
      </c>
      <c r="B14" s="2878" t="s">
        <v>721</v>
      </c>
      <c r="C14" s="3552">
        <v>0.52229999999999999</v>
      </c>
      <c r="D14" s="3552">
        <v>5.0799999999999998E-2</v>
      </c>
      <c r="E14" s="3552">
        <v>0</v>
      </c>
      <c r="F14" s="3552">
        <v>0.31759999999999999</v>
      </c>
      <c r="G14" s="3552">
        <v>0.15390000000000001</v>
      </c>
      <c r="H14" s="3553">
        <v>6.9650000000000004E-2</v>
      </c>
      <c r="I14" s="3553">
        <v>6.7999999999999996E-3</v>
      </c>
      <c r="J14" s="3462">
        <v>0</v>
      </c>
      <c r="K14" s="3553">
        <v>4.2349999999999999E-2</v>
      </c>
      <c r="L14" s="3553">
        <v>2.0500000000000001E-2</v>
      </c>
      <c r="M14" s="3554">
        <v>7498.9231873653971</v>
      </c>
      <c r="N14" s="2908">
        <v>2.4419220652367679</v>
      </c>
      <c r="O14" s="2162">
        <v>0.23750649227269352</v>
      </c>
      <c r="P14" s="2162">
        <v>0</v>
      </c>
      <c r="Q14" s="2162">
        <v>1.4848831091694381</v>
      </c>
      <c r="R14" s="2162">
        <v>0.71953246379463653</v>
      </c>
    </row>
    <row r="15" spans="1:21" ht="24.75" customHeight="1">
      <c r="A15" s="3555" t="s">
        <v>701</v>
      </c>
      <c r="B15" s="3556" t="s">
        <v>722</v>
      </c>
      <c r="C15" s="3557">
        <v>20.866589000000001</v>
      </c>
      <c r="D15" s="2157">
        <v>12.153461999999999</v>
      </c>
      <c r="E15" s="2157">
        <v>0</v>
      </c>
      <c r="F15" s="2157">
        <v>8.592727</v>
      </c>
      <c r="G15" s="2157">
        <v>0.12039999999999998</v>
      </c>
      <c r="H15" s="3558">
        <v>2.6626700000000003</v>
      </c>
      <c r="I15" s="3502">
        <v>1.5534100000000002</v>
      </c>
      <c r="J15" s="3500">
        <v>0</v>
      </c>
      <c r="K15" s="3502">
        <v>1.09328</v>
      </c>
      <c r="L15" s="3559">
        <v>1.5979999999999998E-2</v>
      </c>
      <c r="M15" s="3560">
        <v>7836.7161533348099</v>
      </c>
      <c r="N15" s="3561">
        <v>97.558077934763233</v>
      </c>
      <c r="O15" s="3562">
        <v>56.821380484044766</v>
      </c>
      <c r="P15" s="3562">
        <v>0</v>
      </c>
      <c r="Q15" s="3562">
        <v>40.173788362733568</v>
      </c>
      <c r="R15" s="3562">
        <v>0.5629090879848877</v>
      </c>
      <c r="U15" s="2231"/>
    </row>
    <row r="16" spans="1:21" ht="14.25" customHeight="1">
      <c r="A16" s="3563" t="s">
        <v>723</v>
      </c>
      <c r="B16" s="3564" t="s">
        <v>724</v>
      </c>
      <c r="C16" s="4058">
        <v>0</v>
      </c>
      <c r="D16" s="4058"/>
      <c r="E16" s="4058"/>
      <c r="F16" s="4058">
        <v>0</v>
      </c>
      <c r="G16" s="4058">
        <v>0</v>
      </c>
      <c r="H16" s="4066"/>
      <c r="I16" s="4066"/>
      <c r="J16" s="4063"/>
      <c r="K16" s="4066"/>
      <c r="L16" s="4066"/>
      <c r="M16" s="4071">
        <v>0</v>
      </c>
      <c r="N16" s="4063"/>
      <c r="O16" s="4063"/>
      <c r="P16" s="4063"/>
      <c r="Q16" s="4063">
        <v>0</v>
      </c>
      <c r="R16" s="4063">
        <v>0</v>
      </c>
    </row>
    <row r="17" spans="1:21" ht="13.5" customHeight="1">
      <c r="A17" s="3555"/>
      <c r="B17" s="3565" t="s">
        <v>728</v>
      </c>
      <c r="C17" s="4059"/>
      <c r="D17" s="4061"/>
      <c r="E17" s="4061"/>
      <c r="F17" s="4061"/>
      <c r="G17" s="4061"/>
      <c r="H17" s="4067"/>
      <c r="I17" s="4067"/>
      <c r="J17" s="4069"/>
      <c r="K17" s="4067"/>
      <c r="L17" s="4067"/>
      <c r="M17" s="4072"/>
      <c r="N17" s="4069"/>
      <c r="O17" s="4069"/>
      <c r="P17" s="4069"/>
      <c r="Q17" s="4064"/>
      <c r="R17" s="4064"/>
    </row>
    <row r="18" spans="1:21" ht="12" customHeight="1">
      <c r="A18" s="3551"/>
      <c r="B18" s="3566" t="s">
        <v>725</v>
      </c>
      <c r="C18" s="4060"/>
      <c r="D18" s="4062"/>
      <c r="E18" s="4062"/>
      <c r="F18" s="4062"/>
      <c r="G18" s="4062"/>
      <c r="H18" s="4068"/>
      <c r="I18" s="4068"/>
      <c r="J18" s="4070"/>
      <c r="K18" s="4068"/>
      <c r="L18" s="4068"/>
      <c r="M18" s="4073"/>
      <c r="N18" s="4070"/>
      <c r="O18" s="4070"/>
      <c r="P18" s="4070"/>
      <c r="Q18" s="4065"/>
      <c r="R18" s="4065"/>
    </row>
    <row r="19" spans="1:21">
      <c r="A19" s="3551" t="s">
        <v>702</v>
      </c>
      <c r="B19" s="3549" t="s">
        <v>726</v>
      </c>
      <c r="C19" s="3567">
        <v>21.388889000000002</v>
      </c>
      <c r="D19" s="2157">
        <v>12.204262</v>
      </c>
      <c r="E19" s="2157">
        <v>0</v>
      </c>
      <c r="F19" s="2157">
        <v>8.9103270000000006</v>
      </c>
      <c r="G19" s="3568">
        <v>0.27429999999999999</v>
      </c>
      <c r="H19" s="3569">
        <v>2.7323200000000001</v>
      </c>
      <c r="I19" s="3502">
        <v>1.5602100000000001</v>
      </c>
      <c r="J19" s="3500">
        <v>0</v>
      </c>
      <c r="K19" s="3502">
        <v>1.1356299999999999</v>
      </c>
      <c r="L19" s="3569">
        <v>3.6479999999999999E-2</v>
      </c>
      <c r="M19" s="3554">
        <v>7828.1054195701827</v>
      </c>
      <c r="N19" s="3570">
        <v>100</v>
      </c>
      <c r="O19" s="2162">
        <v>57.05888697631746</v>
      </c>
      <c r="P19" s="2162">
        <v>0</v>
      </c>
      <c r="Q19" s="2162">
        <v>41.658671471903006</v>
      </c>
      <c r="R19" s="3571">
        <v>1.2824415517795242</v>
      </c>
      <c r="T19" s="2077"/>
      <c r="U19" s="2077"/>
    </row>
    <row r="20" spans="1:21">
      <c r="A20" s="3545" t="s">
        <v>727</v>
      </c>
      <c r="B20" s="3572"/>
      <c r="C20" s="3572"/>
      <c r="D20" s="3572"/>
      <c r="E20" s="3572"/>
      <c r="F20" s="3572"/>
      <c r="G20" s="3572"/>
      <c r="H20" s="3573"/>
      <c r="I20" s="3572"/>
      <c r="J20" s="3572"/>
      <c r="K20" s="3573"/>
      <c r="L20" s="3573"/>
      <c r="M20" s="3572"/>
      <c r="N20" s="3572"/>
      <c r="O20" s="3572"/>
      <c r="P20" s="3572"/>
      <c r="Q20" s="3572"/>
      <c r="R20" s="3574"/>
    </row>
    <row r="21" spans="1:21" ht="24" customHeight="1">
      <c r="A21" s="3548" t="s">
        <v>689</v>
      </c>
      <c r="B21" s="3549" t="s">
        <v>717</v>
      </c>
      <c r="C21" s="3550"/>
      <c r="D21" s="3550"/>
      <c r="E21" s="3550"/>
      <c r="F21" s="3550"/>
      <c r="G21" s="3550"/>
      <c r="H21" s="3575"/>
      <c r="I21" s="3550"/>
      <c r="J21" s="3550"/>
      <c r="K21" s="3575"/>
      <c r="L21" s="3575"/>
      <c r="M21" s="3576"/>
      <c r="N21" s="3550"/>
      <c r="O21" s="3550"/>
      <c r="P21" s="3550"/>
      <c r="Q21" s="3550"/>
      <c r="R21" s="3550"/>
    </row>
    <row r="22" spans="1:21" ht="13.5" customHeight="1">
      <c r="A22" s="3551"/>
      <c r="B22" s="3549" t="s">
        <v>718</v>
      </c>
      <c r="C22" s="3550"/>
      <c r="D22" s="3550"/>
      <c r="E22" s="3550"/>
      <c r="F22" s="3550"/>
      <c r="G22" s="3550"/>
      <c r="H22" s="3575"/>
      <c r="I22" s="3550"/>
      <c r="J22" s="3550"/>
      <c r="K22" s="3575"/>
      <c r="L22" s="3575"/>
      <c r="M22" s="3576"/>
      <c r="N22" s="3550"/>
      <c r="O22" s="3550"/>
      <c r="P22" s="3550"/>
      <c r="Q22" s="3550"/>
      <c r="R22" s="3550"/>
    </row>
    <row r="23" spans="1:21" ht="13.5" customHeight="1">
      <c r="A23" s="3551"/>
      <c r="B23" s="3549" t="s">
        <v>719</v>
      </c>
      <c r="C23" s="3550"/>
      <c r="D23" s="3550"/>
      <c r="E23" s="3550"/>
      <c r="F23" s="3550"/>
      <c r="G23" s="3550"/>
      <c r="H23" s="3575"/>
      <c r="I23" s="3550"/>
      <c r="J23" s="3550"/>
      <c r="K23" s="3575"/>
      <c r="L23" s="3575"/>
      <c r="M23" s="3576"/>
      <c r="N23" s="3550"/>
      <c r="O23" s="3550"/>
      <c r="P23" s="3550"/>
      <c r="Q23" s="3550"/>
      <c r="R23" s="3550"/>
    </row>
    <row r="24" spans="1:21">
      <c r="A24" s="3551"/>
      <c r="B24" s="3549" t="s">
        <v>720</v>
      </c>
      <c r="C24" s="3550"/>
      <c r="D24" s="3550"/>
      <c r="E24" s="3550"/>
      <c r="F24" s="3550"/>
      <c r="G24" s="3550"/>
      <c r="H24" s="3575"/>
      <c r="I24" s="3550"/>
      <c r="J24" s="3550"/>
      <c r="K24" s="3575"/>
      <c r="L24" s="3575"/>
      <c r="M24" s="3576"/>
      <c r="N24" s="3550"/>
      <c r="O24" s="3550"/>
      <c r="P24" s="3550"/>
      <c r="Q24" s="3550"/>
      <c r="R24" s="3550"/>
      <c r="T24" s="2006">
        <v>570.28139139999996</v>
      </c>
    </row>
    <row r="25" spans="1:21" s="2231" customFormat="1">
      <c r="A25" s="3551" t="s">
        <v>700</v>
      </c>
      <c r="B25" s="2878" t="s">
        <v>721</v>
      </c>
      <c r="C25" s="3552">
        <v>0.5702813914</v>
      </c>
      <c r="D25" s="3552">
        <v>5.8370999999999999E-2</v>
      </c>
      <c r="E25" s="3552">
        <v>0</v>
      </c>
      <c r="F25" s="3552">
        <v>0.30107699999999998</v>
      </c>
      <c r="G25" s="3552">
        <v>0.21083339140000001</v>
      </c>
      <c r="H25" s="3552">
        <v>7.7893497683378832E-2</v>
      </c>
      <c r="I25" s="3552">
        <v>7.7947099898078845E-3</v>
      </c>
      <c r="J25" s="3462">
        <v>0</v>
      </c>
      <c r="K25" s="3552">
        <v>4.0205028930283888E-2</v>
      </c>
      <c r="L25" s="3552">
        <v>2.9893758763287051E-2</v>
      </c>
      <c r="M25" s="3554">
        <v>7321.2964927839985</v>
      </c>
      <c r="N25" s="2908">
        <v>2.4428745018827378</v>
      </c>
      <c r="O25" s="2162">
        <v>0.25003976931342897</v>
      </c>
      <c r="P25" s="2162">
        <v>0</v>
      </c>
      <c r="Q25" s="2162">
        <v>1.2897024828352992</v>
      </c>
      <c r="R25" s="2162">
        <v>0.90313224973400974</v>
      </c>
      <c r="T25" s="3577">
        <v>7.7893497683378832E-2</v>
      </c>
    </row>
    <row r="26" spans="1:21" ht="24.75" customHeight="1">
      <c r="A26" s="3555" t="s">
        <v>701</v>
      </c>
      <c r="B26" s="3556" t="s">
        <v>722</v>
      </c>
      <c r="C26" s="3557">
        <v>22.774405000000002</v>
      </c>
      <c r="D26" s="2157">
        <v>14.38673</v>
      </c>
      <c r="E26" s="3502">
        <v>0</v>
      </c>
      <c r="F26" s="2157">
        <v>8.2553429999999999</v>
      </c>
      <c r="G26" s="3578">
        <v>0.13233199999999995</v>
      </c>
      <c r="H26" s="3558">
        <v>2.9037529651308214</v>
      </c>
      <c r="I26" s="3502">
        <v>1.8447352900101919</v>
      </c>
      <c r="J26" s="3500">
        <v>0</v>
      </c>
      <c r="K26" s="3502">
        <v>1.0415314338839166</v>
      </c>
      <c r="L26" s="3502">
        <v>1.7486241236712947E-2</v>
      </c>
      <c r="M26" s="3560">
        <v>7843.0931534060292</v>
      </c>
      <c r="N26" s="3561">
        <v>97.557125498117287</v>
      </c>
      <c r="O26" s="3562">
        <v>61.627428866639058</v>
      </c>
      <c r="P26" s="3562">
        <v>0</v>
      </c>
      <c r="Q26" s="3562">
        <v>35.36283530046137</v>
      </c>
      <c r="R26" s="3562">
        <v>0.5668613310168521</v>
      </c>
      <c r="U26" s="2231"/>
    </row>
    <row r="27" spans="1:21" ht="14.25" customHeight="1">
      <c r="A27" s="3563" t="s">
        <v>723</v>
      </c>
      <c r="B27" s="3564" t="s">
        <v>724</v>
      </c>
      <c r="C27" s="4058">
        <v>0</v>
      </c>
      <c r="D27" s="4058"/>
      <c r="E27" s="4058"/>
      <c r="F27" s="4058"/>
      <c r="G27" s="4058"/>
      <c r="H27" s="4066"/>
      <c r="I27" s="4066"/>
      <c r="J27" s="4063"/>
      <c r="K27" s="4066"/>
      <c r="L27" s="4066"/>
      <c r="M27" s="4071">
        <v>0</v>
      </c>
      <c r="N27" s="4063"/>
      <c r="O27" s="4063"/>
      <c r="P27" s="4063"/>
      <c r="Q27" s="4063">
        <v>0</v>
      </c>
      <c r="R27" s="4063">
        <v>0</v>
      </c>
    </row>
    <row r="28" spans="1:21" ht="13.5" customHeight="1">
      <c r="A28" s="3555"/>
      <c r="B28" s="3565" t="s">
        <v>728</v>
      </c>
      <c r="C28" s="4059"/>
      <c r="D28" s="4061"/>
      <c r="E28" s="4061"/>
      <c r="F28" s="4061"/>
      <c r="G28" s="4061"/>
      <c r="H28" s="4067"/>
      <c r="I28" s="4067"/>
      <c r="J28" s="4069"/>
      <c r="K28" s="4067"/>
      <c r="L28" s="4067"/>
      <c r="M28" s="4072"/>
      <c r="N28" s="4069"/>
      <c r="O28" s="4069"/>
      <c r="P28" s="4069"/>
      <c r="Q28" s="4064"/>
      <c r="R28" s="4064"/>
    </row>
    <row r="29" spans="1:21" ht="12" customHeight="1">
      <c r="A29" s="3551"/>
      <c r="B29" s="3566" t="s">
        <v>725</v>
      </c>
      <c r="C29" s="4060"/>
      <c r="D29" s="4062"/>
      <c r="E29" s="4062"/>
      <c r="F29" s="4062"/>
      <c r="G29" s="4062"/>
      <c r="H29" s="4068"/>
      <c r="I29" s="4068"/>
      <c r="J29" s="4070"/>
      <c r="K29" s="4068"/>
      <c r="L29" s="4068"/>
      <c r="M29" s="4073"/>
      <c r="N29" s="4070"/>
      <c r="O29" s="4070"/>
      <c r="P29" s="4070"/>
      <c r="Q29" s="4065"/>
      <c r="R29" s="4065"/>
    </row>
    <row r="30" spans="1:21">
      <c r="A30" s="3551" t="s">
        <v>702</v>
      </c>
      <c r="B30" s="3549" t="s">
        <v>726</v>
      </c>
      <c r="C30" s="3567">
        <v>23.344686391399996</v>
      </c>
      <c r="D30" s="2157">
        <v>14.445100999999999</v>
      </c>
      <c r="E30" s="2157">
        <v>0</v>
      </c>
      <c r="F30" s="2157">
        <v>8.5564199999999992</v>
      </c>
      <c r="G30" s="3568">
        <v>0.34316539139999996</v>
      </c>
      <c r="H30" s="3569">
        <v>2.9816464628142003</v>
      </c>
      <c r="I30" s="3502">
        <v>1.8525299999999998</v>
      </c>
      <c r="J30" s="3500">
        <v>0</v>
      </c>
      <c r="K30" s="3502">
        <v>1.0817364628142006</v>
      </c>
      <c r="L30" s="3569">
        <v>4.7379999999999999E-2</v>
      </c>
      <c r="M30" s="3554">
        <v>7829.4615684806313</v>
      </c>
      <c r="N30" s="3570">
        <v>100.00000000000003</v>
      </c>
      <c r="O30" s="2162">
        <v>61.877468635952489</v>
      </c>
      <c r="P30" s="2162">
        <v>0</v>
      </c>
      <c r="Q30" s="2162">
        <v>36.652537783296673</v>
      </c>
      <c r="R30" s="3571">
        <v>1.4699935807508617</v>
      </c>
      <c r="T30" s="2077"/>
      <c r="U30" s="2077"/>
    </row>
    <row r="31" spans="1:21">
      <c r="K31" s="3579"/>
    </row>
    <row r="32" spans="1:21">
      <c r="K32" s="3579"/>
    </row>
    <row r="33" spans="1:12" s="2171" customFormat="1" ht="23.25" customHeight="1">
      <c r="A33" s="3404" t="s">
        <v>1266</v>
      </c>
      <c r="B33" s="3404"/>
      <c r="C33" s="3405"/>
      <c r="H33" s="3406"/>
    </row>
    <row r="34" spans="1:12" s="2171" customFormat="1" ht="15" customHeight="1">
      <c r="A34" s="3404" t="s">
        <v>1304</v>
      </c>
      <c r="B34" s="3407"/>
      <c r="C34" s="3405"/>
      <c r="E34" s="3466"/>
      <c r="F34" s="3466"/>
      <c r="L34" s="3466" t="s">
        <v>2876</v>
      </c>
    </row>
    <row r="35" spans="1:12" ht="15.6">
      <c r="A35" s="3486"/>
      <c r="B35" s="3486"/>
      <c r="H35" s="3487"/>
    </row>
    <row r="36" spans="1:12" s="2009" customFormat="1">
      <c r="A36" s="3410"/>
    </row>
    <row r="37" spans="1:12" s="2009" customFormat="1">
      <c r="A37" s="3410"/>
    </row>
  </sheetData>
  <mergeCells count="34">
    <mergeCell ref="N27:N29"/>
    <mergeCell ref="O27:O29"/>
    <mergeCell ref="P27:P29"/>
    <mergeCell ref="F16:F18"/>
    <mergeCell ref="Q16:Q18"/>
    <mergeCell ref="O16:O18"/>
    <mergeCell ref="P16:P18"/>
    <mergeCell ref="I16:I18"/>
    <mergeCell ref="J16:J18"/>
    <mergeCell ref="M16:M18"/>
    <mergeCell ref="N16:N18"/>
    <mergeCell ref="K16:K18"/>
    <mergeCell ref="L16:L18"/>
    <mergeCell ref="R16:R18"/>
    <mergeCell ref="C27:C29"/>
    <mergeCell ref="D27:D29"/>
    <mergeCell ref="E27:E29"/>
    <mergeCell ref="F27:F29"/>
    <mergeCell ref="G27:G29"/>
    <mergeCell ref="H27:H29"/>
    <mergeCell ref="I27:I29"/>
    <mergeCell ref="J27:J29"/>
    <mergeCell ref="Q27:Q29"/>
    <mergeCell ref="R27:R29"/>
    <mergeCell ref="K27:K29"/>
    <mergeCell ref="L27:L29"/>
    <mergeCell ref="M27:M29"/>
    <mergeCell ref="G16:G18"/>
    <mergeCell ref="H16:H18"/>
    <mergeCell ref="A5:A7"/>
    <mergeCell ref="B5:B7"/>
    <mergeCell ref="C16:C18"/>
    <mergeCell ref="D16:D18"/>
    <mergeCell ref="E16:E18"/>
  </mergeCells>
  <phoneticPr fontId="0" type="noConversion"/>
  <printOptions horizontalCentered="1"/>
  <pageMargins left="0.39370078740157483" right="0.39370078740157483" top="0.59055118110236227" bottom="0.11811023622047245" header="0.51181102362204722" footer="3.937007874015748E-2"/>
  <pageSetup paperSize="9" scale="97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>
    <tabColor indexed="34"/>
  </sheetPr>
  <dimension ref="A1:S38"/>
  <sheetViews>
    <sheetView zoomScale="85" zoomScaleNormal="85" workbookViewId="0">
      <selection activeCell="A29" sqref="A29:XFD37"/>
    </sheetView>
  </sheetViews>
  <sheetFormatPr defaultColWidth="9.109375" defaultRowHeight="15.6"/>
  <cols>
    <col min="1" max="1" width="5.88671875" style="3581" customWidth="1"/>
    <col min="2" max="2" width="32.5546875" style="3581" customWidth="1"/>
    <col min="3" max="3" width="19.88671875" style="3581" customWidth="1"/>
    <col min="4" max="4" width="19.5546875" style="3581" customWidth="1"/>
    <col min="5" max="5" width="18.5546875" style="3581" customWidth="1"/>
    <col min="6" max="6" width="14.44140625" style="3581" customWidth="1"/>
    <col min="7" max="7" width="16.88671875" style="3581" customWidth="1"/>
    <col min="8" max="8" width="14.88671875" style="3581" customWidth="1"/>
    <col min="9" max="9" width="18" style="3581" customWidth="1"/>
    <col min="10" max="10" width="9.44140625" style="3581" hidden="1" customWidth="1"/>
    <col min="11" max="11" width="19.6640625" style="3581" hidden="1" customWidth="1"/>
    <col min="12" max="12" width="12.109375" style="3581" hidden="1" customWidth="1"/>
    <col min="13" max="13" width="9.44140625" style="3581" hidden="1" customWidth="1"/>
    <col min="14" max="14" width="11.5546875" style="3581" hidden="1" customWidth="1"/>
    <col min="15" max="15" width="0" style="3581" hidden="1" customWidth="1"/>
    <col min="16" max="16" width="9.88671875" style="3581" hidden="1" customWidth="1"/>
    <col min="17" max="17" width="11.5546875" style="3581" hidden="1" customWidth="1"/>
    <col min="18" max="19" width="0" style="3581" hidden="1" customWidth="1"/>
    <col min="20" max="16384" width="9.109375" style="3581"/>
  </cols>
  <sheetData>
    <row r="1" spans="1:14">
      <c r="A1" s="2143"/>
      <c r="B1" s="2143"/>
      <c r="C1" s="2143"/>
      <c r="D1" s="2143"/>
      <c r="E1" s="2143"/>
      <c r="F1" s="2143"/>
      <c r="G1" s="2143"/>
      <c r="H1" s="2143"/>
      <c r="I1" s="3580" t="s">
        <v>729</v>
      </c>
      <c r="K1" s="3581">
        <v>8695.5300000000007</v>
      </c>
      <c r="L1" s="3581">
        <v>30208.811999999998</v>
      </c>
    </row>
    <row r="2" spans="1:14" s="2231" customFormat="1" ht="13.8">
      <c r="A2" s="3582"/>
      <c r="B2" s="2143"/>
      <c r="C2" s="2143"/>
      <c r="D2" s="2143"/>
      <c r="E2" s="2143"/>
      <c r="F2" s="2143"/>
      <c r="G2" s="2143"/>
      <c r="H2" s="2143"/>
      <c r="I2" s="2143"/>
      <c r="K2" s="2231">
        <v>3351.4683174000002</v>
      </c>
    </row>
    <row r="3" spans="1:14" s="2231" customFormat="1">
      <c r="A3" s="4074" t="s">
        <v>2534</v>
      </c>
      <c r="B3" s="4074"/>
      <c r="C3" s="4074"/>
      <c r="D3" s="4074"/>
      <c r="E3" s="4074"/>
      <c r="F3" s="4074"/>
      <c r="G3" s="4074"/>
      <c r="H3" s="4074"/>
      <c r="I3" s="4074"/>
      <c r="K3" s="2231">
        <v>3534.23758464</v>
      </c>
    </row>
    <row r="4" spans="1:14" s="2231" customFormat="1">
      <c r="A4" s="4074" t="s">
        <v>2143</v>
      </c>
      <c r="B4" s="4074"/>
      <c r="C4" s="4074"/>
      <c r="D4" s="4074"/>
      <c r="E4" s="4074"/>
      <c r="F4" s="4074"/>
      <c r="G4" s="4074"/>
      <c r="H4" s="4074"/>
      <c r="I4" s="4074"/>
      <c r="K4" s="2231">
        <v>6885.7059020400002</v>
      </c>
    </row>
    <row r="5" spans="1:14" s="2231" customFormat="1">
      <c r="A5" s="4074" t="s">
        <v>965</v>
      </c>
      <c r="B5" s="4074"/>
      <c r="C5" s="4074"/>
      <c r="D5" s="4074"/>
      <c r="E5" s="4074"/>
      <c r="F5" s="4074"/>
      <c r="G5" s="4074"/>
      <c r="H5" s="4074"/>
      <c r="I5" s="4074"/>
      <c r="K5" s="2231">
        <v>1809.8240979600005</v>
      </c>
    </row>
    <row r="6" spans="1:14" s="2231" customFormat="1">
      <c r="A6" s="4074" t="s">
        <v>966</v>
      </c>
      <c r="B6" s="4074"/>
      <c r="C6" s="4074"/>
      <c r="D6" s="4074"/>
      <c r="E6" s="4074"/>
      <c r="F6" s="4074"/>
      <c r="G6" s="4074"/>
      <c r="H6" s="4074"/>
      <c r="I6" s="4074"/>
      <c r="K6" s="2231">
        <v>357.36950028000001</v>
      </c>
      <c r="L6" s="2231" t="s">
        <v>2865</v>
      </c>
    </row>
    <row r="7" spans="1:14" s="2231" customFormat="1">
      <c r="A7" s="4074" t="s">
        <v>967</v>
      </c>
      <c r="B7" s="4074"/>
      <c r="C7" s="4074"/>
      <c r="D7" s="4074"/>
      <c r="E7" s="4074"/>
      <c r="F7" s="4074"/>
      <c r="G7" s="4074"/>
      <c r="H7" s="4074"/>
      <c r="I7" s="4074"/>
      <c r="K7" s="2231">
        <v>320.34332863000003</v>
      </c>
      <c r="L7" s="2231" t="s">
        <v>2866</v>
      </c>
    </row>
    <row r="8" spans="1:14" s="2231" customFormat="1">
      <c r="A8" s="4074" t="s">
        <v>968</v>
      </c>
      <c r="B8" s="4074"/>
      <c r="C8" s="4074"/>
      <c r="D8" s="4074"/>
      <c r="E8" s="4074"/>
      <c r="F8" s="4074"/>
      <c r="G8" s="4074"/>
      <c r="H8" s="4074"/>
      <c r="I8" s="4074"/>
      <c r="K8" s="2231">
        <v>2457.2741046267925</v>
      </c>
    </row>
    <row r="9" spans="1:14" s="2231" customFormat="1">
      <c r="A9" s="4074" t="s">
        <v>964</v>
      </c>
      <c r="B9" s="4074"/>
      <c r="C9" s="4074"/>
      <c r="D9" s="4074"/>
      <c r="E9" s="4074"/>
      <c r="F9" s="4074"/>
      <c r="G9" s="4074"/>
      <c r="H9" s="4074"/>
      <c r="I9" s="4074"/>
    </row>
    <row r="10" spans="1:14" s="2231" customFormat="1" ht="13.8">
      <c r="A10" s="3583"/>
      <c r="B10" s="3583"/>
      <c r="C10" s="3583"/>
      <c r="D10" s="3583"/>
      <c r="E10" s="3583"/>
      <c r="F10" s="2143"/>
      <c r="G10" s="2143"/>
      <c r="H10" s="2143"/>
      <c r="I10" s="2143"/>
      <c r="K10" s="2231">
        <v>3351.4683174000002</v>
      </c>
    </row>
    <row r="11" spans="1:14" ht="27" customHeight="1">
      <c r="A11" s="4075" t="s">
        <v>1514</v>
      </c>
      <c r="B11" s="4078" t="s">
        <v>2131</v>
      </c>
      <c r="C11" s="4079"/>
      <c r="D11" s="4079"/>
      <c r="E11" s="4079"/>
      <c r="F11" s="4079"/>
      <c r="G11" s="4080" t="s">
        <v>2132</v>
      </c>
      <c r="H11" s="4080"/>
      <c r="I11" s="4075" t="s">
        <v>2133</v>
      </c>
      <c r="K11" s="2231">
        <v>3534.2375846400005</v>
      </c>
    </row>
    <row r="12" spans="1:14" ht="54.75" customHeight="1">
      <c r="A12" s="4076"/>
      <c r="B12" s="4081" t="s">
        <v>902</v>
      </c>
      <c r="C12" s="3584" t="s">
        <v>2134</v>
      </c>
      <c r="D12" s="3584" t="s">
        <v>2135</v>
      </c>
      <c r="E12" s="3584" t="s">
        <v>2136</v>
      </c>
      <c r="F12" s="3584" t="s">
        <v>2137</v>
      </c>
      <c r="G12" s="3584" t="s">
        <v>2138</v>
      </c>
      <c r="H12" s="3584" t="s">
        <v>2137</v>
      </c>
      <c r="I12" s="4077"/>
      <c r="K12" s="3585">
        <v>1.0545340877283866</v>
      </c>
    </row>
    <row r="13" spans="1:14" s="2097" customFormat="1" ht="21" customHeight="1">
      <c r="A13" s="4077"/>
      <c r="B13" s="4082"/>
      <c r="C13" s="3586" t="s">
        <v>2139</v>
      </c>
      <c r="D13" s="3587" t="s">
        <v>244</v>
      </c>
      <c r="E13" s="3586" t="s">
        <v>2139</v>
      </c>
      <c r="F13" s="3587" t="s">
        <v>2140</v>
      </c>
      <c r="G13" s="3587" t="s">
        <v>529</v>
      </c>
      <c r="H13" s="3587" t="s">
        <v>2141</v>
      </c>
      <c r="I13" s="3588" t="s">
        <v>24</v>
      </c>
    </row>
    <row r="14" spans="1:14" s="2097" customFormat="1" ht="18" customHeight="1">
      <c r="A14" s="3589"/>
      <c r="B14" s="3590" t="s">
        <v>2542</v>
      </c>
      <c r="C14" s="3586"/>
      <c r="D14" s="3587"/>
      <c r="E14" s="3586"/>
      <c r="F14" s="3587"/>
      <c r="G14" s="3587"/>
      <c r="H14" s="3587"/>
      <c r="I14" s="3588"/>
    </row>
    <row r="15" spans="1:14" ht="25.5" customHeight="1">
      <c r="A15" s="3591" t="s">
        <v>200</v>
      </c>
      <c r="B15" s="3592" t="s">
        <v>2142</v>
      </c>
      <c r="C15" s="3593"/>
      <c r="D15" s="3594"/>
      <c r="E15" s="3593"/>
      <c r="F15" s="3594"/>
      <c r="G15" s="3594"/>
      <c r="H15" s="3594"/>
      <c r="I15" s="3595"/>
      <c r="L15" s="3596" t="s">
        <v>2212</v>
      </c>
      <c r="M15" s="3596" t="s">
        <v>2213</v>
      </c>
      <c r="N15" s="3596"/>
    </row>
    <row r="16" spans="1:14" s="2097" customFormat="1" ht="25.5" customHeight="1">
      <c r="A16" s="3588"/>
      <c r="B16" s="3597" t="s">
        <v>2856</v>
      </c>
      <c r="C16" s="3598">
        <v>11952.1572</v>
      </c>
      <c r="D16" s="3599">
        <v>2.99</v>
      </c>
      <c r="E16" s="3600">
        <v>357.36950028000001</v>
      </c>
      <c r="F16" s="3601">
        <v>2344.4648144193643</v>
      </c>
      <c r="G16" s="3602">
        <v>2.8980000000000001</v>
      </c>
      <c r="H16" s="3599">
        <v>192746.05</v>
      </c>
      <c r="I16" s="3603">
        <v>4189.3085365530915</v>
      </c>
      <c r="J16" s="2775">
        <v>3.3833333333333333</v>
      </c>
      <c r="K16" s="3604" t="s">
        <v>2222</v>
      </c>
      <c r="L16" s="3605" t="s">
        <v>2210</v>
      </c>
      <c r="M16" s="3599"/>
      <c r="N16" s="3606"/>
    </row>
    <row r="17" spans="1:19" s="2097" customFormat="1" ht="25.5" customHeight="1">
      <c r="A17" s="3588"/>
      <c r="B17" s="3597" t="s">
        <v>2857</v>
      </c>
      <c r="C17" s="3598">
        <v>10713.823700000001</v>
      </c>
      <c r="D17" s="3599">
        <v>2.99</v>
      </c>
      <c r="E17" s="3600">
        <v>320.34332863000003</v>
      </c>
      <c r="F17" s="3601">
        <v>2414.7987588519454</v>
      </c>
      <c r="G17" s="3602">
        <v>2.8980000000000001</v>
      </c>
      <c r="H17" s="3599">
        <v>203257.28</v>
      </c>
      <c r="I17" s="3603">
        <v>4307.8022570222256</v>
      </c>
      <c r="J17" s="2775">
        <v>3.4333333333333336</v>
      </c>
      <c r="K17" s="3607">
        <v>147681.20000000001</v>
      </c>
      <c r="L17" s="3608" t="s">
        <v>2211</v>
      </c>
      <c r="M17" s="3609"/>
      <c r="N17" s="3609"/>
      <c r="O17" s="3609"/>
    </row>
    <row r="18" spans="1:19" s="2097" customFormat="1" ht="26.25" customHeight="1">
      <c r="A18" s="3588"/>
      <c r="B18" s="3597" t="s">
        <v>2858</v>
      </c>
      <c r="C18" s="3598">
        <v>22665.980900000002</v>
      </c>
      <c r="D18" s="3599">
        <v>2.99</v>
      </c>
      <c r="E18" s="3600">
        <v>677.7128289100001</v>
      </c>
      <c r="F18" s="3601"/>
      <c r="G18" s="3602">
        <v>2.8980000000000001</v>
      </c>
      <c r="H18" s="3599"/>
      <c r="I18" s="3603">
        <v>8497.1107935753171</v>
      </c>
      <c r="J18" s="2775">
        <v>3.4083333333333332</v>
      </c>
      <c r="K18" s="3609">
        <v>8497.11</v>
      </c>
      <c r="L18" s="2231">
        <v>11297.893397260224</v>
      </c>
      <c r="M18" s="2097" t="s">
        <v>1533</v>
      </c>
      <c r="N18" s="2231">
        <v>8167.4628929999999</v>
      </c>
      <c r="O18" s="2097" t="s">
        <v>641</v>
      </c>
      <c r="P18" s="2097">
        <v>2088.0126799999998</v>
      </c>
      <c r="Q18" s="2231">
        <v>10255.475573</v>
      </c>
    </row>
    <row r="19" spans="1:19" s="2097" customFormat="1" ht="33.75" customHeight="1">
      <c r="A19" s="3588" t="s">
        <v>207</v>
      </c>
      <c r="B19" s="3597" t="s">
        <v>730</v>
      </c>
      <c r="C19" s="3600"/>
      <c r="D19" s="3599"/>
      <c r="E19" s="3600"/>
      <c r="F19" s="3601"/>
      <c r="G19" s="2623"/>
      <c r="H19" s="3599"/>
      <c r="I19" s="3603"/>
      <c r="J19" s="2775">
        <v>3.4083333333333332</v>
      </c>
      <c r="K19" s="2097">
        <v>1611.4040979599999</v>
      </c>
      <c r="N19" s="2231">
        <v>9409.5499999999993</v>
      </c>
    </row>
    <row r="20" spans="1:19" s="2097" customFormat="1" ht="25.5" customHeight="1">
      <c r="A20" s="3588"/>
      <c r="B20" s="3597" t="s">
        <v>2947</v>
      </c>
      <c r="C20" s="3600">
        <v>12315.699274300001</v>
      </c>
      <c r="D20" s="3599">
        <v>2.99</v>
      </c>
      <c r="E20" s="3600">
        <v>368.23940830157005</v>
      </c>
      <c r="F20" s="3601">
        <v>2414.7987588519454</v>
      </c>
      <c r="G20" s="2623">
        <v>3.1634374467741706</v>
      </c>
      <c r="H20" s="3599">
        <v>203257.28</v>
      </c>
      <c r="I20" s="3603">
        <v>4747.1742114157814</v>
      </c>
      <c r="J20" s="2775"/>
      <c r="K20" s="2097">
        <v>329.95329000000004</v>
      </c>
      <c r="L20" s="2231">
        <v>20983.17</v>
      </c>
      <c r="N20" s="2231">
        <v>11573.619999999999</v>
      </c>
    </row>
    <row r="21" spans="1:19" s="2097" customFormat="1" ht="25.5" customHeight="1">
      <c r="A21" s="3588"/>
      <c r="B21" s="3597" t="s">
        <v>2948</v>
      </c>
      <c r="C21" s="3600">
        <v>12477.0351171</v>
      </c>
      <c r="D21" s="3599">
        <v>2.99</v>
      </c>
      <c r="E21" s="3600">
        <v>373.06335000129002</v>
      </c>
      <c r="F21" s="3601">
        <v>2487.2427216175038</v>
      </c>
      <c r="G21" s="2623">
        <v>3.1634320147309714</v>
      </c>
      <c r="H21" s="3599">
        <v>214416.13</v>
      </c>
      <c r="I21" s="3603">
        <v>4997.6442026932582</v>
      </c>
      <c r="J21" s="3610"/>
      <c r="K21" s="3611" t="s">
        <v>2485</v>
      </c>
      <c r="L21" s="3612">
        <v>1.075</v>
      </c>
      <c r="M21" s="3613" t="s">
        <v>2484</v>
      </c>
      <c r="N21" s="3613"/>
      <c r="O21" s="3613"/>
    </row>
    <row r="22" spans="1:19" s="2097" customFormat="1" ht="33.75" customHeight="1">
      <c r="A22" s="3588"/>
      <c r="B22" s="3597" t="s">
        <v>2949</v>
      </c>
      <c r="C22" s="3600">
        <v>24792.733391400001</v>
      </c>
      <c r="D22" s="3599">
        <v>2.99</v>
      </c>
      <c r="E22" s="3600">
        <v>741.30272840286011</v>
      </c>
      <c r="F22" s="3601"/>
      <c r="G22" s="2623">
        <v>3.1634320147309714</v>
      </c>
      <c r="H22" s="3599"/>
      <c r="I22" s="3603">
        <v>9744.8184141090387</v>
      </c>
      <c r="J22" s="3614"/>
      <c r="K22" s="3615" t="s">
        <v>2195</v>
      </c>
      <c r="L22" s="3616">
        <v>1.0549001246105429</v>
      </c>
      <c r="M22" s="3613">
        <v>9322.2000000000007</v>
      </c>
      <c r="N22" s="3613">
        <v>8604.3371826507064</v>
      </c>
      <c r="P22" s="2231">
        <v>10255.475573</v>
      </c>
      <c r="S22" s="2097">
        <v>7054.7877389127689</v>
      </c>
    </row>
    <row r="23" spans="1:19" ht="12.75" customHeight="1">
      <c r="A23" s="3617"/>
      <c r="N23" s="3613">
        <v>-422.61841410903799</v>
      </c>
    </row>
    <row r="24" spans="1:19">
      <c r="K24" s="3618">
        <v>687.32279028000005</v>
      </c>
    </row>
    <row r="25" spans="1:19">
      <c r="A25" s="3404" t="s">
        <v>1266</v>
      </c>
      <c r="B25" s="3404"/>
      <c r="C25" s="3405"/>
      <c r="D25" s="3407"/>
      <c r="E25" s="3407"/>
      <c r="F25" s="3407"/>
      <c r="G25" s="3407"/>
      <c r="H25" s="3619"/>
      <c r="I25" s="3407"/>
      <c r="K25" s="3581">
        <v>2.3444648144193643</v>
      </c>
      <c r="L25" s="2077" t="s">
        <v>2194</v>
      </c>
      <c r="M25" s="3620"/>
      <c r="N25" s="3620"/>
    </row>
    <row r="26" spans="1:19">
      <c r="A26" s="3404" t="s">
        <v>1304</v>
      </c>
      <c r="B26" s="3407"/>
      <c r="C26" s="3405"/>
      <c r="D26" s="3407"/>
      <c r="E26" s="3466"/>
      <c r="F26" s="3466"/>
      <c r="G26" s="3407"/>
      <c r="H26" s="3466" t="s">
        <v>2876</v>
      </c>
      <c r="I26" s="3407"/>
      <c r="L26" s="2077">
        <v>10652.16</v>
      </c>
      <c r="M26" s="3620"/>
      <c r="N26" s="3620"/>
    </row>
    <row r="27" spans="1:19">
      <c r="L27" s="3621"/>
      <c r="M27" s="3621"/>
      <c r="N27" s="3621"/>
    </row>
    <row r="29" spans="1:19" hidden="1">
      <c r="C29" s="3581">
        <v>12315.699274300001</v>
      </c>
      <c r="D29" s="3585">
        <v>3.1634374467741706</v>
      </c>
      <c r="I29" s="3581">
        <v>7967.8260660215437</v>
      </c>
      <c r="L29" s="3581" t="s">
        <v>2345</v>
      </c>
      <c r="N29" s="2097" t="s">
        <v>1533</v>
      </c>
    </row>
    <row r="30" spans="1:19" hidden="1">
      <c r="C30" s="3581">
        <v>12477.0351171</v>
      </c>
      <c r="D30" s="3585">
        <v>3.1634320147309714</v>
      </c>
      <c r="N30" s="3581">
        <v>29854.122900000002</v>
      </c>
    </row>
    <row r="31" spans="1:19" hidden="1">
      <c r="C31" s="3581">
        <v>24792.734391399998</v>
      </c>
      <c r="D31" s="3585">
        <v>3.1634009628142001</v>
      </c>
      <c r="I31" s="3622">
        <v>1776.992348087495</v>
      </c>
      <c r="N31" s="3581" t="s">
        <v>641</v>
      </c>
    </row>
    <row r="32" spans="1:19" hidden="1">
      <c r="N32" s="3581">
        <v>1588.8738816601056</v>
      </c>
    </row>
    <row r="33" spans="12:14" hidden="1">
      <c r="N33" s="3581" t="s">
        <v>871</v>
      </c>
    </row>
    <row r="34" spans="12:14" hidden="1">
      <c r="N34" s="3581">
        <v>31442.996781660109</v>
      </c>
    </row>
    <row r="35" spans="12:14" hidden="1">
      <c r="L35" s="3581" t="s">
        <v>2347</v>
      </c>
    </row>
    <row r="36" spans="12:14" hidden="1">
      <c r="N36" s="3581">
        <v>23537.699999999997</v>
      </c>
    </row>
    <row r="37" spans="12:14" hidden="1"/>
    <row r="38" spans="12:14">
      <c r="L38" s="3581" t="s">
        <v>2346</v>
      </c>
      <c r="N38" s="3581">
        <v>-7905.2967816601122</v>
      </c>
    </row>
  </sheetData>
  <mergeCells count="12">
    <mergeCell ref="A8:I8"/>
    <mergeCell ref="A9:I9"/>
    <mergeCell ref="A11:A13"/>
    <mergeCell ref="B11:F11"/>
    <mergeCell ref="G11:H11"/>
    <mergeCell ref="I11:I12"/>
    <mergeCell ref="B12:B13"/>
    <mergeCell ref="A3:I3"/>
    <mergeCell ref="A4:I4"/>
    <mergeCell ref="A5:I5"/>
    <mergeCell ref="A6:I6"/>
    <mergeCell ref="A7:I7"/>
  </mergeCells>
  <pageMargins left="0.98425196850393704" right="0" top="0.98425196850393704" bottom="0.98425196850393704" header="0.51181102362204722" footer="0.51181102362204722"/>
  <pageSetup paperSize="9" scale="80" orientation="landscape" r:id="rId1"/>
  <headerFooter alignWithMargins="0"/>
  <colBreaks count="1" manualBreakCount="1">
    <brk id="9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tabColor rgb="FF7030A0"/>
  </sheetPr>
  <dimension ref="A1:U105"/>
  <sheetViews>
    <sheetView workbookViewId="0">
      <pane ySplit="3" topLeftCell="A4" activePane="bottomLeft" state="frozenSplit"/>
      <selection activeCell="C28" sqref="C28"/>
      <selection pane="bottomLeft" activeCell="C28" sqref="C28"/>
    </sheetView>
  </sheetViews>
  <sheetFormatPr defaultColWidth="9.109375" defaultRowHeight="15.6"/>
  <cols>
    <col min="1" max="1" width="3.33203125" style="26" customWidth="1"/>
    <col min="2" max="2" width="34.88671875" style="26" customWidth="1"/>
    <col min="3" max="3" width="28.44140625" style="26" customWidth="1"/>
    <col min="4" max="4" width="13.5546875" style="26" customWidth="1"/>
    <col min="5" max="5" width="17" style="26" customWidth="1"/>
    <col min="6" max="6" width="17.33203125" style="26" customWidth="1"/>
    <col min="7" max="7" width="12.44140625" style="26" customWidth="1"/>
    <col min="8" max="8" width="16.88671875" style="26" customWidth="1"/>
    <col min="9" max="9" width="16.5546875" style="26" customWidth="1"/>
    <col min="10" max="10" width="19.109375" style="207" customWidth="1"/>
    <col min="11" max="11" width="15.44140625" style="26" customWidth="1"/>
    <col min="12" max="12" width="11.33203125" style="26" bestFit="1" customWidth="1"/>
    <col min="13" max="16384" width="9.109375" style="26"/>
  </cols>
  <sheetData>
    <row r="1" spans="1:11" ht="31.8">
      <c r="A1" s="608" t="s">
        <v>2514</v>
      </c>
      <c r="B1" s="89"/>
      <c r="C1" s="89"/>
      <c r="D1" s="89"/>
      <c r="E1" s="89"/>
      <c r="F1" s="89"/>
      <c r="G1" s="89"/>
      <c r="H1" s="89"/>
      <c r="I1" s="89"/>
      <c r="J1" s="609"/>
      <c r="K1" s="76"/>
    </row>
    <row r="2" spans="1:11" ht="18">
      <c r="A2" s="2055"/>
      <c r="B2" s="2683"/>
      <c r="C2" s="2683"/>
      <c r="D2" s="2683"/>
      <c r="E2" s="2683"/>
      <c r="F2" s="2683"/>
      <c r="G2" s="2683"/>
      <c r="H2" s="2683"/>
      <c r="I2" s="875" t="s">
        <v>1401</v>
      </c>
      <c r="J2" s="611"/>
      <c r="K2" s="76"/>
    </row>
    <row r="3" spans="1:11" ht="44.4">
      <c r="A3" s="82" t="s">
        <v>616</v>
      </c>
      <c r="B3" s="612" t="s">
        <v>1148</v>
      </c>
      <c r="C3" s="612" t="s">
        <v>2175</v>
      </c>
      <c r="D3" s="612" t="s">
        <v>1149</v>
      </c>
      <c r="E3" s="612" t="s">
        <v>1150</v>
      </c>
      <c r="F3" s="613" t="s">
        <v>1151</v>
      </c>
      <c r="G3" s="612" t="s">
        <v>1149</v>
      </c>
      <c r="H3" s="612" t="s">
        <v>638</v>
      </c>
      <c r="I3" s="613" t="s">
        <v>2168</v>
      </c>
      <c r="J3" s="614"/>
      <c r="K3" s="85"/>
    </row>
    <row r="4" spans="1:11">
      <c r="A4" s="1232" t="s">
        <v>2167</v>
      </c>
      <c r="B4" s="1233"/>
      <c r="C4" s="1233"/>
      <c r="D4" s="1233"/>
      <c r="E4" s="1233"/>
      <c r="F4" s="1233"/>
      <c r="G4" s="1233"/>
      <c r="H4" s="1233"/>
      <c r="I4" s="1234"/>
      <c r="J4" s="614"/>
      <c r="K4" s="85"/>
    </row>
    <row r="5" spans="1:11">
      <c r="A5" s="1229" t="s">
        <v>2513</v>
      </c>
      <c r="B5" s="1230"/>
      <c r="C5" s="1230"/>
      <c r="D5" s="1230"/>
      <c r="E5" s="1230"/>
      <c r="F5" s="1230"/>
      <c r="G5" s="1230"/>
      <c r="H5" s="1230"/>
      <c r="I5" s="1231"/>
      <c r="J5" s="614"/>
      <c r="K5" s="85"/>
    </row>
    <row r="6" spans="1:11" s="620" customFormat="1" ht="27" customHeight="1">
      <c r="A6" s="615" t="s">
        <v>200</v>
      </c>
      <c r="B6" s="617" t="s">
        <v>2173</v>
      </c>
      <c r="C6" s="617" t="s">
        <v>2176</v>
      </c>
      <c r="D6" s="2060">
        <v>41471</v>
      </c>
      <c r="E6" s="617" t="s">
        <v>2174</v>
      </c>
      <c r="F6" s="625">
        <v>70895.58</v>
      </c>
      <c r="G6" s="2060">
        <v>41499</v>
      </c>
      <c r="H6" s="617" t="s">
        <v>2188</v>
      </c>
      <c r="I6" s="625">
        <v>70895.58</v>
      </c>
      <c r="J6" s="628"/>
      <c r="K6" s="619"/>
    </row>
    <row r="7" spans="1:11" s="620" customFormat="1" ht="20.25" customHeight="1">
      <c r="A7" s="615" t="s">
        <v>207</v>
      </c>
      <c r="B7" s="617"/>
      <c r="C7" s="617" t="s">
        <v>2178</v>
      </c>
      <c r="D7" s="2060">
        <v>41523</v>
      </c>
      <c r="E7" s="617" t="s">
        <v>2177</v>
      </c>
      <c r="F7" s="625">
        <v>4705.4399999999996</v>
      </c>
      <c r="G7" s="2060">
        <v>41534</v>
      </c>
      <c r="H7" s="308" t="s">
        <v>2189</v>
      </c>
      <c r="I7" s="625">
        <v>4705.4399999999996</v>
      </c>
      <c r="J7" s="618"/>
      <c r="K7" s="619"/>
    </row>
    <row r="8" spans="1:11" s="620" customFormat="1" ht="20.25" customHeight="1">
      <c r="A8" s="623"/>
      <c r="B8" s="617"/>
      <c r="C8" s="617" t="s">
        <v>2205</v>
      </c>
      <c r="D8" s="2060">
        <v>41544</v>
      </c>
      <c r="E8" s="617" t="s">
        <v>2357</v>
      </c>
      <c r="F8" s="625">
        <v>171509.69</v>
      </c>
      <c r="G8" s="2060">
        <v>41523</v>
      </c>
      <c r="H8" s="308" t="s">
        <v>2204</v>
      </c>
      <c r="I8" s="625">
        <v>171509.69</v>
      </c>
      <c r="J8" s="618"/>
      <c r="K8" s="619"/>
    </row>
    <row r="9" spans="1:11" s="620" customFormat="1" ht="20.25" customHeight="1">
      <c r="A9" s="623"/>
      <c r="B9" s="617"/>
      <c r="C9" s="617" t="s">
        <v>2206</v>
      </c>
      <c r="D9" s="2060">
        <v>41506</v>
      </c>
      <c r="E9" s="617" t="s">
        <v>2360</v>
      </c>
      <c r="F9" s="625">
        <v>13336.24</v>
      </c>
      <c r="G9" s="2060">
        <v>41523</v>
      </c>
      <c r="H9" s="308" t="s">
        <v>2207</v>
      </c>
      <c r="I9" s="625">
        <v>171509.69</v>
      </c>
      <c r="J9" s="618"/>
      <c r="K9" s="619"/>
    </row>
    <row r="10" spans="1:11" s="620" customFormat="1" ht="20.25" customHeight="1">
      <c r="A10" s="623"/>
      <c r="B10" s="617"/>
      <c r="C10" s="617" t="s">
        <v>2180</v>
      </c>
      <c r="D10" s="2060">
        <v>41508</v>
      </c>
      <c r="E10" s="617" t="s">
        <v>2359</v>
      </c>
      <c r="F10" s="625">
        <v>505825.11</v>
      </c>
      <c r="G10" s="2060">
        <v>41523</v>
      </c>
      <c r="H10" s="308" t="s">
        <v>2202</v>
      </c>
      <c r="I10" s="625">
        <v>505825.11</v>
      </c>
      <c r="J10" s="618"/>
      <c r="K10" s="619"/>
    </row>
    <row r="11" spans="1:11" s="620" customFormat="1" ht="20.25" customHeight="1">
      <c r="A11" s="623"/>
      <c r="B11" s="617"/>
      <c r="C11" s="617" t="s">
        <v>2180</v>
      </c>
      <c r="D11" s="2060">
        <v>41544</v>
      </c>
      <c r="E11" s="617" t="s">
        <v>2358</v>
      </c>
      <c r="F11" s="625">
        <v>133894.6</v>
      </c>
      <c r="G11" s="2060">
        <v>41523</v>
      </c>
      <c r="H11" s="308" t="s">
        <v>2203</v>
      </c>
      <c r="I11" s="625">
        <v>133894.6</v>
      </c>
      <c r="J11" s="618"/>
      <c r="K11" s="619"/>
    </row>
    <row r="12" spans="1:11" s="620" customFormat="1" ht="20.25" customHeight="1">
      <c r="A12" s="623" t="s">
        <v>208</v>
      </c>
      <c r="B12" s="617"/>
      <c r="C12" s="617" t="s">
        <v>2180</v>
      </c>
      <c r="D12" s="2060">
        <v>41541</v>
      </c>
      <c r="E12" s="617" t="s">
        <v>2179</v>
      </c>
      <c r="F12" s="625">
        <v>16413.8</v>
      </c>
      <c r="G12" s="2060">
        <v>41563</v>
      </c>
      <c r="H12" s="308" t="s">
        <v>2190</v>
      </c>
      <c r="I12" s="625">
        <v>16413.8</v>
      </c>
      <c r="J12" s="628">
        <f>SUM(F7:F12)</f>
        <v>845684.88</v>
      </c>
      <c r="K12" s="619">
        <f>J12-I7</f>
        <v>840979.44000000006</v>
      </c>
    </row>
    <row r="13" spans="1:11" s="620" customFormat="1" ht="20.25" customHeight="1">
      <c r="A13" s="615" t="s">
        <v>210</v>
      </c>
      <c r="B13" s="617"/>
      <c r="C13" s="617" t="s">
        <v>2182</v>
      </c>
      <c r="D13" s="2060">
        <v>41621</v>
      </c>
      <c r="E13" s="617" t="s">
        <v>2181</v>
      </c>
      <c r="F13" s="625">
        <v>4958.83</v>
      </c>
      <c r="G13" s="2060">
        <v>41634</v>
      </c>
      <c r="H13" s="617" t="s">
        <v>2191</v>
      </c>
      <c r="I13" s="625">
        <v>4958.83</v>
      </c>
      <c r="J13" s="618"/>
      <c r="K13" s="619"/>
    </row>
    <row r="14" spans="1:11" s="620" customFormat="1" ht="20.25" customHeight="1">
      <c r="A14" s="623" t="s">
        <v>212</v>
      </c>
      <c r="B14" s="617" t="s">
        <v>1948</v>
      </c>
      <c r="C14" s="617" t="s">
        <v>2184</v>
      </c>
      <c r="D14" s="2060">
        <v>41389</v>
      </c>
      <c r="E14" s="617" t="s">
        <v>2183</v>
      </c>
      <c r="F14" s="625">
        <v>77541.789999999994</v>
      </c>
      <c r="G14" s="2060">
        <v>41367</v>
      </c>
      <c r="H14" s="617" t="s">
        <v>2187</v>
      </c>
      <c r="I14" s="625">
        <v>77541.789999999994</v>
      </c>
      <c r="J14" s="628"/>
      <c r="K14" s="619"/>
    </row>
    <row r="15" spans="1:11" s="620" customFormat="1" ht="27">
      <c r="A15" s="623" t="s">
        <v>215</v>
      </c>
      <c r="B15" s="617" t="s">
        <v>2185</v>
      </c>
      <c r="C15" s="617" t="s">
        <v>2176</v>
      </c>
      <c r="D15" s="2060">
        <v>41358</v>
      </c>
      <c r="E15" s="617" t="s">
        <v>2186</v>
      </c>
      <c r="F15" s="625">
        <v>17300.28</v>
      </c>
      <c r="G15" s="4092"/>
      <c r="H15" s="4087"/>
      <c r="I15" s="4089"/>
      <c r="K15" s="619"/>
    </row>
    <row r="16" spans="1:11" s="620" customFormat="1" ht="20.25" customHeight="1">
      <c r="A16" s="623" t="s">
        <v>218</v>
      </c>
      <c r="B16" s="617"/>
      <c r="C16" s="617"/>
      <c r="D16" s="2686"/>
      <c r="E16" s="617"/>
      <c r="F16" s="625"/>
      <c r="G16" s="4093"/>
      <c r="H16" s="4095"/>
      <c r="I16" s="4096"/>
      <c r="J16" s="628"/>
      <c r="K16" s="618"/>
    </row>
    <row r="17" spans="1:11" s="620" customFormat="1" ht="20.25" customHeight="1">
      <c r="A17" s="623" t="s">
        <v>226</v>
      </c>
      <c r="B17" s="617"/>
      <c r="C17" s="617"/>
      <c r="D17" s="2686"/>
      <c r="E17" s="617"/>
      <c r="F17" s="625"/>
      <c r="G17" s="4094"/>
      <c r="H17" s="4088"/>
      <c r="I17" s="4090"/>
      <c r="J17" s="628">
        <f>SUM(F15:F17)</f>
        <v>17300.28</v>
      </c>
      <c r="K17" s="619"/>
    </row>
    <row r="18" spans="1:11" s="620" customFormat="1" ht="20.25" hidden="1" customHeight="1">
      <c r="A18" s="623"/>
      <c r="B18" s="2685"/>
      <c r="C18" s="1236"/>
      <c r="D18" s="2683"/>
      <c r="E18" s="1236"/>
      <c r="F18" s="1237"/>
      <c r="G18" s="2683"/>
      <c r="H18" s="1236"/>
      <c r="I18" s="1237"/>
      <c r="J18" s="628"/>
      <c r="K18" s="619"/>
    </row>
    <row r="19" spans="1:11" s="620" customFormat="1" ht="20.25" hidden="1" customHeight="1">
      <c r="A19" s="623"/>
      <c r="B19" s="2685"/>
      <c r="C19" s="1236"/>
      <c r="D19" s="2683"/>
      <c r="E19" s="1236"/>
      <c r="F19" s="2683"/>
      <c r="G19" s="2683"/>
      <c r="H19" s="1236"/>
      <c r="I19" s="1237"/>
      <c r="J19" s="628"/>
      <c r="K19" s="628"/>
    </row>
    <row r="20" spans="1:11" s="620" customFormat="1" ht="20.25" hidden="1" customHeight="1">
      <c r="A20" s="615"/>
      <c r="B20" s="2685"/>
      <c r="C20" s="1236"/>
      <c r="D20" s="2683"/>
      <c r="E20" s="1236"/>
      <c r="F20" s="2683"/>
      <c r="G20" s="2683"/>
      <c r="H20" s="1236"/>
      <c r="I20" s="2683"/>
      <c r="J20" s="628"/>
      <c r="K20" s="619"/>
    </row>
    <row r="21" spans="1:11" s="620" customFormat="1" ht="19.5" hidden="1" customHeight="1">
      <c r="A21" s="615"/>
      <c r="B21" s="2685"/>
      <c r="C21" s="1236"/>
      <c r="D21" s="2683"/>
      <c r="E21" s="1236"/>
      <c r="F21" s="1237"/>
      <c r="G21" s="2683"/>
      <c r="H21" s="1236"/>
      <c r="I21" s="1237"/>
      <c r="J21" s="628"/>
      <c r="K21" s="619"/>
    </row>
    <row r="22" spans="1:11" s="620" customFormat="1" ht="19.5" hidden="1" customHeight="1">
      <c r="A22" s="615"/>
      <c r="B22" s="2685"/>
      <c r="C22" s="1236"/>
      <c r="D22" s="2683"/>
      <c r="E22" s="1236"/>
      <c r="F22" s="1237"/>
      <c r="G22" s="2683"/>
      <c r="H22" s="1236"/>
      <c r="I22" s="1237"/>
      <c r="J22" s="628"/>
      <c r="K22" s="619"/>
    </row>
    <row r="23" spans="1:11" s="620" customFormat="1" ht="19.5" hidden="1" customHeight="1">
      <c r="A23" s="615"/>
      <c r="B23" s="2685"/>
      <c r="C23" s="1236"/>
      <c r="D23" s="2683"/>
      <c r="E23" s="1236"/>
      <c r="F23" s="1237"/>
      <c r="G23" s="2683"/>
      <c r="H23" s="1236"/>
      <c r="I23" s="1237"/>
      <c r="J23" s="628"/>
      <c r="K23" s="619"/>
    </row>
    <row r="24" spans="1:11" s="620" customFormat="1" ht="19.5" hidden="1" customHeight="1">
      <c r="A24" s="615"/>
      <c r="B24" s="2685"/>
      <c r="C24" s="1236"/>
      <c r="D24" s="2683"/>
      <c r="E24" s="1236"/>
      <c r="F24" s="1237"/>
      <c r="G24" s="2683"/>
      <c r="H24" s="1236"/>
      <c r="I24" s="1237"/>
      <c r="J24" s="628"/>
      <c r="K24" s="619"/>
    </row>
    <row r="25" spans="1:11" s="620" customFormat="1" ht="19.5" hidden="1" customHeight="1">
      <c r="A25" s="615"/>
      <c r="B25" s="2685"/>
      <c r="C25" s="1236"/>
      <c r="D25" s="1235"/>
      <c r="E25" s="1236"/>
      <c r="F25" s="1237"/>
      <c r="G25" s="2683"/>
      <c r="H25" s="1236"/>
      <c r="I25" s="1237"/>
      <c r="J25" s="628"/>
      <c r="K25" s="619"/>
    </row>
    <row r="26" spans="1:11" s="620" customFormat="1" ht="19.5" hidden="1" customHeight="1">
      <c r="A26" s="615"/>
      <c r="B26" s="1003"/>
      <c r="C26" s="1236"/>
      <c r="D26" s="1235"/>
      <c r="E26" s="1236"/>
      <c r="F26" s="1237"/>
      <c r="G26" s="2683"/>
      <c r="H26" s="1236"/>
      <c r="I26" s="1237"/>
      <c r="J26" s="628"/>
      <c r="K26" s="619"/>
    </row>
    <row r="27" spans="1:11" s="620" customFormat="1" ht="19.5" hidden="1" customHeight="1">
      <c r="A27" s="615"/>
      <c r="B27" s="2684"/>
      <c r="C27" s="617"/>
      <c r="D27" s="1002"/>
      <c r="E27" s="617"/>
      <c r="F27" s="625"/>
      <c r="G27" s="2683"/>
      <c r="H27" s="617"/>
      <c r="I27" s="625"/>
      <c r="J27" s="628">
        <f>SUM(F23:F27)</f>
        <v>0</v>
      </c>
      <c r="K27" s="619"/>
    </row>
    <row r="28" spans="1:11" s="620" customFormat="1" ht="19.5" hidden="1" customHeight="1">
      <c r="A28" s="615"/>
      <c r="B28" s="2684"/>
      <c r="C28" s="617"/>
      <c r="D28" s="1002"/>
      <c r="E28" s="617"/>
      <c r="F28" s="625"/>
      <c r="G28" s="2683"/>
      <c r="H28" s="617"/>
      <c r="I28" s="625"/>
      <c r="J28" s="628">
        <f>SUM(F24:F28)</f>
        <v>0</v>
      </c>
      <c r="K28" s="619"/>
    </row>
    <row r="29" spans="1:11" s="620" customFormat="1" ht="19.5" hidden="1" customHeight="1">
      <c r="A29" s="615"/>
      <c r="B29" s="2684"/>
      <c r="C29" s="617"/>
      <c r="D29" s="1002"/>
      <c r="E29" s="617"/>
      <c r="F29" s="625"/>
      <c r="G29" s="2683"/>
      <c r="H29" s="617"/>
      <c r="I29" s="625"/>
      <c r="J29" s="628">
        <f>SUM(F25:F29)</f>
        <v>0</v>
      </c>
      <c r="K29" s="619"/>
    </row>
    <row r="30" spans="1:11">
      <c r="A30" s="622" t="s">
        <v>419</v>
      </c>
      <c r="B30" s="624"/>
      <c r="C30" s="621"/>
      <c r="D30" s="616"/>
      <c r="E30" s="621"/>
      <c r="F30" s="627">
        <f>SUM(F6:F29)</f>
        <v>1016381.3600000001</v>
      </c>
      <c r="G30" s="1790"/>
      <c r="H30" s="2687"/>
      <c r="I30" s="627">
        <f>SUM(I6:I29)</f>
        <v>1157254.5300000003</v>
      </c>
      <c r="J30" s="2683"/>
      <c r="K30" s="85"/>
    </row>
    <row r="31" spans="1:11" ht="36" hidden="1" customHeight="1">
      <c r="A31" s="1239" t="s">
        <v>1606</v>
      </c>
      <c r="B31" s="630"/>
      <c r="C31" s="632"/>
      <c r="D31" s="631"/>
      <c r="E31" s="632"/>
      <c r="F31" s="633"/>
      <c r="G31" s="80"/>
      <c r="H31" s="80"/>
      <c r="I31" s="633"/>
      <c r="J31" s="614"/>
      <c r="K31" s="85"/>
    </row>
    <row r="32" spans="1:11" s="172" customFormat="1">
      <c r="A32" s="551" t="s">
        <v>2169</v>
      </c>
      <c r="K32" s="1005"/>
    </row>
    <row r="33" spans="1:12" ht="18.75" hidden="1" customHeight="1">
      <c r="A33" s="551" t="s">
        <v>2193</v>
      </c>
      <c r="B33" s="630"/>
      <c r="C33" s="632"/>
      <c r="D33" s="631"/>
      <c r="E33" s="632"/>
      <c r="F33" s="633"/>
      <c r="G33" s="80"/>
      <c r="H33" s="80"/>
      <c r="I33" s="633"/>
      <c r="J33" s="614"/>
      <c r="K33" s="85"/>
    </row>
    <row r="34" spans="1:12" ht="18.75" hidden="1" customHeight="1">
      <c r="A34" s="551" t="s">
        <v>2170</v>
      </c>
      <c r="B34" s="630"/>
      <c r="C34" s="632"/>
      <c r="D34" s="631"/>
      <c r="E34" s="632"/>
      <c r="F34" s="633"/>
      <c r="G34" s="80"/>
      <c r="H34" s="80"/>
      <c r="I34" s="633"/>
      <c r="J34" s="614"/>
      <c r="K34" s="85"/>
    </row>
    <row r="35" spans="1:12" s="2054" customFormat="1" hidden="1">
      <c r="A35" s="2056" t="s">
        <v>2171</v>
      </c>
      <c r="K35" s="2057"/>
    </row>
    <row r="36" spans="1:12" s="2073" customFormat="1" ht="22.5" customHeight="1">
      <c r="A36" s="2072" t="s">
        <v>2208</v>
      </c>
      <c r="F36" s="2074">
        <f>$I$30/1000</f>
        <v>1157.2545300000002</v>
      </c>
      <c r="G36" s="2075" t="s">
        <v>1422</v>
      </c>
      <c r="K36" s="2076"/>
    </row>
    <row r="37" spans="1:12" s="2073" customFormat="1" ht="18">
      <c r="A37" s="2073" t="s">
        <v>2504</v>
      </c>
      <c r="J37" s="2077"/>
    </row>
    <row r="38" spans="1:12" s="2073" customFormat="1" ht="13.5" customHeight="1">
      <c r="C38" s="2010" t="s">
        <v>2505</v>
      </c>
      <c r="D38" s="2089">
        <f>$F$36*1.079</f>
        <v>1248.6776378700001</v>
      </c>
      <c r="E38" s="2075" t="s">
        <v>238</v>
      </c>
      <c r="J38" s="2077"/>
    </row>
    <row r="39" spans="1:12" s="172" customFormat="1">
      <c r="B39" s="1004"/>
      <c r="C39" s="186"/>
      <c r="D39" s="1238"/>
      <c r="E39" s="186"/>
      <c r="J39" s="250"/>
    </row>
    <row r="40" spans="1:12" ht="44.4" hidden="1">
      <c r="A40" s="82" t="s">
        <v>616</v>
      </c>
      <c r="B40" s="612" t="s">
        <v>1148</v>
      </c>
      <c r="C40" s="612" t="s">
        <v>1150</v>
      </c>
      <c r="D40" s="612" t="s">
        <v>1149</v>
      </c>
      <c r="E40" s="612" t="s">
        <v>1150</v>
      </c>
      <c r="F40" s="613" t="s">
        <v>1151</v>
      </c>
      <c r="G40" s="612" t="s">
        <v>1149</v>
      </c>
      <c r="H40" s="612" t="s">
        <v>638</v>
      </c>
      <c r="I40" s="613" t="s">
        <v>1152</v>
      </c>
      <c r="J40" s="614"/>
      <c r="K40" s="85"/>
    </row>
    <row r="41" spans="1:12" hidden="1">
      <c r="A41" s="1232" t="s">
        <v>1546</v>
      </c>
      <c r="B41" s="1233"/>
      <c r="C41" s="1233"/>
      <c r="D41" s="1233"/>
      <c r="E41" s="1233"/>
      <c r="F41" s="1233"/>
      <c r="G41" s="1233"/>
      <c r="H41" s="1233"/>
      <c r="I41" s="1234"/>
      <c r="J41" s="614"/>
      <c r="K41" s="85"/>
    </row>
    <row r="42" spans="1:12" hidden="1">
      <c r="A42" s="1229" t="s">
        <v>1402</v>
      </c>
      <c r="B42" s="1230"/>
      <c r="C42" s="1230"/>
      <c r="D42" s="1230"/>
      <c r="E42" s="1230"/>
      <c r="F42" s="1230"/>
      <c r="G42" s="1230"/>
      <c r="H42" s="1230"/>
      <c r="I42" s="1231"/>
      <c r="J42" s="614"/>
      <c r="K42" s="85"/>
    </row>
    <row r="43" spans="1:12" s="620" customFormat="1" ht="19.5" hidden="1" customHeight="1">
      <c r="A43" s="615" t="s">
        <v>200</v>
      </c>
      <c r="B43" s="4097" t="s">
        <v>1547</v>
      </c>
      <c r="C43" s="617" t="s">
        <v>1603</v>
      </c>
      <c r="D43" s="1002" t="s">
        <v>1548</v>
      </c>
      <c r="E43" s="617" t="s">
        <v>1603</v>
      </c>
      <c r="F43" s="625">
        <v>15642.8</v>
      </c>
      <c r="G43" s="1002" t="s">
        <v>1627</v>
      </c>
      <c r="H43" s="617">
        <v>68</v>
      </c>
      <c r="I43" s="625">
        <v>37678.5</v>
      </c>
      <c r="J43" s="628"/>
      <c r="K43" s="619"/>
    </row>
    <row r="44" spans="1:12" s="620" customFormat="1" ht="19.5" hidden="1" customHeight="1">
      <c r="A44" s="615" t="s">
        <v>207</v>
      </c>
      <c r="B44" s="4098"/>
      <c r="C44" s="617" t="s">
        <v>1551</v>
      </c>
      <c r="D44" s="1002" t="s">
        <v>1550</v>
      </c>
      <c r="E44" s="617" t="s">
        <v>1551</v>
      </c>
      <c r="F44" s="625">
        <v>20392.5</v>
      </c>
      <c r="G44" s="1002" t="s">
        <v>1628</v>
      </c>
      <c r="H44" s="617">
        <v>98</v>
      </c>
      <c r="I44" s="625">
        <v>3180</v>
      </c>
      <c r="J44" s="628"/>
      <c r="K44" s="628">
        <f>SUM(F43:F44)</f>
        <v>36035.300000000003</v>
      </c>
      <c r="L44" s="628">
        <f>SUM(I43:I44)</f>
        <v>40858.5</v>
      </c>
    </row>
    <row r="45" spans="1:12" s="620" customFormat="1" ht="20.25" hidden="1" customHeight="1">
      <c r="A45" s="623" t="s">
        <v>208</v>
      </c>
      <c r="B45" s="4099"/>
      <c r="C45" s="617" t="s">
        <v>1553</v>
      </c>
      <c r="D45" s="1002" t="s">
        <v>1552</v>
      </c>
      <c r="E45" s="617" t="s">
        <v>1553</v>
      </c>
      <c r="F45" s="625">
        <v>24197</v>
      </c>
      <c r="G45" s="1002" t="s">
        <v>1630</v>
      </c>
      <c r="H45" s="617">
        <v>119</v>
      </c>
      <c r="I45" s="625">
        <v>24197</v>
      </c>
      <c r="J45" s="618"/>
      <c r="K45" s="619"/>
    </row>
    <row r="46" spans="1:12" s="620" customFormat="1" ht="20.25" hidden="1" customHeight="1">
      <c r="A46" s="615" t="s">
        <v>210</v>
      </c>
      <c r="B46" s="4099"/>
      <c r="C46" s="617" t="s">
        <v>1555</v>
      </c>
      <c r="D46" s="1002" t="s">
        <v>1554</v>
      </c>
      <c r="E46" s="617" t="s">
        <v>1555</v>
      </c>
      <c r="F46" s="625">
        <v>6850</v>
      </c>
      <c r="G46" s="1002" t="s">
        <v>1632</v>
      </c>
      <c r="H46" s="617">
        <v>231</v>
      </c>
      <c r="I46" s="625">
        <v>6850</v>
      </c>
      <c r="J46" s="628"/>
      <c r="K46" s="619"/>
    </row>
    <row r="47" spans="1:12" s="620" customFormat="1" ht="20.25" hidden="1" customHeight="1">
      <c r="A47" s="623" t="s">
        <v>212</v>
      </c>
      <c r="B47" s="4099"/>
      <c r="C47" s="617" t="s">
        <v>1557</v>
      </c>
      <c r="D47" s="1002" t="s">
        <v>1556</v>
      </c>
      <c r="E47" s="617" t="s">
        <v>1557</v>
      </c>
      <c r="F47" s="625">
        <v>78415.88</v>
      </c>
      <c r="G47" s="4085" t="s">
        <v>1629</v>
      </c>
      <c r="H47" s="4087">
        <v>196</v>
      </c>
      <c r="I47" s="4089">
        <v>86085.88</v>
      </c>
      <c r="J47" s="618"/>
      <c r="K47" s="619"/>
    </row>
    <row r="48" spans="1:12" s="620" customFormat="1" ht="20.25" hidden="1" customHeight="1">
      <c r="A48" s="623" t="s">
        <v>215</v>
      </c>
      <c r="B48" s="4099"/>
      <c r="C48" s="617" t="s">
        <v>1558</v>
      </c>
      <c r="D48" s="1002" t="s">
        <v>1556</v>
      </c>
      <c r="E48" s="617" t="s">
        <v>1558</v>
      </c>
      <c r="F48" s="625">
        <v>7670</v>
      </c>
      <c r="G48" s="4086"/>
      <c r="H48" s="4088"/>
      <c r="I48" s="4090"/>
      <c r="J48" s="628"/>
      <c r="K48" s="628">
        <f>SUM(F47:F48)</f>
        <v>86085.88</v>
      </c>
      <c r="L48" s="628">
        <f>SUM(I47)</f>
        <v>86085.88</v>
      </c>
    </row>
    <row r="49" spans="1:12" s="620" customFormat="1" ht="20.25" hidden="1" customHeight="1">
      <c r="A49" s="623" t="s">
        <v>218</v>
      </c>
      <c r="B49" s="4099"/>
      <c r="C49" s="1236" t="s">
        <v>1560</v>
      </c>
      <c r="D49" s="1235" t="s">
        <v>1559</v>
      </c>
      <c r="E49" s="1236" t="s">
        <v>1560</v>
      </c>
      <c r="F49" s="1237">
        <v>1195</v>
      </c>
      <c r="G49" s="1002"/>
      <c r="H49" s="617"/>
      <c r="I49" s="625"/>
      <c r="K49" s="628">
        <f>SUM(F43:F48)</f>
        <v>153168.18</v>
      </c>
      <c r="L49" s="628">
        <f>SUM(I43:I49)</f>
        <v>157991.38</v>
      </c>
    </row>
    <row r="50" spans="1:12" s="620" customFormat="1" ht="20.25" hidden="1" customHeight="1">
      <c r="A50" s="623" t="s">
        <v>226</v>
      </c>
      <c r="B50" s="4099"/>
      <c r="C50" s="617" t="s">
        <v>1562</v>
      </c>
      <c r="D50" s="1002" t="s">
        <v>1561</v>
      </c>
      <c r="E50" s="617" t="s">
        <v>1562</v>
      </c>
      <c r="F50" s="625">
        <v>20725</v>
      </c>
      <c r="G50" s="1002" t="s">
        <v>1631</v>
      </c>
      <c r="H50" s="617">
        <v>242</v>
      </c>
      <c r="I50" s="625">
        <v>20725</v>
      </c>
      <c r="J50" s="628"/>
      <c r="K50" s="618"/>
    </row>
    <row r="51" spans="1:12" s="620" customFormat="1" ht="20.25" hidden="1" customHeight="1">
      <c r="A51" s="623" t="s">
        <v>551</v>
      </c>
      <c r="B51" s="4099"/>
      <c r="C51" s="617" t="s">
        <v>1564</v>
      </c>
      <c r="D51" s="1002" t="s">
        <v>1563</v>
      </c>
      <c r="E51" s="617" t="s">
        <v>1564</v>
      </c>
      <c r="F51" s="625">
        <v>12840</v>
      </c>
      <c r="G51" s="1002" t="s">
        <v>1634</v>
      </c>
      <c r="H51" s="617">
        <v>276</v>
      </c>
      <c r="I51" s="625">
        <v>3005</v>
      </c>
      <c r="J51" s="628"/>
      <c r="K51" s="628">
        <f>F49+F51</f>
        <v>14035</v>
      </c>
      <c r="L51" s="628"/>
    </row>
    <row r="52" spans="1:12" s="620" customFormat="1" ht="20.25" hidden="1" customHeight="1">
      <c r="A52" s="623" t="s">
        <v>552</v>
      </c>
      <c r="B52" s="4099"/>
      <c r="C52" s="617" t="s">
        <v>1566</v>
      </c>
      <c r="D52" s="1002" t="s">
        <v>1565</v>
      </c>
      <c r="E52" s="617" t="s">
        <v>1566</v>
      </c>
      <c r="F52" s="625">
        <v>4350</v>
      </c>
      <c r="G52" s="1002" t="s">
        <v>1633</v>
      </c>
      <c r="H52" s="617">
        <v>336</v>
      </c>
      <c r="I52" s="625">
        <v>13045</v>
      </c>
      <c r="J52" s="628"/>
      <c r="K52" s="628">
        <f>F51+F52</f>
        <v>17190</v>
      </c>
      <c r="L52" s="628">
        <f>I51+I52</f>
        <v>16050</v>
      </c>
    </row>
    <row r="53" spans="1:12" s="620" customFormat="1" ht="20.25" hidden="1" customHeight="1">
      <c r="A53" s="615" t="s">
        <v>550</v>
      </c>
      <c r="B53" s="4099"/>
      <c r="C53" s="617" t="s">
        <v>1567</v>
      </c>
      <c r="D53" s="1002" t="s">
        <v>1439</v>
      </c>
      <c r="E53" s="617" t="s">
        <v>1567</v>
      </c>
      <c r="F53" s="625">
        <v>37232</v>
      </c>
      <c r="G53" s="1002" t="s">
        <v>1636</v>
      </c>
      <c r="H53" s="617">
        <v>345</v>
      </c>
      <c r="I53" s="625">
        <v>990</v>
      </c>
      <c r="J53" s="628"/>
      <c r="K53" s="628"/>
    </row>
    <row r="54" spans="1:12" s="620" customFormat="1" ht="20.25" hidden="1" customHeight="1">
      <c r="A54" s="615" t="s">
        <v>553</v>
      </c>
      <c r="B54" s="4099"/>
      <c r="C54" s="617" t="s">
        <v>1568</v>
      </c>
      <c r="D54" s="1002" t="s">
        <v>1439</v>
      </c>
      <c r="E54" s="617" t="s">
        <v>1568</v>
      </c>
      <c r="F54" s="625">
        <v>7716</v>
      </c>
      <c r="G54" s="1002" t="s">
        <v>1635</v>
      </c>
      <c r="H54" s="617">
        <v>394</v>
      </c>
      <c r="I54" s="625">
        <v>42545</v>
      </c>
      <c r="J54" s="628"/>
      <c r="K54" s="628">
        <f>F53+F54</f>
        <v>44948</v>
      </c>
      <c r="L54" s="628">
        <f>I54</f>
        <v>42545</v>
      </c>
    </row>
    <row r="55" spans="1:12" s="620" customFormat="1" ht="19.5" hidden="1" customHeight="1">
      <c r="A55" s="615" t="s">
        <v>778</v>
      </c>
      <c r="B55" s="4100"/>
      <c r="C55" s="617" t="s">
        <v>1570</v>
      </c>
      <c r="D55" s="1002" t="s">
        <v>1569</v>
      </c>
      <c r="E55" s="617" t="s">
        <v>1570</v>
      </c>
      <c r="F55" s="625">
        <v>16914</v>
      </c>
      <c r="G55" s="1002" t="s">
        <v>1637</v>
      </c>
      <c r="H55" s="617">
        <v>496</v>
      </c>
      <c r="I55" s="625">
        <v>41582</v>
      </c>
      <c r="J55" s="628"/>
      <c r="K55" s="619"/>
    </row>
    <row r="56" spans="1:12" s="620" customFormat="1" ht="19.5" hidden="1" customHeight="1">
      <c r="A56" s="615" t="s">
        <v>418</v>
      </c>
      <c r="B56" s="4083" t="s">
        <v>1571</v>
      </c>
      <c r="C56" s="617" t="s">
        <v>1572</v>
      </c>
      <c r="D56" s="1002" t="s">
        <v>1569</v>
      </c>
      <c r="E56" s="617" t="s">
        <v>1572</v>
      </c>
      <c r="F56" s="625">
        <v>1213.49</v>
      </c>
      <c r="G56" s="4085" t="s">
        <v>1639</v>
      </c>
      <c r="H56" s="4087">
        <v>520</v>
      </c>
      <c r="I56" s="4089">
        <v>2815</v>
      </c>
      <c r="J56" s="628"/>
      <c r="K56" s="628">
        <f>F56+F57</f>
        <v>2333.0500000000002</v>
      </c>
      <c r="L56" s="628">
        <f>I56</f>
        <v>2815</v>
      </c>
    </row>
    <row r="57" spans="1:12" s="620" customFormat="1" ht="19.5" hidden="1" customHeight="1">
      <c r="A57" s="615" t="s">
        <v>555</v>
      </c>
      <c r="B57" s="4084"/>
      <c r="C57" s="617" t="s">
        <v>1572</v>
      </c>
      <c r="D57" s="1002" t="s">
        <v>1569</v>
      </c>
      <c r="E57" s="617" t="s">
        <v>1572</v>
      </c>
      <c r="F57" s="625">
        <v>1119.56</v>
      </c>
      <c r="G57" s="4086"/>
      <c r="H57" s="4088"/>
      <c r="I57" s="4090"/>
      <c r="J57" s="628"/>
      <c r="K57" s="619"/>
    </row>
    <row r="58" spans="1:12" s="620" customFormat="1" ht="19.5" hidden="1" customHeight="1">
      <c r="A58" s="615" t="s">
        <v>1578</v>
      </c>
      <c r="B58" s="4083" t="s">
        <v>1547</v>
      </c>
      <c r="C58" s="617" t="s">
        <v>1573</v>
      </c>
      <c r="D58" s="1002" t="s">
        <v>1447</v>
      </c>
      <c r="E58" s="617" t="s">
        <v>1573</v>
      </c>
      <c r="F58" s="625">
        <v>9400</v>
      </c>
      <c r="G58" s="1002" t="s">
        <v>1638</v>
      </c>
      <c r="H58" s="617">
        <v>534</v>
      </c>
      <c r="I58" s="625">
        <v>15924</v>
      </c>
      <c r="J58" s="628"/>
      <c r="K58" s="619"/>
    </row>
    <row r="59" spans="1:12" s="620" customFormat="1" ht="19.5" hidden="1" customHeight="1">
      <c r="A59" s="615" t="s">
        <v>1579</v>
      </c>
      <c r="B59" s="4091"/>
      <c r="C59" s="617" t="s">
        <v>1575</v>
      </c>
      <c r="D59" s="1002" t="s">
        <v>1574</v>
      </c>
      <c r="E59" s="617" t="s">
        <v>1575</v>
      </c>
      <c r="F59" s="625">
        <v>3485</v>
      </c>
      <c r="G59" s="1002" t="s">
        <v>1640</v>
      </c>
      <c r="H59" s="617">
        <v>544</v>
      </c>
      <c r="I59" s="625">
        <v>990</v>
      </c>
      <c r="J59" s="628"/>
      <c r="K59" s="619"/>
    </row>
    <row r="60" spans="1:12" s="620" customFormat="1" ht="19.5" hidden="1" customHeight="1">
      <c r="A60" s="615" t="s">
        <v>1580</v>
      </c>
      <c r="B60" s="4091"/>
      <c r="C60" s="617" t="s">
        <v>1575</v>
      </c>
      <c r="D60" s="1002" t="s">
        <v>1574</v>
      </c>
      <c r="E60" s="617" t="s">
        <v>1575</v>
      </c>
      <c r="F60" s="625">
        <v>4550</v>
      </c>
      <c r="G60" s="1002" t="s">
        <v>1641</v>
      </c>
      <c r="H60" s="617">
        <v>722</v>
      </c>
      <c r="I60" s="625">
        <v>5626</v>
      </c>
      <c r="J60" s="628"/>
    </row>
    <row r="61" spans="1:12" s="620" customFormat="1" ht="19.5" hidden="1" customHeight="1">
      <c r="A61" s="615" t="s">
        <v>1581</v>
      </c>
      <c r="B61" s="4084"/>
      <c r="C61" s="617" t="s">
        <v>1577</v>
      </c>
      <c r="D61" s="1002" t="s">
        <v>1576</v>
      </c>
      <c r="E61" s="617" t="s">
        <v>1577</v>
      </c>
      <c r="F61" s="625">
        <v>7735</v>
      </c>
      <c r="G61" s="1002" t="s">
        <v>1467</v>
      </c>
      <c r="H61" s="617">
        <v>860</v>
      </c>
      <c r="I61" s="625">
        <v>38620</v>
      </c>
      <c r="J61" s="628"/>
      <c r="K61" s="628">
        <f>SUM(F58:F61)</f>
        <v>25170</v>
      </c>
      <c r="L61" s="628">
        <f>SUM(I58:I61)</f>
        <v>61160</v>
      </c>
    </row>
    <row r="62" spans="1:12" s="620" customFormat="1" ht="19.5" hidden="1" customHeight="1">
      <c r="A62" s="615" t="s">
        <v>1582</v>
      </c>
      <c r="B62" s="1003" t="s">
        <v>1571</v>
      </c>
      <c r="C62" s="617" t="s">
        <v>1590</v>
      </c>
      <c r="D62" s="1002" t="s">
        <v>1589</v>
      </c>
      <c r="E62" s="617" t="s">
        <v>1590</v>
      </c>
      <c r="F62" s="625">
        <v>35413.81</v>
      </c>
      <c r="G62" s="1002" t="s">
        <v>1642</v>
      </c>
      <c r="H62" s="617">
        <v>803</v>
      </c>
      <c r="I62" s="625">
        <v>35414</v>
      </c>
      <c r="J62" s="628"/>
      <c r="K62" s="619"/>
    </row>
    <row r="63" spans="1:12" s="620" customFormat="1" ht="19.5" hidden="1" customHeight="1">
      <c r="A63" s="615" t="s">
        <v>1583</v>
      </c>
      <c r="B63" s="1003" t="s">
        <v>1547</v>
      </c>
      <c r="C63" s="1236" t="s">
        <v>1592</v>
      </c>
      <c r="D63" s="1235" t="s">
        <v>1591</v>
      </c>
      <c r="E63" s="1236" t="s">
        <v>1592</v>
      </c>
      <c r="F63" s="1237">
        <v>24225</v>
      </c>
      <c r="G63" s="1002" t="s">
        <v>1643</v>
      </c>
      <c r="H63" s="617">
        <v>929</v>
      </c>
      <c r="I63" s="625">
        <v>24225</v>
      </c>
      <c r="J63" s="628"/>
      <c r="K63" s="619"/>
    </row>
    <row r="64" spans="1:12" s="620" customFormat="1" ht="19.5" hidden="1" customHeight="1">
      <c r="A64" s="615" t="s">
        <v>1584</v>
      </c>
      <c r="B64" s="1003"/>
      <c r="C64" s="617" t="s">
        <v>1596</v>
      </c>
      <c r="D64" s="1002" t="s">
        <v>1595</v>
      </c>
      <c r="E64" s="617" t="s">
        <v>1596</v>
      </c>
      <c r="F64" s="625">
        <v>47687</v>
      </c>
      <c r="G64" s="1002" t="s">
        <v>1644</v>
      </c>
      <c r="H64" s="617">
        <v>947</v>
      </c>
      <c r="I64" s="625">
        <v>47687</v>
      </c>
      <c r="J64" s="628"/>
      <c r="K64" s="619"/>
    </row>
    <row r="65" spans="1:11" s="620" customFormat="1" ht="19.5" hidden="1" customHeight="1">
      <c r="A65" s="615" t="s">
        <v>1585</v>
      </c>
      <c r="B65" s="1003"/>
      <c r="C65" s="617" t="s">
        <v>1594</v>
      </c>
      <c r="D65" s="1002" t="s">
        <v>1593</v>
      </c>
      <c r="E65" s="617" t="s">
        <v>1594</v>
      </c>
      <c r="F65" s="625">
        <v>5740</v>
      </c>
      <c r="G65" s="1002" t="s">
        <v>1645</v>
      </c>
      <c r="H65" s="617">
        <v>994</v>
      </c>
      <c r="I65" s="625">
        <v>13340</v>
      </c>
      <c r="J65" s="628"/>
      <c r="K65" s="619"/>
    </row>
    <row r="66" spans="1:11" s="620" customFormat="1" ht="19.5" hidden="1" customHeight="1">
      <c r="A66" s="615" t="s">
        <v>1586</v>
      </c>
      <c r="B66" s="1003"/>
      <c r="C66" s="617" t="s">
        <v>1597</v>
      </c>
      <c r="D66" s="1002" t="s">
        <v>1599</v>
      </c>
      <c r="E66" s="617" t="s">
        <v>1597</v>
      </c>
      <c r="F66" s="625">
        <v>5500</v>
      </c>
      <c r="G66" s="1002"/>
      <c r="H66" s="617"/>
      <c r="I66" s="625"/>
      <c r="J66" s="628"/>
      <c r="K66" s="628">
        <f>SUM(F65:F66)</f>
        <v>11240</v>
      </c>
    </row>
    <row r="67" spans="1:11" s="620" customFormat="1" ht="19.5" hidden="1" customHeight="1">
      <c r="A67" s="615" t="s">
        <v>1587</v>
      </c>
      <c r="B67" s="1003"/>
      <c r="C67" s="617" t="s">
        <v>1600</v>
      </c>
      <c r="D67" s="1002" t="s">
        <v>1598</v>
      </c>
      <c r="E67" s="617" t="s">
        <v>1600</v>
      </c>
      <c r="F67" s="625">
        <v>7600</v>
      </c>
      <c r="G67" s="1002"/>
      <c r="H67" s="617"/>
      <c r="I67" s="625"/>
      <c r="J67" s="628"/>
      <c r="K67" s="619"/>
    </row>
    <row r="68" spans="1:11" s="620" customFormat="1" ht="19.5" hidden="1" customHeight="1">
      <c r="A68" s="615" t="s">
        <v>1588</v>
      </c>
      <c r="B68" s="1003"/>
      <c r="C68" s="617" t="s">
        <v>1601</v>
      </c>
      <c r="D68" s="1002" t="s">
        <v>1598</v>
      </c>
      <c r="E68" s="617" t="s">
        <v>1601</v>
      </c>
      <c r="F68" s="625">
        <v>3250</v>
      </c>
      <c r="G68" s="1002" t="s">
        <v>1646</v>
      </c>
      <c r="H68" s="617">
        <v>1026</v>
      </c>
      <c r="I68" s="625">
        <v>3250</v>
      </c>
      <c r="J68" s="628"/>
      <c r="K68" s="619"/>
    </row>
    <row r="69" spans="1:11" s="620" customFormat="1" ht="21" hidden="1" customHeight="1">
      <c r="A69" s="615" t="s">
        <v>1604</v>
      </c>
      <c r="B69" s="1003"/>
      <c r="C69" s="617" t="s">
        <v>1605</v>
      </c>
      <c r="D69" s="1002" t="s">
        <v>1602</v>
      </c>
      <c r="E69" s="617" t="s">
        <v>1605</v>
      </c>
      <c r="F69" s="625">
        <v>21291</v>
      </c>
      <c r="G69" s="1002"/>
      <c r="H69" s="617"/>
      <c r="I69" s="625"/>
      <c r="J69" s="628"/>
      <c r="K69" s="619"/>
    </row>
    <row r="70" spans="1:11" s="620" customFormat="1" ht="19.5" hidden="1" customHeight="1">
      <c r="A70" s="615"/>
      <c r="B70" s="2684"/>
      <c r="C70" s="617"/>
      <c r="D70" s="1002"/>
      <c r="E70" s="617"/>
      <c r="F70" s="625"/>
      <c r="G70" s="1002"/>
      <c r="H70" s="617"/>
      <c r="I70" s="625"/>
      <c r="J70" s="628"/>
      <c r="K70" s="619"/>
    </row>
    <row r="71" spans="1:11" s="620" customFormat="1" ht="19.5" hidden="1" customHeight="1">
      <c r="A71" s="615"/>
      <c r="B71" s="2684"/>
      <c r="C71" s="617"/>
      <c r="D71" s="1002"/>
      <c r="E71" s="617"/>
      <c r="F71" s="625"/>
      <c r="G71" s="1002"/>
      <c r="H71" s="617"/>
      <c r="I71" s="625"/>
      <c r="J71" s="628"/>
      <c r="K71" s="619"/>
    </row>
    <row r="72" spans="1:11" s="620" customFormat="1" ht="19.5" hidden="1" customHeight="1">
      <c r="A72" s="615"/>
      <c r="B72" s="2684"/>
      <c r="C72" s="617"/>
      <c r="D72" s="1002"/>
      <c r="E72" s="617"/>
      <c r="F72" s="625"/>
      <c r="G72" s="1002"/>
      <c r="H72" s="617"/>
      <c r="I72" s="625"/>
      <c r="J72" s="628"/>
      <c r="K72" s="619"/>
    </row>
    <row r="73" spans="1:11" s="620" customFormat="1" ht="19.5" hidden="1" customHeight="1">
      <c r="A73" s="615"/>
      <c r="B73" s="2684"/>
      <c r="C73" s="617"/>
      <c r="D73" s="1002"/>
      <c r="E73" s="617"/>
      <c r="F73" s="625"/>
      <c r="G73" s="1002"/>
      <c r="H73" s="617"/>
      <c r="I73" s="625"/>
      <c r="J73" s="628"/>
      <c r="K73" s="619"/>
    </row>
    <row r="74" spans="1:11" s="620" customFormat="1" ht="19.5" hidden="1" customHeight="1">
      <c r="A74" s="615"/>
      <c r="B74" s="2684"/>
      <c r="C74" s="617"/>
      <c r="D74" s="1002"/>
      <c r="E74" s="617"/>
      <c r="F74" s="625"/>
      <c r="G74" s="1002"/>
      <c r="H74" s="617"/>
      <c r="I74" s="625"/>
      <c r="J74" s="628"/>
      <c r="K74" s="619"/>
    </row>
    <row r="75" spans="1:11" s="620" customFormat="1" ht="19.5" hidden="1" customHeight="1">
      <c r="A75" s="615"/>
      <c r="B75" s="2684"/>
      <c r="C75" s="617"/>
      <c r="D75" s="1002"/>
      <c r="E75" s="617"/>
      <c r="F75" s="625"/>
      <c r="G75" s="1002"/>
      <c r="H75" s="617"/>
      <c r="I75" s="625"/>
      <c r="J75" s="628"/>
      <c r="K75" s="619"/>
    </row>
    <row r="76" spans="1:11" s="620" customFormat="1" ht="19.5" hidden="1" customHeight="1">
      <c r="A76" s="615"/>
      <c r="B76" s="2684"/>
      <c r="C76" s="617"/>
      <c r="D76" s="1002"/>
      <c r="E76" s="617"/>
      <c r="F76" s="625"/>
      <c r="G76" s="1002"/>
      <c r="H76" s="617"/>
      <c r="I76" s="625"/>
      <c r="J76" s="628"/>
      <c r="K76" s="619"/>
    </row>
    <row r="77" spans="1:11" s="620" customFormat="1" ht="19.5" hidden="1" customHeight="1">
      <c r="A77" s="615"/>
      <c r="B77" s="2684"/>
      <c r="C77" s="617"/>
      <c r="D77" s="1002"/>
      <c r="E77" s="617"/>
      <c r="F77" s="625"/>
      <c r="G77" s="1002"/>
      <c r="H77" s="617"/>
      <c r="I77" s="625"/>
      <c r="J77" s="628"/>
      <c r="K77" s="619"/>
    </row>
    <row r="78" spans="1:11" s="620" customFormat="1" ht="19.5" hidden="1" customHeight="1">
      <c r="A78" s="615"/>
      <c r="B78" s="2684"/>
      <c r="C78" s="617"/>
      <c r="D78" s="1002"/>
      <c r="E78" s="617"/>
      <c r="F78" s="625"/>
      <c r="G78" s="1002"/>
      <c r="H78" s="617"/>
      <c r="I78" s="625"/>
      <c r="J78" s="628"/>
      <c r="K78" s="619"/>
    </row>
    <row r="79" spans="1:11" s="620" customFormat="1" ht="19.5" hidden="1" customHeight="1">
      <c r="A79" s="615"/>
      <c r="B79" s="2684"/>
      <c r="C79" s="617"/>
      <c r="D79" s="1002"/>
      <c r="E79" s="617"/>
      <c r="F79" s="625"/>
      <c r="G79" s="1002"/>
      <c r="H79" s="617"/>
      <c r="I79" s="625"/>
      <c r="J79" s="628"/>
      <c r="K79" s="619"/>
    </row>
    <row r="80" spans="1:11" s="620" customFormat="1" ht="19.5" hidden="1" customHeight="1">
      <c r="A80" s="615"/>
      <c r="B80" s="2684"/>
      <c r="C80" s="617"/>
      <c r="D80" s="1002"/>
      <c r="E80" s="617"/>
      <c r="F80" s="625"/>
      <c r="G80" s="1002"/>
      <c r="H80" s="617"/>
      <c r="I80" s="625"/>
      <c r="J80" s="628"/>
      <c r="K80" s="619"/>
    </row>
    <row r="81" spans="1:21" s="620" customFormat="1" ht="19.5" hidden="1" customHeight="1">
      <c r="A81" s="615"/>
      <c r="B81" s="2684"/>
      <c r="C81" s="617"/>
      <c r="D81" s="1002"/>
      <c r="E81" s="617"/>
      <c r="F81" s="625"/>
      <c r="G81" s="1002"/>
      <c r="H81" s="617"/>
      <c r="I81" s="625"/>
      <c r="J81" s="628"/>
      <c r="K81" s="619"/>
    </row>
    <row r="82" spans="1:21" hidden="1">
      <c r="A82" s="622" t="s">
        <v>419</v>
      </c>
      <c r="B82" s="624"/>
      <c r="C82" s="621"/>
      <c r="D82" s="616"/>
      <c r="E82" s="621"/>
      <c r="F82" s="627">
        <f>SUM(F43:F81)</f>
        <v>432350.04</v>
      </c>
      <c r="G82" s="629"/>
      <c r="H82" s="629"/>
      <c r="I82" s="627">
        <f>SUM(I43:I81)</f>
        <v>467774.38</v>
      </c>
      <c r="J82" s="614"/>
      <c r="K82" s="85"/>
    </row>
    <row r="83" spans="1:21" ht="36" hidden="1" customHeight="1">
      <c r="A83" s="1239" t="s">
        <v>1607</v>
      </c>
      <c r="B83" s="630"/>
      <c r="C83" s="632"/>
      <c r="D83" s="631"/>
      <c r="E83" s="632"/>
      <c r="F83" s="633"/>
      <c r="G83" s="80"/>
      <c r="H83" s="80"/>
      <c r="I83" s="633"/>
      <c r="J83" s="614"/>
      <c r="K83" s="85"/>
    </row>
    <row r="84" spans="1:21" s="172" customFormat="1" hidden="1">
      <c r="A84" s="551" t="s">
        <v>1979</v>
      </c>
      <c r="K84" s="1005">
        <f>I30/1.18/9*12/1000</f>
        <v>1307.6322372881359</v>
      </c>
    </row>
    <row r="85" spans="1:21" hidden="1">
      <c r="A85" s="80" t="s">
        <v>1981</v>
      </c>
      <c r="B85" s="80"/>
      <c r="C85" s="38"/>
      <c r="D85" s="80"/>
      <c r="E85" s="38"/>
      <c r="F85" s="869"/>
      <c r="G85" s="869"/>
      <c r="H85" s="869"/>
      <c r="I85" s="869"/>
      <c r="J85" s="869"/>
      <c r="K85" s="870"/>
      <c r="L85" s="869"/>
      <c r="M85" s="869"/>
      <c r="N85" s="869"/>
      <c r="O85" s="869"/>
      <c r="T85" s="145"/>
      <c r="U85" s="635"/>
    </row>
    <row r="86" spans="1:21" hidden="1">
      <c r="A86" s="80"/>
      <c r="B86" s="1241" t="s">
        <v>1608</v>
      </c>
      <c r="C86" s="328" t="s">
        <v>1429</v>
      </c>
      <c r="E86" s="328" t="s">
        <v>1429</v>
      </c>
      <c r="F86" s="949" t="s">
        <v>1302</v>
      </c>
      <c r="G86" s="80"/>
      <c r="H86" s="80"/>
      <c r="I86" s="38"/>
      <c r="J86" s="26"/>
      <c r="K86" s="870"/>
      <c r="L86" s="869"/>
      <c r="M86" s="38"/>
      <c r="N86" s="869"/>
      <c r="O86" s="869"/>
      <c r="Q86" s="145"/>
      <c r="T86" s="146"/>
      <c r="U86" s="635"/>
    </row>
    <row r="87" spans="1:21" hidden="1">
      <c r="C87" s="26">
        <v>404.79700000000003</v>
      </c>
      <c r="D87" s="99" t="s">
        <v>1978</v>
      </c>
      <c r="E87" s="26">
        <v>404.79700000000003</v>
      </c>
      <c r="F87" s="1007">
        <f>C87/$C$92*100</f>
        <v>17.307915137568589</v>
      </c>
      <c r="G87" s="99"/>
      <c r="J87" s="26"/>
      <c r="K87" s="276">
        <f>'П1.30 - 07.06.11г.'!C76</f>
        <v>6486.5829999999987</v>
      </c>
      <c r="L87" s="10"/>
      <c r="M87" s="10"/>
      <c r="N87" s="10"/>
      <c r="O87" s="10"/>
      <c r="T87" s="947" t="e">
        <f>C90/$C$28*100</f>
        <v>#DIV/0!</v>
      </c>
      <c r="U87" s="635"/>
    </row>
    <row r="88" spans="1:21" hidden="1">
      <c r="B88" s="106"/>
      <c r="C88" s="106"/>
      <c r="D88" s="106" t="s">
        <v>1611</v>
      </c>
      <c r="E88" s="106"/>
      <c r="G88" s="99"/>
      <c r="J88" s="26"/>
      <c r="K88" s="276"/>
      <c r="L88" s="10"/>
      <c r="M88" s="10"/>
      <c r="N88" s="10"/>
      <c r="O88" s="10"/>
      <c r="T88" s="947"/>
      <c r="U88" s="635"/>
    </row>
    <row r="89" spans="1:21" hidden="1">
      <c r="B89" s="106"/>
      <c r="C89" s="106">
        <f>'П1.30 - 07.06.11г.'!$C$28</f>
        <v>531.55799999999999</v>
      </c>
      <c r="D89" s="655" t="s">
        <v>1609</v>
      </c>
      <c r="E89" s="106">
        <f>'П1.30 - 07.06.11г.'!$C$28</f>
        <v>531.55799999999999</v>
      </c>
      <c r="G89" s="99"/>
      <c r="J89" s="26"/>
      <c r="K89" s="276"/>
      <c r="L89" s="10"/>
      <c r="M89" s="10"/>
      <c r="N89" s="10"/>
      <c r="O89" s="10"/>
      <c r="T89" s="947"/>
      <c r="U89" s="635"/>
    </row>
    <row r="90" spans="1:21" hidden="1">
      <c r="B90" s="655"/>
      <c r="C90" s="948">
        <f>16.5+40</f>
        <v>56.5</v>
      </c>
      <c r="D90" s="655" t="s">
        <v>1612</v>
      </c>
      <c r="E90" s="948">
        <f>16.5+40</f>
        <v>56.5</v>
      </c>
      <c r="G90" s="99"/>
      <c r="J90" s="26"/>
      <c r="K90" s="276"/>
      <c r="L90" s="10"/>
      <c r="M90" s="10"/>
      <c r="N90" s="10"/>
      <c r="O90" s="10"/>
      <c r="T90" s="947"/>
      <c r="U90" s="635"/>
    </row>
    <row r="91" spans="1:21" hidden="1">
      <c r="B91" s="99" t="s">
        <v>1431</v>
      </c>
      <c r="C91" s="715">
        <f>'[10]стр-ра пол.отп. 2014г.'!$D$23+'[10]стр-ра пол.отп. 2014г.'!$E$23+'[10]стр-ра пол.отп. 2014г.'!$F$23</f>
        <v>1934</v>
      </c>
      <c r="E91" s="715">
        <f>'[10]стр-ра пол.отп. 2014г.'!$D$23+'[10]стр-ра пол.отп. 2014г.'!$E$23+'[10]стр-ра пол.отп. 2014г.'!$F$23</f>
        <v>1934</v>
      </c>
      <c r="F91" s="1007">
        <f>C91/$C$92*100</f>
        <v>82.692084862431415</v>
      </c>
      <c r="J91" s="26">
        <f>825+807</f>
        <v>1632</v>
      </c>
      <c r="K91" s="276">
        <f>'2012 Баланс  '!C69</f>
        <v>0</v>
      </c>
      <c r="L91" s="10"/>
      <c r="M91" s="10"/>
      <c r="N91" s="10"/>
      <c r="O91" s="10"/>
      <c r="T91" s="947" t="e">
        <f>C91/$C$28*100</f>
        <v>#DIV/0!</v>
      </c>
      <c r="U91" s="635"/>
    </row>
    <row r="92" spans="1:21" hidden="1">
      <c r="B92" s="99" t="s">
        <v>419</v>
      </c>
      <c r="C92" s="715">
        <f>C87+C91</f>
        <v>2338.797</v>
      </c>
      <c r="E92" s="715">
        <f>E87+E91</f>
        <v>2338.797</v>
      </c>
      <c r="F92" s="1008">
        <f>SUM(F87:F91)</f>
        <v>100</v>
      </c>
      <c r="J92" s="26"/>
      <c r="K92" s="276">
        <f>SUM(K87:K91)</f>
        <v>6486.5829999999987</v>
      </c>
      <c r="L92" s="10"/>
      <c r="M92" s="10"/>
      <c r="N92" s="10"/>
      <c r="O92" s="10"/>
      <c r="T92" s="947" t="e">
        <f>C92/$C$28*100</f>
        <v>#DIV/0!</v>
      </c>
      <c r="U92" s="635"/>
    </row>
    <row r="93" spans="1:21" s="172" customFormat="1" hidden="1">
      <c r="A93" s="551" t="s">
        <v>1980</v>
      </c>
      <c r="K93" s="1005">
        <f>I31/1.18/9*12/1000</f>
        <v>0</v>
      </c>
    </row>
    <row r="94" spans="1:21" s="172" customFormat="1" hidden="1">
      <c r="A94" s="172" t="s">
        <v>1614</v>
      </c>
      <c r="F94" s="1004" t="s">
        <v>1982</v>
      </c>
      <c r="G94" s="873">
        <f>$F$82/1000/1.18*1.071*$F$87/100</f>
        <v>67.918443440589286</v>
      </c>
      <c r="H94" s="186" t="s">
        <v>1422</v>
      </c>
      <c r="K94" s="1005"/>
    </row>
    <row r="95" spans="1:21" s="172" customFormat="1" hidden="1">
      <c r="A95" s="172" t="s">
        <v>2014</v>
      </c>
      <c r="J95" s="250"/>
    </row>
    <row r="96" spans="1:21" s="172" customFormat="1" hidden="1">
      <c r="C96" s="1004" t="s">
        <v>2015</v>
      </c>
      <c r="E96" s="1004" t="s">
        <v>2015</v>
      </c>
      <c r="F96" s="873">
        <f>$G$94*1.054</f>
        <v>71.586039386381117</v>
      </c>
      <c r="G96" s="186" t="s">
        <v>1620</v>
      </c>
      <c r="J96" s="250"/>
    </row>
    <row r="97" spans="1:10" s="172" customFormat="1" hidden="1">
      <c r="D97" s="1006"/>
      <c r="J97" s="250"/>
    </row>
    <row r="98" spans="1:10" s="172" customFormat="1" hidden="1">
      <c r="A98" s="186" t="s">
        <v>1618</v>
      </c>
      <c r="J98" s="250"/>
    </row>
    <row r="99" spans="1:10" hidden="1">
      <c r="A99" s="26" t="s">
        <v>1619</v>
      </c>
    </row>
    <row r="100" spans="1:10" hidden="1">
      <c r="B100" s="1247"/>
      <c r="C100" s="1268" t="s">
        <v>1983</v>
      </c>
      <c r="D100" s="1247"/>
      <c r="E100" s="1268" t="s">
        <v>1983</v>
      </c>
      <c r="F100" s="1249">
        <f>F36+G94</f>
        <v>1225.1729734405894</v>
      </c>
      <c r="G100" s="1250" t="s">
        <v>238</v>
      </c>
    </row>
    <row r="101" spans="1:10" hidden="1">
      <c r="B101" s="1247"/>
      <c r="C101" s="1268" t="s">
        <v>1984</v>
      </c>
      <c r="D101" s="1247"/>
      <c r="E101" s="1268" t="s">
        <v>1984</v>
      </c>
      <c r="F101" s="1249">
        <f>D38+F96</f>
        <v>1320.2636772563812</v>
      </c>
      <c r="G101" s="1250" t="s">
        <v>238</v>
      </c>
    </row>
    <row r="103" spans="1:10" ht="13.5" customHeight="1"/>
    <row r="104" spans="1:10">
      <c r="A104" s="98" t="s">
        <v>614</v>
      </c>
    </row>
    <row r="105" spans="1:10">
      <c r="A105" s="98" t="s">
        <v>627</v>
      </c>
    </row>
  </sheetData>
  <mergeCells count="12">
    <mergeCell ref="G15:G17"/>
    <mergeCell ref="H15:H17"/>
    <mergeCell ref="I15:I17"/>
    <mergeCell ref="B43:B55"/>
    <mergeCell ref="G47:G48"/>
    <mergeCell ref="H47:H48"/>
    <mergeCell ref="I47:I48"/>
    <mergeCell ref="B56:B57"/>
    <mergeCell ref="G56:G57"/>
    <mergeCell ref="H56:H57"/>
    <mergeCell ref="I56:I57"/>
    <mergeCell ref="B58:B61"/>
  </mergeCells>
  <printOptions horizontalCentered="1"/>
  <pageMargins left="0.78740157480314965" right="0.59055118110236227" top="0.78740157480314965" bottom="0.11811023622047245" header="0.51181102362204722" footer="3.937007874015748E-2"/>
  <pageSetup paperSize="9" scale="81" orientation="landscape" r:id="rId1"/>
  <headerFooter alignWithMargins="0">
    <oddFooter>&amp;R&amp;P</oddFooter>
  </headerFooter>
  <rowBreaks count="1" manualBreakCount="1">
    <brk id="39" max="16383" man="1"/>
  </rowBreaks>
  <colBreaks count="1" manualBreakCount="1">
    <brk id="9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tabColor rgb="FF7030A0"/>
  </sheetPr>
  <dimension ref="A1:K47"/>
  <sheetViews>
    <sheetView workbookViewId="0">
      <selection activeCell="C28" sqref="C28"/>
    </sheetView>
  </sheetViews>
  <sheetFormatPr defaultColWidth="9.109375" defaultRowHeight="15.6"/>
  <cols>
    <col min="1" max="1" width="3.6640625" style="26" customWidth="1"/>
    <col min="2" max="2" width="93.33203125" style="26" customWidth="1"/>
    <col min="3" max="3" width="20.88671875" style="26" hidden="1" customWidth="1"/>
    <col min="4" max="4" width="51.109375" style="26" customWidth="1"/>
    <col min="5" max="6" width="16.109375" style="26" customWidth="1"/>
    <col min="7" max="7" width="17" style="26" hidden="1" customWidth="1"/>
    <col min="8" max="8" width="9.109375" style="26"/>
    <col min="9" max="9" width="10.109375" style="26" bestFit="1" customWidth="1"/>
    <col min="10" max="16384" width="9.109375" style="26"/>
  </cols>
  <sheetData>
    <row r="1" spans="1:11" ht="17.399999999999999">
      <c r="A1" s="1795" t="s">
        <v>1155</v>
      </c>
      <c r="B1" s="1795"/>
      <c r="C1" s="1795"/>
      <c r="D1" s="1795"/>
      <c r="E1" s="1795"/>
      <c r="F1" s="1795"/>
      <c r="G1" s="1795"/>
    </row>
    <row r="2" spans="1:11" ht="25.5" customHeight="1">
      <c r="A2" s="1795" t="s">
        <v>2232</v>
      </c>
      <c r="B2" s="1795"/>
      <c r="C2" s="1795"/>
      <c r="D2" s="1795"/>
      <c r="E2" s="1795"/>
      <c r="F2" s="1795"/>
      <c r="G2" s="1795"/>
    </row>
    <row r="3" spans="1:11">
      <c r="A3"/>
      <c r="B3"/>
      <c r="C3"/>
      <c r="D3" s="2017" t="s">
        <v>1401</v>
      </c>
      <c r="E3" s="129"/>
      <c r="F3" s="129" t="s">
        <v>660</v>
      </c>
      <c r="G3" s="129"/>
    </row>
    <row r="4" spans="1:11" ht="49.5" customHeight="1">
      <c r="A4" s="82" t="s">
        <v>616</v>
      </c>
      <c r="B4" s="81" t="s">
        <v>1162</v>
      </c>
      <c r="C4" s="81" t="s">
        <v>614</v>
      </c>
      <c r="D4" s="81" t="s">
        <v>615</v>
      </c>
      <c r="E4" s="134" t="s">
        <v>1970</v>
      </c>
      <c r="F4" s="134" t="s">
        <v>1973</v>
      </c>
      <c r="G4" s="134" t="s">
        <v>2162</v>
      </c>
      <c r="H4" s="99" t="s">
        <v>1709</v>
      </c>
      <c r="I4" s="1641">
        <v>0.1474</v>
      </c>
    </row>
    <row r="5" spans="1:11" ht="21" customHeight="1">
      <c r="A5" s="82"/>
      <c r="B5" s="81"/>
      <c r="C5" s="81"/>
      <c r="D5" s="81"/>
      <c r="E5" s="176" t="s">
        <v>238</v>
      </c>
      <c r="F5" s="176" t="s">
        <v>238</v>
      </c>
      <c r="G5" s="176" t="s">
        <v>238</v>
      </c>
      <c r="H5" s="99"/>
      <c r="I5" s="1641"/>
    </row>
    <row r="6" spans="1:11" ht="16.2">
      <c r="A6" s="177" t="s">
        <v>662</v>
      </c>
      <c r="B6" s="178"/>
      <c r="C6" s="178"/>
      <c r="D6" s="179"/>
      <c r="E6" s="179"/>
      <c r="F6" s="179"/>
      <c r="G6" s="179"/>
      <c r="H6" s="99"/>
      <c r="I6" s="1641"/>
    </row>
    <row r="7" spans="1:11" s="172" customFormat="1" ht="51.75" customHeight="1">
      <c r="A7" s="1796" t="s">
        <v>200</v>
      </c>
      <c r="B7" s="180" t="s">
        <v>1969</v>
      </c>
      <c r="C7" s="4101" t="s">
        <v>1178</v>
      </c>
      <c r="D7" s="39" t="s">
        <v>1986</v>
      </c>
      <c r="E7" s="182">
        <v>345.98541999999998</v>
      </c>
      <c r="F7" s="182">
        <f>E7</f>
        <v>345.98541999999998</v>
      </c>
      <c r="G7" s="182">
        <f>F7</f>
        <v>345.98541999999998</v>
      </c>
    </row>
    <row r="8" spans="1:11" s="190" customFormat="1" ht="40.5" customHeight="1">
      <c r="A8" s="1796" t="s">
        <v>207</v>
      </c>
      <c r="B8" s="180" t="s">
        <v>1971</v>
      </c>
      <c r="C8" s="4102"/>
      <c r="D8" s="39" t="s">
        <v>1972</v>
      </c>
      <c r="E8" s="182">
        <v>1101.6949199999999</v>
      </c>
      <c r="F8" s="182">
        <f>E8*I4</f>
        <v>162.389831208</v>
      </c>
      <c r="G8" s="182">
        <f>F8</f>
        <v>162.389831208</v>
      </c>
      <c r="K8" s="636"/>
    </row>
    <row r="9" spans="1:11" s="190" customFormat="1" ht="31.5" customHeight="1">
      <c r="A9" s="1796" t="s">
        <v>208</v>
      </c>
      <c r="B9" s="180" t="s">
        <v>1985</v>
      </c>
      <c r="C9" s="4102"/>
      <c r="D9" s="39" t="s">
        <v>1989</v>
      </c>
      <c r="E9" s="182">
        <f>23.6/1.18</f>
        <v>20.000000000000004</v>
      </c>
      <c r="F9" s="182">
        <f>E9*I4</f>
        <v>2.9480000000000004</v>
      </c>
      <c r="G9" s="182">
        <f>F9</f>
        <v>2.9480000000000004</v>
      </c>
      <c r="K9" s="636"/>
    </row>
    <row r="10" spans="1:11" s="190" customFormat="1" ht="38.25" customHeight="1">
      <c r="A10" s="1796" t="s">
        <v>210</v>
      </c>
      <c r="B10" s="180" t="s">
        <v>1987</v>
      </c>
      <c r="C10" s="4102"/>
      <c r="D10" s="39" t="s">
        <v>1988</v>
      </c>
      <c r="E10" s="182">
        <v>43.873489999999997</v>
      </c>
      <c r="F10" s="182">
        <f>E10*I4</f>
        <v>6.4669524259999998</v>
      </c>
      <c r="G10" s="182">
        <f>F10</f>
        <v>6.4669524259999998</v>
      </c>
      <c r="K10" s="636"/>
    </row>
    <row r="11" spans="1:11" s="190" customFormat="1" ht="33.75" customHeight="1">
      <c r="A11" s="4104" t="s">
        <v>212</v>
      </c>
      <c r="B11" s="4105" t="s">
        <v>2153</v>
      </c>
      <c r="C11" s="4102"/>
      <c r="D11" s="39" t="s">
        <v>1990</v>
      </c>
      <c r="E11" s="182">
        <f>10500/1.18</f>
        <v>8898.3050847457635</v>
      </c>
      <c r="F11" s="182"/>
      <c r="G11" s="182">
        <v>0</v>
      </c>
      <c r="K11" s="636"/>
    </row>
    <row r="12" spans="1:11" s="190" customFormat="1" ht="35.25" customHeight="1">
      <c r="A12" s="4104"/>
      <c r="B12" s="4106"/>
      <c r="C12" s="4102"/>
      <c r="D12" s="39" t="s">
        <v>1991</v>
      </c>
      <c r="E12" s="182">
        <f>E11/3</f>
        <v>2966.1016949152545</v>
      </c>
      <c r="F12" s="182">
        <f>E12*I4</f>
        <v>437.20338983050851</v>
      </c>
      <c r="G12" s="182">
        <f>F12*J4</f>
        <v>0</v>
      </c>
      <c r="K12" s="636"/>
    </row>
    <row r="13" spans="1:11" s="190" customFormat="1" ht="17.25" hidden="1" customHeight="1">
      <c r="A13" s="1796"/>
      <c r="B13" s="180"/>
      <c r="C13" s="4102"/>
      <c r="D13" s="39"/>
      <c r="E13" s="182"/>
      <c r="F13" s="182"/>
      <c r="G13" s="182"/>
      <c r="K13" s="636"/>
    </row>
    <row r="14" spans="1:11" s="190" customFormat="1" ht="17.25" hidden="1" customHeight="1">
      <c r="A14" s="1796"/>
      <c r="B14" s="180"/>
      <c r="C14" s="4102"/>
      <c r="D14" s="39"/>
      <c r="E14" s="182"/>
      <c r="F14" s="182"/>
      <c r="G14" s="182"/>
      <c r="K14" s="636"/>
    </row>
    <row r="15" spans="1:11" s="190" customFormat="1" ht="17.25" hidden="1" customHeight="1">
      <c r="A15" s="1796"/>
      <c r="B15" s="180"/>
      <c r="C15" s="4102"/>
      <c r="D15" s="39"/>
      <c r="E15" s="182"/>
      <c r="F15" s="182"/>
      <c r="G15" s="182"/>
      <c r="K15" s="636"/>
    </row>
    <row r="16" spans="1:11" s="190" customFormat="1" ht="17.25" hidden="1" customHeight="1">
      <c r="A16" s="1796"/>
      <c r="B16" s="645"/>
      <c r="C16" s="4102"/>
      <c r="D16" s="39"/>
      <c r="E16" s="649">
        <f>SUM(E18:E20)</f>
        <v>0</v>
      </c>
      <c r="F16" s="649">
        <f>SUM(F18:F20)</f>
        <v>0</v>
      </c>
      <c r="G16" s="649">
        <f>SUM(G18:G20)</f>
        <v>0</v>
      </c>
      <c r="K16" s="636"/>
    </row>
    <row r="17" spans="1:11" s="190" customFormat="1" hidden="1">
      <c r="A17" s="1796"/>
      <c r="B17" s="647"/>
      <c r="C17" s="4102"/>
      <c r="D17" s="39"/>
      <c r="E17" s="650"/>
      <c r="F17" s="650"/>
      <c r="G17" s="650"/>
      <c r="K17" s="636"/>
    </row>
    <row r="18" spans="1:11" s="190" customFormat="1" ht="17.25" hidden="1" customHeight="1">
      <c r="A18" s="1796"/>
      <c r="B18" s="648"/>
      <c r="C18" s="4102"/>
      <c r="D18" s="39"/>
      <c r="E18" s="650"/>
      <c r="F18" s="650"/>
      <c r="G18" s="650"/>
      <c r="K18" s="636"/>
    </row>
    <row r="19" spans="1:11" s="190" customFormat="1" ht="17.25" hidden="1" customHeight="1">
      <c r="A19" s="1796"/>
      <c r="B19" s="648"/>
      <c r="C19" s="4102"/>
      <c r="D19" s="39"/>
      <c r="E19" s="650"/>
      <c r="F19" s="650"/>
      <c r="G19" s="650"/>
      <c r="K19" s="636"/>
    </row>
    <row r="20" spans="1:11" s="190" customFormat="1" ht="17.25" hidden="1" customHeight="1">
      <c r="A20" s="1796"/>
      <c r="B20" s="648"/>
      <c r="C20" s="4103"/>
      <c r="D20" s="39"/>
      <c r="E20" s="650"/>
      <c r="F20" s="650"/>
      <c r="G20" s="650"/>
      <c r="K20" s="636"/>
    </row>
    <row r="21" spans="1:11" s="190" customFormat="1" ht="3.75" hidden="1" customHeight="1">
      <c r="A21" s="1796"/>
      <c r="B21" s="180"/>
      <c r="C21" s="4101" t="s">
        <v>1182</v>
      </c>
      <c r="D21" s="39"/>
      <c r="E21" s="182"/>
      <c r="F21" s="182"/>
      <c r="G21" s="182"/>
      <c r="K21" s="636"/>
    </row>
    <row r="22" spans="1:11" s="190" customFormat="1" ht="33" customHeight="1">
      <c r="A22" s="1796" t="s">
        <v>215</v>
      </c>
      <c r="B22" s="180" t="s">
        <v>1179</v>
      </c>
      <c r="C22" s="4102"/>
      <c r="D22" s="39" t="s">
        <v>1993</v>
      </c>
      <c r="E22" s="182">
        <f>87.02/1.18</f>
        <v>73.745762711864401</v>
      </c>
      <c r="F22" s="182">
        <f>E22*I4</f>
        <v>10.870125423728814</v>
      </c>
      <c r="G22" s="182">
        <f>F22</f>
        <v>10.870125423728814</v>
      </c>
      <c r="K22" s="636"/>
    </row>
    <row r="23" spans="1:11" s="190" customFormat="1" ht="20.25" customHeight="1">
      <c r="A23" s="1796" t="s">
        <v>218</v>
      </c>
      <c r="B23" s="180" t="s">
        <v>1180</v>
      </c>
      <c r="C23" s="4102"/>
      <c r="D23" s="39"/>
      <c r="E23" s="182">
        <f>'Работы и услуги 2011г.'!E10*1.06</f>
        <v>143.80702000000002</v>
      </c>
      <c r="F23" s="182">
        <f>E23*I4</f>
        <v>21.197154748000003</v>
      </c>
      <c r="G23" s="182">
        <f>F23</f>
        <v>21.197154748000003</v>
      </c>
      <c r="J23" s="641">
        <f>SUM(E21:E23)+E7</f>
        <v>563.53820271186441</v>
      </c>
      <c r="K23" s="636"/>
    </row>
    <row r="24" spans="1:11" s="190" customFormat="1" ht="34.5" hidden="1" customHeight="1">
      <c r="A24" s="1796" t="s">
        <v>212</v>
      </c>
      <c r="B24" s="180" t="s">
        <v>1165</v>
      </c>
      <c r="C24" s="4102"/>
      <c r="D24" s="2058"/>
      <c r="E24" s="182"/>
      <c r="F24" s="182"/>
      <c r="G24" s="182"/>
      <c r="K24" s="636">
        <f>(71.4+71+40+30)/1.18</f>
        <v>180.00000000000003</v>
      </c>
    </row>
    <row r="25" spans="1:11" s="198" customFormat="1" ht="28.5" hidden="1" customHeight="1">
      <c r="A25" s="1796" t="s">
        <v>215</v>
      </c>
      <c r="B25" s="658" t="s">
        <v>2004</v>
      </c>
      <c r="C25" s="4103"/>
      <c r="D25" s="659"/>
      <c r="E25" s="660"/>
      <c r="F25" s="660"/>
      <c r="G25" s="660"/>
      <c r="K25" s="661"/>
    </row>
    <row r="26" spans="1:11" s="172" customFormat="1" ht="34.5" customHeight="1">
      <c r="A26" s="1796" t="s">
        <v>226</v>
      </c>
      <c r="B26" s="180" t="s">
        <v>1405</v>
      </c>
      <c r="C26" s="181" t="s">
        <v>619</v>
      </c>
      <c r="D26" s="308"/>
      <c r="E26" s="182">
        <v>0</v>
      </c>
      <c r="F26" s="182">
        <v>0</v>
      </c>
      <c r="G26" s="182">
        <f>59-9+70/1.18</f>
        <v>109.32203389830508</v>
      </c>
    </row>
    <row r="27" spans="1:11" s="172" customFormat="1" ht="33.75" customHeight="1">
      <c r="A27" s="1796" t="s">
        <v>551</v>
      </c>
      <c r="B27" s="180" t="s">
        <v>1994</v>
      </c>
      <c r="C27" s="310" t="s">
        <v>1188</v>
      </c>
      <c r="D27" s="39" t="s">
        <v>1995</v>
      </c>
      <c r="E27" s="182">
        <v>30</v>
      </c>
      <c r="F27" s="182">
        <v>30</v>
      </c>
      <c r="G27" s="182">
        <v>30</v>
      </c>
    </row>
    <row r="28" spans="1:11" s="186" customFormat="1" ht="16.5" customHeight="1">
      <c r="A28" s="1797"/>
      <c r="B28" s="184" t="s">
        <v>1157</v>
      </c>
      <c r="C28" s="184"/>
      <c r="D28" s="184"/>
      <c r="E28" s="185">
        <f>SUM(E7:E27)-E11</f>
        <v>4725.2083076271192</v>
      </c>
      <c r="F28" s="185">
        <f>SUM(F7:F27)-F11</f>
        <v>1017.0608736362374</v>
      </c>
      <c r="G28" s="185">
        <f>SUM(G7:G27)</f>
        <v>689.17951770403397</v>
      </c>
    </row>
    <row r="29" spans="1:11" s="186" customFormat="1" ht="18" customHeight="1">
      <c r="A29" s="1797"/>
      <c r="B29" s="651" t="s">
        <v>2221</v>
      </c>
      <c r="C29" s="184"/>
      <c r="D29" s="184"/>
      <c r="E29" s="654">
        <f>E7+E25</f>
        <v>345.98541999999998</v>
      </c>
      <c r="F29" s="654">
        <f>F7+F25</f>
        <v>345.98541999999998</v>
      </c>
      <c r="G29" s="654">
        <f>G7+G25</f>
        <v>345.98541999999998</v>
      </c>
    </row>
    <row r="30" spans="1:11" s="2075" customFormat="1" ht="18" customHeight="1">
      <c r="A30" s="2098" t="s">
        <v>663</v>
      </c>
      <c r="B30" s="2099"/>
      <c r="C30" s="2100"/>
      <c r="D30" s="2100"/>
      <c r="E30" s="2101"/>
      <c r="F30" s="2101"/>
      <c r="G30" s="2101"/>
    </row>
    <row r="31" spans="1:11" s="2075" customFormat="1" ht="18" customHeight="1">
      <c r="A31" s="2073" t="s">
        <v>2223</v>
      </c>
      <c r="B31" s="2099"/>
      <c r="C31" s="2100"/>
      <c r="D31" s="2100"/>
      <c r="E31" s="2101"/>
      <c r="F31" s="2101"/>
      <c r="G31" s="2101"/>
    </row>
    <row r="32" spans="1:11" s="106" customFormat="1" ht="22.5" customHeight="1">
      <c r="B32" s="1241" t="s">
        <v>2166</v>
      </c>
      <c r="C32" s="189"/>
      <c r="D32" s="189"/>
      <c r="E32" s="189"/>
      <c r="F32" s="189"/>
      <c r="G32" s="189"/>
    </row>
    <row r="33" spans="1:7">
      <c r="B33" s="106"/>
      <c r="C33"/>
      <c r="D33" s="655" t="s">
        <v>1976</v>
      </c>
      <c r="E33" s="948">
        <v>23092.288999999997</v>
      </c>
      <c r="F33" s="189" t="s">
        <v>1974</v>
      </c>
      <c r="G33" s="189"/>
    </row>
    <row r="34" spans="1:7" s="106" customFormat="1" ht="13.5" customHeight="1">
      <c r="C34" s="189"/>
      <c r="D34" s="655" t="s">
        <v>1977</v>
      </c>
      <c r="E34" s="948">
        <f>'[10]стр-ра пол.отп. 2014г.'!$B$23</f>
        <v>133980</v>
      </c>
      <c r="F34" s="189" t="s">
        <v>1974</v>
      </c>
      <c r="G34" s="189"/>
    </row>
    <row r="35" spans="1:7">
      <c r="B35" s="106"/>
      <c r="C35" s="106"/>
      <c r="D35" s="655" t="s">
        <v>1975</v>
      </c>
      <c r="E35" s="1830">
        <f>E33/(E33+E34)+0.0004</f>
        <v>0.14741695090214163</v>
      </c>
      <c r="F35" s="106"/>
    </row>
    <row r="36" spans="1:7">
      <c r="A36" s="113" t="s">
        <v>614</v>
      </c>
    </row>
    <row r="37" spans="1:7">
      <c r="A37" s="113" t="s">
        <v>627</v>
      </c>
    </row>
    <row r="47" spans="1:7">
      <c r="B47" s="80"/>
    </row>
  </sheetData>
  <mergeCells count="4">
    <mergeCell ref="C7:C20"/>
    <mergeCell ref="C21:C25"/>
    <mergeCell ref="A11:A12"/>
    <mergeCell ref="B11:B12"/>
  </mergeCells>
  <printOptions horizontalCentered="1"/>
  <pageMargins left="0.39370078740157483" right="0.39370078740157483" top="0.59055118110236227" bottom="3.937007874015748E-2" header="3.937007874015748E-2" footer="3.937007874015748E-2"/>
  <pageSetup paperSize="9" scale="77" orientation="landscape" r:id="rId1"/>
  <headerFooter alignWithMargins="0">
    <oddFooter xml:space="preserve">&amp;R
</oddFooter>
  </headerFooter>
  <colBreaks count="1" manualBreakCount="1">
    <brk id="7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tabColor rgb="FF7030A0"/>
  </sheetPr>
  <dimension ref="A1:M37"/>
  <sheetViews>
    <sheetView workbookViewId="0">
      <selection activeCell="C28" sqref="C28"/>
    </sheetView>
  </sheetViews>
  <sheetFormatPr defaultColWidth="9.109375" defaultRowHeight="15"/>
  <cols>
    <col min="1" max="1" width="4.5546875" style="2018" customWidth="1"/>
    <col min="2" max="2" width="63.33203125" style="2018" customWidth="1"/>
    <col min="3" max="3" width="25.6640625" style="2018" customWidth="1"/>
    <col min="4" max="4" width="39.5546875" style="2018" customWidth="1"/>
    <col min="5" max="5" width="15.6640625" style="2018" hidden="1" customWidth="1"/>
    <col min="6" max="6" width="19.5546875" style="2018" customWidth="1"/>
    <col min="7" max="7" width="18.33203125" style="2018" customWidth="1"/>
    <col min="8" max="16384" width="9.109375" style="2018"/>
  </cols>
  <sheetData>
    <row r="1" spans="1:13">
      <c r="A1" s="2042" t="s">
        <v>2227</v>
      </c>
      <c r="B1" s="2042"/>
      <c r="C1" s="2042"/>
      <c r="D1" s="2042"/>
      <c r="E1" s="2042"/>
      <c r="F1" s="2042"/>
    </row>
    <row r="2" spans="1:13" ht="25.5" customHeight="1">
      <c r="A2" s="2627" t="s">
        <v>2234</v>
      </c>
      <c r="B2" s="2627"/>
      <c r="C2" s="2627"/>
      <c r="D2" s="2627"/>
      <c r="E2" s="2042"/>
      <c r="F2" s="2042"/>
    </row>
    <row r="3" spans="1:13">
      <c r="A3" s="2628"/>
      <c r="B3" s="2628"/>
      <c r="C3" s="2628"/>
      <c r="D3" s="2628"/>
      <c r="E3" s="2019"/>
      <c r="F3" s="2019"/>
    </row>
    <row r="4" spans="1:13" s="1910" customFormat="1" ht="35.25" customHeight="1">
      <c r="A4" s="2043" t="s">
        <v>616</v>
      </c>
      <c r="B4" s="2044" t="s">
        <v>1162</v>
      </c>
      <c r="C4" s="2044" t="s">
        <v>614</v>
      </c>
      <c r="D4" s="2044" t="s">
        <v>615</v>
      </c>
      <c r="E4" s="2045" t="s">
        <v>1823</v>
      </c>
      <c r="F4" s="2626" t="s">
        <v>1823</v>
      </c>
      <c r="G4" s="2104" t="s">
        <v>2237</v>
      </c>
      <c r="H4" s="2029" t="s">
        <v>1709</v>
      </c>
      <c r="I4" s="2030">
        <v>0.1474</v>
      </c>
      <c r="J4" s="2031"/>
      <c r="K4" s="2031"/>
      <c r="L4" s="2027"/>
      <c r="M4" s="2027"/>
    </row>
    <row r="5" spans="1:13" s="1910" customFormat="1" ht="21" customHeight="1">
      <c r="A5" s="2043"/>
      <c r="B5" s="2044"/>
      <c r="C5" s="2044"/>
      <c r="D5" s="2044"/>
      <c r="E5" s="2046" t="s">
        <v>238</v>
      </c>
      <c r="F5" s="2046" t="s">
        <v>238</v>
      </c>
      <c r="G5" s="176" t="s">
        <v>238</v>
      </c>
      <c r="H5" s="2029" t="s">
        <v>2086</v>
      </c>
      <c r="I5" s="2030">
        <v>0.13522048478160686</v>
      </c>
      <c r="J5" s="2031" t="s">
        <v>2152</v>
      </c>
      <c r="K5" s="2031"/>
      <c r="L5" s="2027"/>
      <c r="M5" s="2027"/>
    </row>
    <row r="6" spans="1:13" s="1910" customFormat="1" ht="13.8">
      <c r="A6" s="2047" t="s">
        <v>2219</v>
      </c>
      <c r="B6" s="2048"/>
      <c r="C6" s="2048"/>
      <c r="D6" s="2049"/>
      <c r="E6" s="2049"/>
      <c r="F6" s="2049"/>
      <c r="G6" s="2049"/>
      <c r="H6" s="2029" t="s">
        <v>2501</v>
      </c>
      <c r="I6" s="2030">
        <f>21287.15/172043.17</f>
        <v>0.12373144484608137</v>
      </c>
      <c r="J6" s="2031"/>
      <c r="K6" s="2031"/>
      <c r="L6" s="2027"/>
      <c r="M6" s="2027"/>
    </row>
    <row r="7" spans="1:13" s="2143" customFormat="1" ht="26.4">
      <c r="A7" s="2138">
        <v>1</v>
      </c>
      <c r="B7" s="2139" t="s">
        <v>2236</v>
      </c>
      <c r="C7" s="2140" t="s">
        <v>2235</v>
      </c>
      <c r="D7" s="2141" t="s">
        <v>2238</v>
      </c>
      <c r="E7" s="2142"/>
      <c r="F7" s="2142">
        <f>3165.06/1.18</f>
        <v>2682.2542372881358</v>
      </c>
      <c r="G7" s="2146">
        <f>F7</f>
        <v>2682.2542372881358</v>
      </c>
      <c r="H7" s="2029">
        <v>2016</v>
      </c>
      <c r="I7" s="2030">
        <f>'П1.30 -2022г., 1 и 2 п-е'!G9/('П1.30 -2022г., 1 и 2 п-е'!G9+'2016 тсо кроме мрск'!B60+'2016 тсо НК Энергосб'!B60)</f>
        <v>0.94614635412254477</v>
      </c>
      <c r="J7" s="2030">
        <f>22365.349/(22365.349+150756.021+1416.13)</f>
        <v>0.12814065172240921</v>
      </c>
      <c r="K7" s="2144"/>
    </row>
    <row r="8" spans="1:13" s="2143" customFormat="1" ht="26.4">
      <c r="A8" s="2138">
        <f>A7+1</f>
        <v>2</v>
      </c>
      <c r="B8" s="2139" t="s">
        <v>2239</v>
      </c>
      <c r="C8" s="2145" t="s">
        <v>2240</v>
      </c>
      <c r="D8" s="2141" t="s">
        <v>2241</v>
      </c>
      <c r="E8" s="2142"/>
      <c r="F8" s="2142">
        <f>466.05262/1.18</f>
        <v>394.95984745762712</v>
      </c>
      <c r="G8" s="2146">
        <f t="shared" ref="G8:G13" si="0">F8*$I$6</f>
        <v>48.868952582120102</v>
      </c>
      <c r="K8" s="2144"/>
    </row>
    <row r="9" spans="1:13" s="2143" customFormat="1" ht="39.6">
      <c r="A9" s="2138">
        <f>A8+1</f>
        <v>3</v>
      </c>
      <c r="B9" s="2139" t="s">
        <v>2255</v>
      </c>
      <c r="C9" s="2140" t="s">
        <v>2242</v>
      </c>
      <c r="D9" s="2141" t="s">
        <v>2243</v>
      </c>
      <c r="E9" s="2142"/>
      <c r="F9" s="2142">
        <f>499.99609</f>
        <v>499.99608999999998</v>
      </c>
      <c r="G9" s="2146">
        <f t="shared" si="0"/>
        <v>61.86523863309133</v>
      </c>
      <c r="K9" s="2144"/>
    </row>
    <row r="10" spans="1:13" s="2143" customFormat="1" ht="26.4">
      <c r="A10" s="2138">
        <v>4</v>
      </c>
      <c r="B10" s="2139" t="s">
        <v>2244</v>
      </c>
      <c r="C10" s="2140" t="s">
        <v>2215</v>
      </c>
      <c r="D10" s="2141" t="s">
        <v>2245</v>
      </c>
      <c r="E10" s="2142"/>
      <c r="F10" s="2142">
        <f>104.1468/1.18</f>
        <v>88.26</v>
      </c>
      <c r="G10" s="2146">
        <f t="shared" si="0"/>
        <v>10.920537322115143</v>
      </c>
      <c r="K10" s="2144"/>
    </row>
    <row r="11" spans="1:13" s="2143" customFormat="1" ht="39.6">
      <c r="A11" s="2138">
        <v>5</v>
      </c>
      <c r="B11" s="2139" t="s">
        <v>2246</v>
      </c>
      <c r="C11" s="2140" t="s">
        <v>2247</v>
      </c>
      <c r="D11" s="2141" t="s">
        <v>2248</v>
      </c>
      <c r="E11" s="2142"/>
      <c r="F11" s="2142">
        <f>208.88723/1.18</f>
        <v>177.02307627118643</v>
      </c>
      <c r="G11" s="2146">
        <f t="shared" si="0"/>
        <v>21.90332099813196</v>
      </c>
      <c r="K11" s="2144"/>
    </row>
    <row r="12" spans="1:13" s="2143" customFormat="1" ht="18" customHeight="1">
      <c r="A12" s="2138">
        <v>6</v>
      </c>
      <c r="B12" s="2139" t="s">
        <v>2249</v>
      </c>
      <c r="C12" s="2140" t="s">
        <v>2250</v>
      </c>
      <c r="D12" s="2141" t="s">
        <v>2251</v>
      </c>
      <c r="E12" s="2142"/>
      <c r="F12" s="2142">
        <f>482.0418/1.18</f>
        <v>408.51000000000005</v>
      </c>
      <c r="G12" s="2146">
        <f t="shared" si="0"/>
        <v>50.545532534072706</v>
      </c>
      <c r="K12" s="2144"/>
    </row>
    <row r="13" spans="1:13" s="2143" customFormat="1" ht="26.4">
      <c r="A13" s="2138">
        <v>7</v>
      </c>
      <c r="B13" s="2139" t="s">
        <v>2252</v>
      </c>
      <c r="C13" s="2145" t="s">
        <v>2240</v>
      </c>
      <c r="D13" s="2141" t="s">
        <v>2253</v>
      </c>
      <c r="E13" s="2142"/>
      <c r="F13" s="2142">
        <f>499.91356/1.18</f>
        <v>423.65555932203392</v>
      </c>
      <c r="G13" s="2146">
        <f t="shared" si="0"/>
        <v>52.419514471989991</v>
      </c>
      <c r="K13" s="2144"/>
    </row>
    <row r="14" spans="1:13" s="2143" customFormat="1" ht="18" hidden="1" customHeight="1">
      <c r="A14" s="2138"/>
      <c r="B14" s="2139"/>
      <c r="C14" s="2140"/>
      <c r="D14" s="2141"/>
      <c r="E14" s="2142"/>
      <c r="F14" s="2142"/>
      <c r="G14" s="2142"/>
      <c r="K14" s="2144"/>
    </row>
    <row r="15" spans="1:13" s="2143" customFormat="1" ht="18" hidden="1" customHeight="1">
      <c r="A15" s="2138"/>
      <c r="B15" s="2139"/>
      <c r="C15" s="2140"/>
      <c r="D15" s="2141"/>
      <c r="E15" s="2142"/>
      <c r="F15" s="2142"/>
      <c r="G15" s="2142"/>
      <c r="K15" s="2144"/>
    </row>
    <row r="16" spans="1:13" s="2143" customFormat="1" ht="18" hidden="1" customHeight="1">
      <c r="A16" s="2138"/>
      <c r="B16" s="2139"/>
      <c r="C16" s="2140"/>
      <c r="D16" s="2141"/>
      <c r="E16" s="2142"/>
      <c r="F16" s="2142"/>
      <c r="G16" s="2142"/>
      <c r="K16" s="2144"/>
    </row>
    <row r="17" spans="1:13" s="1910" customFormat="1" ht="13.8" hidden="1">
      <c r="A17" s="2047" t="s">
        <v>2228</v>
      </c>
      <c r="B17" s="2048"/>
      <c r="C17" s="2048"/>
      <c r="D17" s="2049"/>
      <c r="E17" s="2049"/>
      <c r="F17" s="2049"/>
      <c r="G17" s="2049"/>
      <c r="H17" s="2029" t="s">
        <v>2151</v>
      </c>
      <c r="I17" s="2030">
        <f>'П1.30 -2022г., 1 и 2 п-е'!AG10</f>
        <v>0</v>
      </c>
      <c r="J17" s="2031"/>
      <c r="K17" s="2031"/>
      <c r="L17" s="2027"/>
      <c r="M17" s="2027"/>
    </row>
    <row r="18" spans="1:13" s="1669" customFormat="1" ht="24" hidden="1" customHeight="1">
      <c r="A18" s="2020">
        <f>A9+1</f>
        <v>4</v>
      </c>
      <c r="B18" s="2040"/>
      <c r="C18" s="4107"/>
      <c r="D18" s="2033"/>
      <c r="E18" s="2034"/>
      <c r="F18" s="2034"/>
      <c r="G18" s="2034"/>
      <c r="H18" s="2032"/>
      <c r="I18" s="2032"/>
      <c r="J18" s="2032"/>
      <c r="K18" s="2032"/>
      <c r="L18" s="2028"/>
      <c r="M18" s="2028"/>
    </row>
    <row r="19" spans="1:13" s="2021" customFormat="1" ht="24.75" hidden="1" customHeight="1">
      <c r="A19" s="2020">
        <f t="shared" ref="A19:A24" si="1">A18+1</f>
        <v>5</v>
      </c>
      <c r="B19" s="2040"/>
      <c r="C19" s="4108"/>
      <c r="D19" s="2033"/>
      <c r="E19" s="2034"/>
      <c r="F19" s="2034"/>
      <c r="G19" s="2034"/>
      <c r="K19" s="2022"/>
    </row>
    <row r="20" spans="1:13" s="2021" customFormat="1" ht="28.5" hidden="1" customHeight="1">
      <c r="A20" s="2020">
        <f t="shared" si="1"/>
        <v>6</v>
      </c>
      <c r="B20" s="2040"/>
      <c r="C20" s="4109"/>
      <c r="D20" s="2033"/>
      <c r="E20" s="2034"/>
      <c r="F20" s="2034"/>
      <c r="G20" s="2034"/>
      <c r="I20" s="2023"/>
      <c r="K20" s="2022"/>
    </row>
    <row r="21" spans="1:13" s="2021" customFormat="1" ht="42.75" hidden="1" customHeight="1">
      <c r="A21" s="2020">
        <f t="shared" si="1"/>
        <v>7</v>
      </c>
      <c r="B21" s="2040"/>
      <c r="C21" s="2038"/>
      <c r="D21" s="2033"/>
      <c r="E21" s="2034"/>
      <c r="F21" s="2034"/>
      <c r="G21" s="2034"/>
      <c r="K21" s="2022"/>
    </row>
    <row r="22" spans="1:13" s="2021" customFormat="1" ht="39.75" hidden="1" customHeight="1">
      <c r="A22" s="2020">
        <f t="shared" si="1"/>
        <v>8</v>
      </c>
      <c r="B22" s="2051"/>
      <c r="C22" s="2136"/>
      <c r="D22" s="2107"/>
      <c r="E22" s="2105"/>
      <c r="F22" s="2105"/>
      <c r="G22" s="2105"/>
      <c r="K22" s="2022"/>
    </row>
    <row r="23" spans="1:13" s="2021" customFormat="1" ht="23.25" hidden="1" customHeight="1">
      <c r="A23" s="2020">
        <f t="shared" si="1"/>
        <v>9</v>
      </c>
      <c r="B23" s="2052"/>
      <c r="C23" s="2053"/>
      <c r="D23" s="2108"/>
      <c r="E23" s="2109"/>
      <c r="F23" s="2109"/>
      <c r="G23" s="2106"/>
      <c r="K23" s="2022"/>
    </row>
    <row r="24" spans="1:13" s="2021" customFormat="1" ht="13.8" hidden="1">
      <c r="A24" s="2020">
        <f t="shared" si="1"/>
        <v>10</v>
      </c>
      <c r="B24" s="2040"/>
      <c r="C24" s="2038"/>
      <c r="D24" s="2033"/>
      <c r="E24" s="2034"/>
      <c r="F24" s="2034"/>
      <c r="G24" s="2034"/>
      <c r="J24" s="2023">
        <f>SUM(F23:F24)+F18</f>
        <v>0</v>
      </c>
      <c r="K24" s="2022"/>
    </row>
    <row r="25" spans="1:13" s="2021" customFormat="1" ht="34.5" hidden="1" customHeight="1">
      <c r="A25" s="2020" t="s">
        <v>218</v>
      </c>
      <c r="B25" s="2040"/>
      <c r="C25" s="2038"/>
      <c r="D25" s="2035"/>
      <c r="E25" s="2034"/>
      <c r="F25" s="2034"/>
      <c r="G25" s="2034"/>
      <c r="K25" s="2022">
        <f>(71.4+71+40+30)/1.18</f>
        <v>180.00000000000003</v>
      </c>
    </row>
    <row r="26" spans="1:13" s="1901" customFormat="1" ht="28.5" hidden="1" customHeight="1">
      <c r="A26" s="2020" t="s">
        <v>226</v>
      </c>
      <c r="B26" s="2041"/>
      <c r="C26" s="2038"/>
      <c r="D26" s="2036"/>
      <c r="E26" s="2037"/>
      <c r="F26" s="2037"/>
      <c r="G26" s="2037"/>
      <c r="K26" s="2024"/>
    </row>
    <row r="27" spans="1:13" s="1669" customFormat="1" ht="42" hidden="1" customHeight="1">
      <c r="A27" s="2020">
        <f>A24+1</f>
        <v>11</v>
      </c>
      <c r="B27" s="2040"/>
      <c r="C27" s="2038"/>
      <c r="D27" s="2038"/>
      <c r="E27" s="2034"/>
      <c r="F27" s="2034"/>
      <c r="G27" s="2034"/>
    </row>
    <row r="28" spans="1:13" s="1669" customFormat="1" ht="57.75" hidden="1" customHeight="1">
      <c r="A28" s="2020">
        <f>A27+1</f>
        <v>12</v>
      </c>
      <c r="B28" s="2040"/>
      <c r="C28" s="2039"/>
      <c r="D28" s="2033"/>
      <c r="E28" s="2034"/>
      <c r="F28" s="2034"/>
      <c r="G28" s="2034"/>
    </row>
    <row r="29" spans="1:13" s="1879" customFormat="1" ht="26.25" customHeight="1">
      <c r="A29" s="2025"/>
      <c r="B29" s="2026" t="s">
        <v>2254</v>
      </c>
      <c r="C29" s="2026"/>
      <c r="D29" s="2026"/>
      <c r="E29" s="2050">
        <f>SUM(E7:E28)</f>
        <v>0</v>
      </c>
      <c r="F29" s="2050">
        <f>SUM(F7:F28)</f>
        <v>4674.6588103389831</v>
      </c>
      <c r="G29" s="2050">
        <f>SUM(G7:G28)</f>
        <v>2928.7773338296574</v>
      </c>
    </row>
    <row r="30" spans="1:13">
      <c r="A30" s="2019" t="s">
        <v>663</v>
      </c>
      <c r="I30" s="1879" t="s">
        <v>2164</v>
      </c>
      <c r="J30" s="1879"/>
    </row>
    <row r="31" spans="1:13">
      <c r="A31" s="2019" t="s">
        <v>2500</v>
      </c>
      <c r="I31" s="1879" t="s">
        <v>2165</v>
      </c>
    </row>
    <row r="32" spans="1:13">
      <c r="A32" s="2019" t="s">
        <v>2502</v>
      </c>
      <c r="I32" s="2095">
        <f>(9777.22+10620.03+1738.25)/163699.28</f>
        <v>0.13522050921665629</v>
      </c>
    </row>
    <row r="34" spans="1:10" s="2019" customFormat="1" ht="13.2"/>
    <row r="35" spans="1:10" s="26" customFormat="1" ht="15.6">
      <c r="A35" s="98" t="s">
        <v>614</v>
      </c>
      <c r="J35" s="207"/>
    </row>
    <row r="36" spans="1:10" s="26" customFormat="1" ht="15.6">
      <c r="A36" s="98" t="s">
        <v>627</v>
      </c>
      <c r="J36" s="207"/>
    </row>
    <row r="37" spans="1:10">
      <c r="C37" s="2135"/>
    </row>
  </sheetData>
  <mergeCells count="1">
    <mergeCell ref="C18:C20"/>
  </mergeCells>
  <printOptions horizontalCentered="1"/>
  <pageMargins left="0.11811023622047245" right="0.11811023622047245" top="0.39370078740157483" bottom="0.11811023622047245" header="0.31496062992125984" footer="3.937007874015748E-2"/>
  <pageSetup paperSize="9" scale="81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tabColor rgb="FF7030A0"/>
  </sheetPr>
  <dimension ref="A1:N55"/>
  <sheetViews>
    <sheetView workbookViewId="0">
      <pane ySplit="14" topLeftCell="A15" activePane="bottomLeft" state="frozenSplit"/>
      <selection activeCell="C28" sqref="C28"/>
      <selection pane="bottomLeft" activeCell="C28" sqref="C28"/>
    </sheetView>
  </sheetViews>
  <sheetFormatPr defaultColWidth="9.109375" defaultRowHeight="15.6"/>
  <cols>
    <col min="1" max="1" width="12" style="26" customWidth="1"/>
    <col min="2" max="2" width="33.109375" style="26" customWidth="1"/>
    <col min="3" max="3" width="25.44140625" style="26" customWidth="1"/>
    <col min="4" max="4" width="19.5546875" style="26" customWidth="1"/>
    <col min="5" max="5" width="54" style="26" customWidth="1"/>
    <col min="6" max="6" width="19.44140625" style="26" customWidth="1"/>
    <col min="7" max="7" width="12.44140625" style="26" hidden="1" customWidth="1"/>
    <col min="8" max="8" width="16.88671875" style="26" hidden="1" customWidth="1"/>
    <col min="9" max="9" width="16.5546875" style="26" hidden="1" customWidth="1"/>
    <col min="10" max="10" width="19.109375" style="207" customWidth="1"/>
    <col min="11" max="11" width="15.44140625" style="26" customWidth="1"/>
    <col min="12" max="12" width="11.33203125" style="26" bestFit="1" customWidth="1"/>
    <col min="13" max="16384" width="9.109375" style="26"/>
  </cols>
  <sheetData>
    <row r="1" spans="1:13" ht="34.5" customHeight="1">
      <c r="A1" s="608" t="s">
        <v>2466</v>
      </c>
      <c r="B1" s="89"/>
      <c r="C1" s="89"/>
      <c r="D1" s="89"/>
      <c r="E1" s="89"/>
      <c r="F1" s="89"/>
      <c r="G1" s="89"/>
      <c r="H1" s="89"/>
      <c r="I1" s="89"/>
      <c r="J1" s="609"/>
      <c r="K1" s="76"/>
    </row>
    <row r="2" spans="1:13" ht="15.75" customHeight="1">
      <c r="A2" s="608"/>
      <c r="B2" s="89"/>
      <c r="C2" s="89"/>
      <c r="D2" s="89"/>
      <c r="E2" s="89"/>
      <c r="F2" s="89"/>
      <c r="G2" s="89"/>
      <c r="H2" s="89"/>
      <c r="I2" s="89"/>
      <c r="J2" s="609"/>
      <c r="K2" s="76"/>
    </row>
    <row r="3" spans="1:13" s="2073" customFormat="1">
      <c r="A3" s="2469" t="s">
        <v>2167</v>
      </c>
      <c r="B3" s="2470"/>
      <c r="C3" s="2442"/>
      <c r="D3" s="2442"/>
      <c r="E3" s="2442"/>
      <c r="F3" s="2442"/>
      <c r="G3" s="2443"/>
      <c r="H3" s="2443"/>
      <c r="I3" s="2444"/>
      <c r="J3" s="2445"/>
      <c r="K3" s="2446"/>
    </row>
    <row r="4" spans="1:13" s="2073" customFormat="1">
      <c r="A4" s="2072" t="s">
        <v>2169</v>
      </c>
      <c r="K4" s="2447"/>
    </row>
    <row r="5" spans="1:13" s="2073" customFormat="1" ht="18.75" customHeight="1">
      <c r="A5" s="2072" t="s">
        <v>2435</v>
      </c>
      <c r="B5" s="2448"/>
      <c r="C5" s="2449"/>
      <c r="D5" s="2450"/>
      <c r="E5" s="2449"/>
      <c r="F5" s="2451"/>
      <c r="G5" s="2393"/>
      <c r="H5" s="2393"/>
      <c r="I5" s="2451"/>
      <c r="J5" s="2445"/>
      <c r="K5" s="2446"/>
    </row>
    <row r="6" spans="1:13" s="2073" customFormat="1" ht="16.5" customHeight="1">
      <c r="A6" s="2072" t="s">
        <v>2458</v>
      </c>
      <c r="B6" s="2448"/>
      <c r="C6" s="2449"/>
      <c r="D6" s="2450"/>
      <c r="E6" s="2449"/>
      <c r="F6" s="2451"/>
      <c r="G6" s="2393"/>
      <c r="H6" s="2393"/>
      <c r="I6" s="2451"/>
      <c r="J6" s="2445"/>
      <c r="K6" s="2446"/>
    </row>
    <row r="7" spans="1:13" s="2073" customFormat="1">
      <c r="A7" s="2072" t="s">
        <v>2460</v>
      </c>
      <c r="K7" s="2076"/>
    </row>
    <row r="8" spans="1:13" s="2073" customFormat="1">
      <c r="A8" s="2072" t="s">
        <v>2459</v>
      </c>
      <c r="K8" s="2076"/>
    </row>
    <row r="9" spans="1:13" s="2073" customFormat="1">
      <c r="A9" s="2073" t="s">
        <v>2464</v>
      </c>
      <c r="J9" s="2077"/>
    </row>
    <row r="10" spans="1:13" s="2073" customFormat="1" ht="13.5" customHeight="1">
      <c r="A10" s="2073" t="s">
        <v>2465</v>
      </c>
      <c r="J10" s="2074">
        <f>'Реестр всп.мат.2013пром.'!F36</f>
        <v>1157.2545300000002</v>
      </c>
      <c r="K10" s="2075" t="s">
        <v>238</v>
      </c>
    </row>
    <row r="11" spans="1:13" s="2321" customFormat="1" ht="17.25" customHeight="1">
      <c r="A11" s="2321" t="s">
        <v>2506</v>
      </c>
      <c r="F11" s="2629"/>
      <c r="G11" s="2630" t="s">
        <v>1422</v>
      </c>
      <c r="J11" s="2629">
        <f>'Реестр всп.мат.2013пром.'!D38</f>
        <v>1248.6776378700001</v>
      </c>
      <c r="K11" s="2630" t="s">
        <v>238</v>
      </c>
    </row>
    <row r="12" spans="1:13" s="2073" customFormat="1" ht="12" customHeight="1">
      <c r="B12" s="2074"/>
      <c r="C12" s="2075"/>
      <c r="J12" s="2077"/>
    </row>
    <row r="13" spans="1:13" s="2073" customFormat="1">
      <c r="A13" s="2469" t="s">
        <v>2401</v>
      </c>
      <c r="B13" s="2470"/>
      <c r="C13" s="2442"/>
      <c r="D13" s="2442"/>
      <c r="E13" s="2442"/>
      <c r="F13" s="2442"/>
      <c r="G13" s="2443"/>
      <c r="H13" s="2443"/>
      <c r="I13" s="2444"/>
      <c r="J13" s="2445"/>
      <c r="K13" s="2446"/>
    </row>
    <row r="14" spans="1:13" ht="31.2">
      <c r="A14" s="82" t="s">
        <v>616</v>
      </c>
      <c r="B14" s="612" t="s">
        <v>1148</v>
      </c>
      <c r="C14" s="612" t="s">
        <v>2175</v>
      </c>
      <c r="D14" s="612" t="s">
        <v>1149</v>
      </c>
      <c r="E14" s="612" t="s">
        <v>2437</v>
      </c>
      <c r="F14" s="613" t="s">
        <v>2453</v>
      </c>
      <c r="G14" s="612" t="s">
        <v>1149</v>
      </c>
      <c r="H14" s="612" t="s">
        <v>638</v>
      </c>
      <c r="I14" s="613" t="s">
        <v>2168</v>
      </c>
      <c r="J14" s="614"/>
      <c r="K14" s="85"/>
    </row>
    <row r="15" spans="1:13">
      <c r="A15" s="1229" t="s">
        <v>2438</v>
      </c>
      <c r="B15" s="1230"/>
      <c r="C15" s="1230"/>
      <c r="D15" s="1230"/>
      <c r="E15" s="1230"/>
      <c r="F15" s="1230"/>
      <c r="G15" s="1230"/>
      <c r="H15" s="1230"/>
      <c r="I15" s="1231"/>
      <c r="J15" s="614"/>
      <c r="K15" s="85"/>
    </row>
    <row r="16" spans="1:13" s="620" customFormat="1">
      <c r="A16" s="2457" t="s">
        <v>200</v>
      </c>
      <c r="B16" s="2482" t="s">
        <v>2468</v>
      </c>
      <c r="C16" s="2347" t="s">
        <v>2180</v>
      </c>
      <c r="D16" s="2481" t="s">
        <v>2469</v>
      </c>
      <c r="E16" s="617" t="s">
        <v>2470</v>
      </c>
      <c r="F16" s="2348">
        <f>551953.58</f>
        <v>551953.57999999996</v>
      </c>
      <c r="G16" s="2060"/>
      <c r="H16" s="308"/>
      <c r="I16" s="625"/>
      <c r="J16" s="618"/>
      <c r="L16" s="2459"/>
      <c r="M16" s="2459"/>
    </row>
    <row r="17" spans="1:13" s="620" customFormat="1">
      <c r="A17" s="4113" t="s">
        <v>207</v>
      </c>
      <c r="B17" s="4116" t="s">
        <v>2471</v>
      </c>
      <c r="C17" s="4110" t="s">
        <v>2472</v>
      </c>
      <c r="D17" s="2481" t="s">
        <v>2474</v>
      </c>
      <c r="E17" s="4087" t="s">
        <v>2473</v>
      </c>
      <c r="F17" s="2348">
        <v>9078.81</v>
      </c>
      <c r="G17" s="2060"/>
      <c r="H17" s="308"/>
      <c r="I17" s="625"/>
      <c r="J17" s="618"/>
      <c r="L17" s="2459"/>
      <c r="M17" s="2459"/>
    </row>
    <row r="18" spans="1:13" s="620" customFormat="1">
      <c r="A18" s="4114"/>
      <c r="B18" s="4117"/>
      <c r="C18" s="4111"/>
      <c r="D18" s="2481" t="s">
        <v>2475</v>
      </c>
      <c r="E18" s="4095"/>
      <c r="F18" s="2348">
        <v>12127.12</v>
      </c>
      <c r="G18" s="2060"/>
      <c r="H18" s="308"/>
      <c r="I18" s="625"/>
      <c r="J18" s="618"/>
      <c r="L18" s="2459"/>
      <c r="M18" s="2459"/>
    </row>
    <row r="19" spans="1:13" s="620" customFormat="1">
      <c r="A19" s="4114"/>
      <c r="B19" s="4117"/>
      <c r="C19" s="4112"/>
      <c r="D19" s="2481" t="s">
        <v>2476</v>
      </c>
      <c r="E19" s="4095"/>
      <c r="F19" s="2348">
        <v>4847.5</v>
      </c>
      <c r="G19" s="2060"/>
      <c r="H19" s="308"/>
      <c r="I19" s="625"/>
      <c r="J19" s="618"/>
      <c r="L19" s="2459"/>
      <c r="M19" s="2459"/>
    </row>
    <row r="20" spans="1:13" s="620" customFormat="1">
      <c r="A20" s="4115"/>
      <c r="B20" s="4118"/>
      <c r="C20" s="2347" t="s">
        <v>2477</v>
      </c>
      <c r="D20" s="2481" t="s">
        <v>2478</v>
      </c>
      <c r="E20" s="4088"/>
      <c r="F20" s="2348">
        <v>97057.63</v>
      </c>
      <c r="G20" s="2060"/>
      <c r="H20" s="308"/>
      <c r="I20" s="625"/>
      <c r="J20" s="618"/>
      <c r="L20" s="2459"/>
      <c r="M20" s="2459"/>
    </row>
    <row r="21" spans="1:13" s="620" customFormat="1" ht="40.200000000000003">
      <c r="A21" s="2457" t="s">
        <v>208</v>
      </c>
      <c r="B21" s="2482" t="s">
        <v>2402</v>
      </c>
      <c r="C21" s="2347" t="s">
        <v>2441</v>
      </c>
      <c r="D21" s="2481" t="s">
        <v>2467</v>
      </c>
      <c r="E21" s="617"/>
      <c r="F21" s="2348">
        <f>127028/1.18</f>
        <v>107650.84745762713</v>
      </c>
      <c r="G21" s="2060"/>
      <c r="H21" s="308"/>
      <c r="I21" s="625"/>
      <c r="J21" s="618"/>
      <c r="L21" s="2459">
        <v>127018</v>
      </c>
      <c r="M21" s="2459" t="s">
        <v>601</v>
      </c>
    </row>
    <row r="22" spans="1:13">
      <c r="A22" s="2466" t="s">
        <v>419</v>
      </c>
      <c r="B22" s="2467"/>
      <c r="C22" s="617"/>
      <c r="D22" s="616"/>
      <c r="E22" s="617"/>
      <c r="F22" s="625">
        <f>SUM(F16:F21)</f>
        <v>782715.4874576272</v>
      </c>
      <c r="G22" s="1790"/>
      <c r="H22" s="2468"/>
      <c r="I22" s="625">
        <f>SUM(I10:I21)</f>
        <v>0</v>
      </c>
      <c r="J22" s="2074">
        <f>F22/1000*2</f>
        <v>1565.4309749152544</v>
      </c>
      <c r="K22" s="2075" t="s">
        <v>238</v>
      </c>
    </row>
    <row r="23" spans="1:13">
      <c r="A23" s="1229" t="s">
        <v>2442</v>
      </c>
      <c r="B23" s="1230"/>
      <c r="C23" s="1230"/>
      <c r="D23" s="1230"/>
      <c r="E23" s="1230"/>
      <c r="F23" s="1230"/>
      <c r="G23" s="1230"/>
      <c r="H23" s="1230"/>
      <c r="I23" s="1231"/>
      <c r="J23" s="2074">
        <f>J22*1.049</f>
        <v>1642.1370926861018</v>
      </c>
      <c r="K23" s="2075" t="s">
        <v>238</v>
      </c>
    </row>
    <row r="24" spans="1:13" s="620" customFormat="1" ht="27">
      <c r="A24" s="4113" t="s">
        <v>207</v>
      </c>
      <c r="B24" s="4121" t="s">
        <v>2427</v>
      </c>
      <c r="C24" s="2347" t="s">
        <v>2447</v>
      </c>
      <c r="D24" s="2060">
        <v>41206</v>
      </c>
      <c r="E24" s="4087" t="s">
        <v>2443</v>
      </c>
      <c r="F24" s="625">
        <v>282236.7</v>
      </c>
      <c r="G24" s="2060"/>
      <c r="H24" s="617"/>
      <c r="I24" s="625"/>
      <c r="J24" s="628"/>
      <c r="K24" s="619"/>
    </row>
    <row r="25" spans="1:13" s="620" customFormat="1" ht="27">
      <c r="A25" s="4119"/>
      <c r="B25" s="4099"/>
      <c r="C25" s="2347" t="s">
        <v>2444</v>
      </c>
      <c r="D25" s="2060">
        <v>41208</v>
      </c>
      <c r="E25" s="4095"/>
      <c r="F25" s="625">
        <v>810</v>
      </c>
      <c r="G25" s="2060"/>
      <c r="H25" s="308"/>
      <c r="I25" s="625"/>
      <c r="J25" s="618"/>
      <c r="K25" s="619"/>
    </row>
    <row r="26" spans="1:13" s="620" customFormat="1" ht="27">
      <c r="A26" s="4119"/>
      <c r="B26" s="4099"/>
      <c r="C26" s="2347" t="s">
        <v>2445</v>
      </c>
      <c r="D26" s="2060">
        <v>41206</v>
      </c>
      <c r="E26" s="4095"/>
      <c r="F26" s="625">
        <v>12400</v>
      </c>
      <c r="G26" s="2060"/>
      <c r="H26" s="308"/>
      <c r="I26" s="625"/>
      <c r="J26" s="618"/>
      <c r="K26" s="619"/>
    </row>
    <row r="27" spans="1:13" s="620" customFormat="1">
      <c r="A27" s="4119"/>
      <c r="B27" s="4099"/>
      <c r="C27" s="2347" t="s">
        <v>2446</v>
      </c>
      <c r="D27" s="2060">
        <v>41206</v>
      </c>
      <c r="E27" s="4095"/>
      <c r="F27" s="625">
        <v>2063.2800000000002</v>
      </c>
      <c r="G27" s="2060"/>
      <c r="H27" s="308"/>
      <c r="I27" s="625"/>
      <c r="J27" s="618"/>
      <c r="K27" s="619"/>
    </row>
    <row r="28" spans="1:13" s="620" customFormat="1" ht="27">
      <c r="A28" s="4120"/>
      <c r="B28" s="4100"/>
      <c r="C28" s="2347" t="s">
        <v>2448</v>
      </c>
      <c r="D28" s="2060">
        <v>41172</v>
      </c>
      <c r="E28" s="4088"/>
      <c r="F28" s="625">
        <v>729402</v>
      </c>
      <c r="G28" s="2060"/>
      <c r="H28" s="308"/>
      <c r="I28" s="625"/>
      <c r="J28" s="618"/>
      <c r="K28" s="619"/>
    </row>
    <row r="29" spans="1:13" s="620" customFormat="1" ht="15" customHeight="1">
      <c r="A29" s="2462"/>
      <c r="B29" s="2463"/>
      <c r="C29" s="2456" t="s">
        <v>640</v>
      </c>
      <c r="D29" s="2060"/>
      <c r="E29" s="617"/>
      <c r="F29" s="625">
        <f>SUM(F24:F28)</f>
        <v>1026911.98</v>
      </c>
      <c r="G29" s="2453"/>
      <c r="H29" s="2454"/>
      <c r="I29" s="2455"/>
      <c r="J29" s="2464"/>
      <c r="K29" s="2465"/>
    </row>
    <row r="30" spans="1:13" hidden="1">
      <c r="A30" s="1229" t="s">
        <v>2439</v>
      </c>
      <c r="B30" s="1230"/>
      <c r="C30" s="1230"/>
      <c r="D30" s="1230"/>
      <c r="E30" s="1230"/>
      <c r="F30" s="1230"/>
      <c r="G30" s="1230"/>
      <c r="H30" s="1230"/>
      <c r="I30" s="1231"/>
      <c r="J30" s="614"/>
      <c r="K30" s="85"/>
    </row>
    <row r="31" spans="1:13" s="620" customFormat="1" hidden="1">
      <c r="A31" s="2457" t="s">
        <v>208</v>
      </c>
      <c r="B31" s="2411"/>
      <c r="C31" s="2347" t="s">
        <v>2436</v>
      </c>
      <c r="D31" s="2060">
        <v>41578</v>
      </c>
      <c r="E31" s="617" t="s">
        <v>2440</v>
      </c>
      <c r="F31" s="625">
        <v>2189.8000000000002</v>
      </c>
      <c r="G31" s="2060"/>
      <c r="H31" s="617"/>
      <c r="I31" s="625"/>
      <c r="J31" s="628"/>
      <c r="K31" s="619"/>
    </row>
    <row r="32" spans="1:13" s="2073" customFormat="1" ht="15" customHeight="1">
      <c r="A32" s="2072" t="s">
        <v>2461</v>
      </c>
      <c r="F32" s="2074"/>
      <c r="K32" s="2076"/>
    </row>
    <row r="33" spans="1:14" s="2073" customFormat="1" ht="15" customHeight="1">
      <c r="A33" s="2072" t="s">
        <v>2479</v>
      </c>
      <c r="F33" s="2074"/>
      <c r="J33" s="2458"/>
      <c r="K33" s="2076"/>
      <c r="L33" s="2452">
        <f>F22/1000*2</f>
        <v>1565.4309749152544</v>
      </c>
      <c r="M33" s="2452" t="s">
        <v>238</v>
      </c>
    </row>
    <row r="34" spans="1:14" s="2073" customFormat="1" ht="18">
      <c r="A34" s="2073" t="s">
        <v>2480</v>
      </c>
      <c r="F34" s="2074"/>
      <c r="L34" s="2452">
        <f>L33*1.049</f>
        <v>1642.1370926861018</v>
      </c>
      <c r="M34" s="2452" t="s">
        <v>238</v>
      </c>
    </row>
    <row r="35" spans="1:14">
      <c r="A35" s="26" t="s">
        <v>2462</v>
      </c>
      <c r="F35" s="2074"/>
      <c r="J35" s="2075"/>
      <c r="L35" s="2452">
        <f>L33*'Услуги стор.орг.-2021'!I6</f>
        <v>0</v>
      </c>
      <c r="M35" s="2452" t="s">
        <v>238</v>
      </c>
    </row>
    <row r="36" spans="1:14">
      <c r="A36" s="26" t="s">
        <v>2481</v>
      </c>
      <c r="I36" s="2362">
        <f>F32*N38</f>
        <v>0</v>
      </c>
      <c r="J36" s="2074">
        <f>J22*0.1348</f>
        <v>211.02009541857629</v>
      </c>
      <c r="K36" s="2075" t="s">
        <v>238</v>
      </c>
      <c r="L36" s="2452">
        <f>L34*13.48%</f>
        <v>221.36008009408653</v>
      </c>
      <c r="M36" s="2452" t="s">
        <v>238</v>
      </c>
    </row>
    <row r="37" spans="1:14">
      <c r="A37" s="26" t="s">
        <v>2482</v>
      </c>
      <c r="I37" s="2362"/>
      <c r="J37" s="2074">
        <f>J36*1.049</f>
        <v>221.36008009408653</v>
      </c>
      <c r="K37" s="2075" t="s">
        <v>238</v>
      </c>
      <c r="L37" s="2452"/>
      <c r="M37" s="2452"/>
    </row>
    <row r="38" spans="1:14" s="106" customFormat="1" ht="13.8">
      <c r="A38" s="2460" t="s">
        <v>2449</v>
      </c>
      <c r="J38" s="1812"/>
      <c r="N38" s="2461">
        <f>'2016 тсо НК Энергосб'!$B$9/('2016 тсо НК Энергосб'!$B$9+'2016 тсо НК Энергосб'!$B$60)</f>
        <v>2.8004932022727864E-3</v>
      </c>
    </row>
    <row r="39" spans="1:14" s="106" customFormat="1" ht="13.8">
      <c r="A39" s="2460"/>
      <c r="J39" s="1812"/>
      <c r="N39" s="2461"/>
    </row>
    <row r="40" spans="1:14" s="106" customFormat="1" ht="13.8">
      <c r="A40" s="2460" t="s">
        <v>2457</v>
      </c>
      <c r="J40" s="1812"/>
      <c r="N40" s="2461"/>
    </row>
    <row r="41" spans="1:14" s="106" customFormat="1" ht="9.75" customHeight="1">
      <c r="A41" s="2460"/>
      <c r="J41" s="1812"/>
      <c r="N41" s="2461"/>
    </row>
    <row r="42" spans="1:14" ht="34.5" customHeight="1">
      <c r="A42" s="2475" t="s">
        <v>2456</v>
      </c>
      <c r="B42" s="2476"/>
      <c r="C42" s="2479" t="s">
        <v>2463</v>
      </c>
      <c r="D42" s="2479"/>
    </row>
    <row r="43" spans="1:14" ht="16.5" customHeight="1">
      <c r="A43" s="2477"/>
      <c r="B43" s="2478"/>
      <c r="C43" s="2471" t="s">
        <v>1314</v>
      </c>
      <c r="D43" s="2471" t="s">
        <v>1315</v>
      </c>
    </row>
    <row r="44" spans="1:14" s="106" customFormat="1" ht="21.75" customHeight="1">
      <c r="A44" s="2472" t="s">
        <v>2454</v>
      </c>
      <c r="B44" s="1826"/>
      <c r="C44" s="2480">
        <f>'Реестр всп.мат.2013пром.'!F36</f>
        <v>1157.2545300000002</v>
      </c>
      <c r="D44" s="2480">
        <f>'Реестр всп.мат.2013пром.'!D38</f>
        <v>1248.6776378700001</v>
      </c>
      <c r="J44" s="1812"/>
      <c r="N44" s="2461"/>
    </row>
    <row r="45" spans="1:14" s="106" customFormat="1" ht="20.25" customHeight="1">
      <c r="A45" s="2472" t="s">
        <v>2455</v>
      </c>
      <c r="B45" s="1826"/>
      <c r="C45" s="2480">
        <f>L35</f>
        <v>0</v>
      </c>
      <c r="D45" s="2480">
        <f>L36</f>
        <v>221.36008009408653</v>
      </c>
      <c r="J45" s="1812"/>
      <c r="N45" s="2461"/>
    </row>
    <row r="46" spans="1:14" ht="17.25" customHeight="1">
      <c r="A46" s="2473"/>
      <c r="B46" s="2474" t="s">
        <v>640</v>
      </c>
      <c r="C46" s="1793">
        <f>SUM(C44:C45)</f>
        <v>1157.2545300000002</v>
      </c>
      <c r="D46" s="1793">
        <f>SUM(D44:D45)</f>
        <v>1470.0377179640866</v>
      </c>
    </row>
    <row r="47" spans="1:14" ht="13.5" customHeight="1"/>
    <row r="54" spans="1:1">
      <c r="A54" s="98" t="s">
        <v>614</v>
      </c>
    </row>
    <row r="55" spans="1:1">
      <c r="A55" s="98" t="s">
        <v>627</v>
      </c>
    </row>
  </sheetData>
  <mergeCells count="7">
    <mergeCell ref="C17:C19"/>
    <mergeCell ref="A17:A20"/>
    <mergeCell ref="B17:B20"/>
    <mergeCell ref="E17:E20"/>
    <mergeCell ref="E24:E28"/>
    <mergeCell ref="A24:A28"/>
    <mergeCell ref="B24:B28"/>
  </mergeCells>
  <printOptions horizontalCentered="1"/>
  <pageMargins left="0.19685039370078741" right="0.19685039370078741" top="0.78740157480314965" bottom="0.11811023622047245" header="0.51181102362204722" footer="3.937007874015748E-2"/>
  <pageSetup paperSize="9" scale="81" orientation="landscape" r:id="rId1"/>
  <headerFooter alignWithMargins="0">
    <oddFooter>&amp;R&amp;P</oddFooter>
  </headerFooter>
  <colBreaks count="1" manualBreakCount="1">
    <brk id="9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tabColor rgb="FF7030A0"/>
  </sheetPr>
  <dimension ref="A1:U105"/>
  <sheetViews>
    <sheetView workbookViewId="0">
      <pane ySplit="3" topLeftCell="A4" activePane="bottomLeft" state="frozenSplit"/>
      <selection activeCell="I46" sqref="I46"/>
      <selection pane="bottomLeft" activeCell="G102" sqref="G102"/>
    </sheetView>
  </sheetViews>
  <sheetFormatPr defaultColWidth="9.109375" defaultRowHeight="15.6"/>
  <cols>
    <col min="1" max="1" width="3.33203125" style="26" customWidth="1"/>
    <col min="2" max="2" width="34.88671875" style="26" customWidth="1"/>
    <col min="3" max="3" width="28.44140625" style="26" customWidth="1"/>
    <col min="4" max="4" width="13.5546875" style="26" customWidth="1"/>
    <col min="5" max="5" width="17" style="26" customWidth="1"/>
    <col min="6" max="6" width="17.33203125" style="26" customWidth="1"/>
    <col min="7" max="7" width="12.44140625" style="26" customWidth="1"/>
    <col min="8" max="8" width="16.88671875" style="26" customWidth="1"/>
    <col min="9" max="9" width="16.5546875" style="26" customWidth="1"/>
    <col min="10" max="10" width="19.109375" style="207" customWidth="1"/>
    <col min="11" max="11" width="15.44140625" style="26" customWidth="1"/>
    <col min="12" max="12" width="11.33203125" style="26" bestFit="1" customWidth="1"/>
    <col min="13" max="16384" width="9.109375" style="26"/>
  </cols>
  <sheetData>
    <row r="1" spans="1:11" ht="31.8">
      <c r="A1" s="608" t="s">
        <v>2233</v>
      </c>
      <c r="B1" s="89"/>
      <c r="C1" s="89"/>
      <c r="D1" s="89"/>
      <c r="E1" s="89"/>
      <c r="F1" s="89"/>
      <c r="G1" s="89"/>
      <c r="H1" s="89"/>
      <c r="I1" s="89"/>
      <c r="J1" s="609"/>
      <c r="K1" s="76"/>
    </row>
    <row r="2" spans="1:11" ht="18">
      <c r="A2" s="2055"/>
      <c r="B2" s="2013"/>
      <c r="C2" s="2013"/>
      <c r="D2" s="2013"/>
      <c r="E2" s="2015"/>
      <c r="F2" s="2013"/>
      <c r="G2" s="2013"/>
      <c r="H2" s="2013"/>
      <c r="I2" s="875" t="s">
        <v>1401</v>
      </c>
      <c r="J2" s="611"/>
      <c r="K2" s="76"/>
    </row>
    <row r="3" spans="1:11" ht="44.4">
      <c r="A3" s="82" t="s">
        <v>616</v>
      </c>
      <c r="B3" s="612" t="s">
        <v>1148</v>
      </c>
      <c r="C3" s="612" t="s">
        <v>2175</v>
      </c>
      <c r="D3" s="612" t="s">
        <v>1149</v>
      </c>
      <c r="E3" s="612" t="s">
        <v>1150</v>
      </c>
      <c r="F3" s="613" t="s">
        <v>1151</v>
      </c>
      <c r="G3" s="612" t="s">
        <v>1149</v>
      </c>
      <c r="H3" s="612" t="s">
        <v>638</v>
      </c>
      <c r="I3" s="613" t="s">
        <v>2168</v>
      </c>
      <c r="J3" s="614"/>
      <c r="K3" s="85"/>
    </row>
    <row r="4" spans="1:11">
      <c r="A4" s="1232" t="s">
        <v>2167</v>
      </c>
      <c r="B4" s="1233"/>
      <c r="C4" s="1233"/>
      <c r="D4" s="1233"/>
      <c r="E4" s="1233"/>
      <c r="F4" s="1233"/>
      <c r="G4" s="1233"/>
      <c r="H4" s="1233"/>
      <c r="I4" s="1234"/>
      <c r="J4" s="614"/>
      <c r="K4" s="85"/>
    </row>
    <row r="5" spans="1:11">
      <c r="A5" s="1229" t="s">
        <v>2172</v>
      </c>
      <c r="B5" s="1230"/>
      <c r="C5" s="1230"/>
      <c r="D5" s="1230"/>
      <c r="E5" s="1230"/>
      <c r="F5" s="1230"/>
      <c r="G5" s="1230"/>
      <c r="H5" s="1230"/>
      <c r="I5" s="1231"/>
      <c r="J5" s="614"/>
      <c r="K5" s="85"/>
    </row>
    <row r="6" spans="1:11" s="620" customFormat="1" ht="27" customHeight="1">
      <c r="A6" s="615" t="s">
        <v>200</v>
      </c>
      <c r="B6" s="4116" t="s">
        <v>2173</v>
      </c>
      <c r="C6" s="617" t="s">
        <v>2176</v>
      </c>
      <c r="D6" s="2060">
        <v>41471</v>
      </c>
      <c r="E6" s="617" t="s">
        <v>2174</v>
      </c>
      <c r="F6" s="625">
        <v>70895.58</v>
      </c>
      <c r="G6" s="2060">
        <v>41499</v>
      </c>
      <c r="H6" s="617" t="s">
        <v>2188</v>
      </c>
      <c r="I6" s="625">
        <v>70895.58</v>
      </c>
      <c r="J6" s="628"/>
      <c r="K6" s="619"/>
    </row>
    <row r="7" spans="1:11" s="620" customFormat="1" ht="20.25" customHeight="1">
      <c r="A7" s="615" t="s">
        <v>207</v>
      </c>
      <c r="B7" s="4122"/>
      <c r="C7" s="617" t="s">
        <v>2178</v>
      </c>
      <c r="D7" s="2060">
        <v>41523</v>
      </c>
      <c r="E7" s="617" t="s">
        <v>2177</v>
      </c>
      <c r="F7" s="625">
        <v>4705.4399999999996</v>
      </c>
      <c r="G7" s="2060">
        <v>41534</v>
      </c>
      <c r="H7" s="308" t="s">
        <v>2189</v>
      </c>
      <c r="I7" s="625">
        <v>4705.4399999999996</v>
      </c>
      <c r="J7" s="618"/>
      <c r="K7" s="619"/>
    </row>
    <row r="8" spans="1:11" s="620" customFormat="1" ht="20.25" customHeight="1">
      <c r="A8" s="623"/>
      <c r="B8" s="4122"/>
      <c r="C8" s="617" t="s">
        <v>2205</v>
      </c>
      <c r="D8" s="2060">
        <v>41544</v>
      </c>
      <c r="E8" s="617" t="s">
        <v>2357</v>
      </c>
      <c r="F8" s="625">
        <v>171509.69</v>
      </c>
      <c r="G8" s="2060">
        <v>41523</v>
      </c>
      <c r="H8" s="308" t="s">
        <v>2204</v>
      </c>
      <c r="I8" s="625">
        <v>171509.69</v>
      </c>
      <c r="J8" s="618"/>
      <c r="K8" s="619"/>
    </row>
    <row r="9" spans="1:11" s="620" customFormat="1" ht="20.25" customHeight="1">
      <c r="A9" s="623"/>
      <c r="B9" s="4122"/>
      <c r="C9" s="617" t="s">
        <v>2206</v>
      </c>
      <c r="D9" s="2060">
        <v>41506</v>
      </c>
      <c r="E9" s="617" t="s">
        <v>2360</v>
      </c>
      <c r="F9" s="625">
        <v>13336.24</v>
      </c>
      <c r="G9" s="2060">
        <v>41523</v>
      </c>
      <c r="H9" s="308" t="s">
        <v>2207</v>
      </c>
      <c r="I9" s="625">
        <v>171509.69</v>
      </c>
      <c r="J9" s="618"/>
      <c r="K9" s="619"/>
    </row>
    <row r="10" spans="1:11" s="620" customFormat="1" ht="20.25" customHeight="1">
      <c r="A10" s="623"/>
      <c r="B10" s="4122"/>
      <c r="C10" s="617" t="s">
        <v>2180</v>
      </c>
      <c r="D10" s="2060">
        <v>41508</v>
      </c>
      <c r="E10" s="617" t="s">
        <v>2359</v>
      </c>
      <c r="F10" s="625">
        <v>505825.11</v>
      </c>
      <c r="G10" s="2060">
        <v>41523</v>
      </c>
      <c r="H10" s="308" t="s">
        <v>2202</v>
      </c>
      <c r="I10" s="625">
        <v>505825.11</v>
      </c>
      <c r="J10" s="618"/>
      <c r="K10" s="619"/>
    </row>
    <row r="11" spans="1:11" s="620" customFormat="1" ht="20.25" customHeight="1">
      <c r="A11" s="623"/>
      <c r="B11" s="4122"/>
      <c r="C11" s="617" t="s">
        <v>2180</v>
      </c>
      <c r="D11" s="2060">
        <v>41544</v>
      </c>
      <c r="E11" s="617" t="s">
        <v>2358</v>
      </c>
      <c r="F11" s="625">
        <v>133894.6</v>
      </c>
      <c r="G11" s="2060">
        <v>41523</v>
      </c>
      <c r="H11" s="308" t="s">
        <v>2203</v>
      </c>
      <c r="I11" s="625">
        <v>133894.6</v>
      </c>
      <c r="J11" s="618"/>
      <c r="K11" s="619"/>
    </row>
    <row r="12" spans="1:11" s="620" customFormat="1" ht="20.25" customHeight="1">
      <c r="A12" s="623" t="s">
        <v>208</v>
      </c>
      <c r="B12" s="4122"/>
      <c r="C12" s="617" t="s">
        <v>2180</v>
      </c>
      <c r="D12" s="2060">
        <v>41541</v>
      </c>
      <c r="E12" s="617" t="s">
        <v>2179</v>
      </c>
      <c r="F12" s="625">
        <v>16413.8</v>
      </c>
      <c r="G12" s="2060">
        <v>41563</v>
      </c>
      <c r="H12" s="308" t="s">
        <v>2190</v>
      </c>
      <c r="I12" s="625">
        <v>16413.8</v>
      </c>
      <c r="J12" s="628">
        <f>SUM(F7:F12)</f>
        <v>845684.88</v>
      </c>
      <c r="K12" s="619">
        <f>J12-I7</f>
        <v>840979.44000000006</v>
      </c>
    </row>
    <row r="13" spans="1:11" s="620" customFormat="1" ht="20.25" customHeight="1">
      <c r="A13" s="615" t="s">
        <v>210</v>
      </c>
      <c r="B13" s="4123"/>
      <c r="C13" s="617" t="s">
        <v>2182</v>
      </c>
      <c r="D13" s="2060">
        <v>41621</v>
      </c>
      <c r="E13" s="617" t="s">
        <v>2181</v>
      </c>
      <c r="F13" s="625">
        <v>4958.83</v>
      </c>
      <c r="G13" s="2060">
        <v>41634</v>
      </c>
      <c r="H13" s="617" t="s">
        <v>2191</v>
      </c>
      <c r="I13" s="625">
        <v>4958.83</v>
      </c>
      <c r="J13" s="618"/>
      <c r="K13" s="619"/>
    </row>
    <row r="14" spans="1:11" s="620" customFormat="1" ht="20.25" customHeight="1">
      <c r="A14" s="623" t="s">
        <v>212</v>
      </c>
      <c r="B14" s="2061" t="s">
        <v>1948</v>
      </c>
      <c r="C14" s="617" t="s">
        <v>2184</v>
      </c>
      <c r="D14" s="2060">
        <v>41389</v>
      </c>
      <c r="E14" s="617" t="s">
        <v>2183</v>
      </c>
      <c r="F14" s="625">
        <v>77541.789999999994</v>
      </c>
      <c r="G14" s="2060">
        <v>41367</v>
      </c>
      <c r="H14" s="617" t="s">
        <v>2187</v>
      </c>
      <c r="I14" s="625">
        <v>77541.789999999994</v>
      </c>
      <c r="J14" s="628"/>
      <c r="K14" s="619"/>
    </row>
    <row r="15" spans="1:11" s="620" customFormat="1" ht="28.2">
      <c r="A15" s="623" t="s">
        <v>215</v>
      </c>
      <c r="B15" s="2062" t="s">
        <v>2185</v>
      </c>
      <c r="C15" s="617" t="s">
        <v>2176</v>
      </c>
      <c r="D15" s="2060">
        <v>41358</v>
      </c>
      <c r="E15" s="617" t="s">
        <v>2186</v>
      </c>
      <c r="F15" s="625">
        <v>17300.28</v>
      </c>
      <c r="G15" s="4092"/>
      <c r="H15" s="4087"/>
      <c r="I15" s="4089"/>
      <c r="K15" s="619"/>
    </row>
    <row r="16" spans="1:11" s="620" customFormat="1" ht="20.25" customHeight="1">
      <c r="A16" s="623" t="s">
        <v>218</v>
      </c>
      <c r="B16" s="2059"/>
      <c r="C16" s="617"/>
      <c r="D16" s="2016"/>
      <c r="E16" s="617"/>
      <c r="F16" s="625"/>
      <c r="G16" s="4093"/>
      <c r="H16" s="4095"/>
      <c r="I16" s="4096"/>
      <c r="J16" s="628"/>
      <c r="K16" s="618"/>
    </row>
    <row r="17" spans="1:11" s="620" customFormat="1" ht="20.25" customHeight="1">
      <c r="A17" s="623" t="s">
        <v>226</v>
      </c>
      <c r="B17" s="2059"/>
      <c r="C17" s="617"/>
      <c r="D17" s="2016"/>
      <c r="E17" s="617"/>
      <c r="F17" s="625"/>
      <c r="G17" s="4094"/>
      <c r="H17" s="4088"/>
      <c r="I17" s="4090"/>
      <c r="J17" s="628">
        <f>SUM(F15:F17)</f>
        <v>17300.28</v>
      </c>
      <c r="K17" s="619"/>
    </row>
    <row r="18" spans="1:11" s="620" customFormat="1" ht="20.25" hidden="1" customHeight="1">
      <c r="A18" s="623"/>
      <c r="B18" s="2011"/>
      <c r="C18" s="1236"/>
      <c r="D18" s="2013"/>
      <c r="E18" s="1236"/>
      <c r="F18" s="1237"/>
      <c r="G18" s="2013"/>
      <c r="H18" s="1236"/>
      <c r="I18" s="1237"/>
      <c r="J18" s="628"/>
      <c r="K18" s="619"/>
    </row>
    <row r="19" spans="1:11" s="620" customFormat="1" ht="20.25" hidden="1" customHeight="1">
      <c r="A19" s="623"/>
      <c r="B19" s="2011"/>
      <c r="C19" s="1236"/>
      <c r="D19" s="2013"/>
      <c r="E19" s="1236"/>
      <c r="F19" s="2013"/>
      <c r="G19" s="2013"/>
      <c r="H19" s="1236"/>
      <c r="I19" s="1237"/>
      <c r="J19" s="628"/>
      <c r="K19" s="628"/>
    </row>
    <row r="20" spans="1:11" s="620" customFormat="1" ht="20.25" hidden="1" customHeight="1">
      <c r="A20" s="615"/>
      <c r="B20" s="2011"/>
      <c r="C20" s="1236"/>
      <c r="D20" s="2013"/>
      <c r="E20" s="1236"/>
      <c r="F20" s="2013"/>
      <c r="G20" s="2013"/>
      <c r="H20" s="1236"/>
      <c r="I20" s="2013"/>
      <c r="J20" s="628"/>
      <c r="K20" s="619"/>
    </row>
    <row r="21" spans="1:11" s="620" customFormat="1" ht="19.5" hidden="1" customHeight="1">
      <c r="A21" s="615"/>
      <c r="B21" s="2011"/>
      <c r="C21" s="1236"/>
      <c r="D21" s="2013"/>
      <c r="E21" s="1236"/>
      <c r="F21" s="1237"/>
      <c r="G21" s="2013"/>
      <c r="H21" s="1236"/>
      <c r="I21" s="1237"/>
      <c r="J21" s="628"/>
      <c r="K21" s="619"/>
    </row>
    <row r="22" spans="1:11" s="620" customFormat="1" ht="19.5" hidden="1" customHeight="1">
      <c r="A22" s="615"/>
      <c r="B22" s="2011"/>
      <c r="C22" s="1236"/>
      <c r="D22" s="2013"/>
      <c r="E22" s="1236"/>
      <c r="F22" s="1237"/>
      <c r="G22" s="2013"/>
      <c r="H22" s="1236"/>
      <c r="I22" s="1237"/>
      <c r="J22" s="628"/>
      <c r="K22" s="619"/>
    </row>
    <row r="23" spans="1:11" s="620" customFormat="1" ht="19.5" hidden="1" customHeight="1">
      <c r="A23" s="615"/>
      <c r="B23" s="2011"/>
      <c r="C23" s="1236"/>
      <c r="D23" s="2013"/>
      <c r="E23" s="1236"/>
      <c r="F23" s="1237"/>
      <c r="G23" s="2013"/>
      <c r="H23" s="1236"/>
      <c r="I23" s="1237"/>
      <c r="J23" s="628"/>
      <c r="K23" s="619"/>
    </row>
    <row r="24" spans="1:11" s="620" customFormat="1" ht="19.5" hidden="1" customHeight="1">
      <c r="A24" s="615"/>
      <c r="B24" s="2011"/>
      <c r="C24" s="1236"/>
      <c r="D24" s="2013"/>
      <c r="E24" s="1236"/>
      <c r="F24" s="1237"/>
      <c r="G24" s="2013"/>
      <c r="H24" s="1236"/>
      <c r="I24" s="1237"/>
      <c r="J24" s="628"/>
      <c r="K24" s="619"/>
    </row>
    <row r="25" spans="1:11" s="620" customFormat="1" ht="19.5" hidden="1" customHeight="1">
      <c r="A25" s="615"/>
      <c r="B25" s="2011"/>
      <c r="C25" s="1236"/>
      <c r="D25" s="1235"/>
      <c r="E25" s="1236"/>
      <c r="F25" s="1237"/>
      <c r="G25" s="2013"/>
      <c r="H25" s="1236"/>
      <c r="I25" s="1237"/>
      <c r="J25" s="628"/>
      <c r="K25" s="619"/>
    </row>
    <row r="26" spans="1:11" s="620" customFormat="1" ht="19.5" hidden="1" customHeight="1">
      <c r="A26" s="615"/>
      <c r="B26" s="1003"/>
      <c r="C26" s="1236"/>
      <c r="D26" s="1235"/>
      <c r="E26" s="1236"/>
      <c r="F26" s="1237"/>
      <c r="G26" s="2013"/>
      <c r="H26" s="1236"/>
      <c r="I26" s="1237"/>
      <c r="J26" s="628"/>
      <c r="K26" s="619"/>
    </row>
    <row r="27" spans="1:11" s="620" customFormat="1" ht="19.5" hidden="1" customHeight="1">
      <c r="A27" s="615"/>
      <c r="B27" s="2012"/>
      <c r="C27" s="617"/>
      <c r="D27" s="1002"/>
      <c r="E27" s="617"/>
      <c r="F27" s="625"/>
      <c r="G27" s="2013"/>
      <c r="H27" s="617"/>
      <c r="I27" s="625"/>
      <c r="J27" s="628">
        <f>SUM(F23:F27)</f>
        <v>0</v>
      </c>
      <c r="K27" s="619"/>
    </row>
    <row r="28" spans="1:11" s="620" customFormat="1" ht="19.5" hidden="1" customHeight="1">
      <c r="A28" s="615"/>
      <c r="B28" s="2012"/>
      <c r="C28" s="617"/>
      <c r="D28" s="1002"/>
      <c r="E28" s="617"/>
      <c r="F28" s="625"/>
      <c r="G28" s="2013"/>
      <c r="H28" s="617"/>
      <c r="I28" s="625"/>
      <c r="J28" s="628">
        <f>SUM(F24:F28)</f>
        <v>0</v>
      </c>
      <c r="K28" s="619"/>
    </row>
    <row r="29" spans="1:11" s="620" customFormat="1" ht="19.5" hidden="1" customHeight="1">
      <c r="A29" s="615"/>
      <c r="B29" s="2012"/>
      <c r="C29" s="617"/>
      <c r="D29" s="1002"/>
      <c r="E29" s="617"/>
      <c r="F29" s="625"/>
      <c r="G29" s="2013"/>
      <c r="H29" s="617"/>
      <c r="I29" s="625"/>
      <c r="J29" s="628">
        <f>SUM(F25:F29)</f>
        <v>0</v>
      </c>
      <c r="K29" s="619"/>
    </row>
    <row r="30" spans="1:11">
      <c r="A30" s="622" t="s">
        <v>419</v>
      </c>
      <c r="B30" s="624"/>
      <c r="C30" s="621"/>
      <c r="D30" s="616"/>
      <c r="E30" s="621"/>
      <c r="F30" s="627">
        <f>SUM(F6:F29)</f>
        <v>1016381.3600000001</v>
      </c>
      <c r="G30" s="1790"/>
      <c r="H30" s="2014"/>
      <c r="I30" s="627">
        <f>SUM(I6:I29)</f>
        <v>1157254.5300000003</v>
      </c>
      <c r="J30" s="2013"/>
      <c r="K30" s="85"/>
    </row>
    <row r="31" spans="1:11" ht="36" hidden="1" customHeight="1">
      <c r="A31" s="1239" t="s">
        <v>1606</v>
      </c>
      <c r="B31" s="630"/>
      <c r="C31" s="632"/>
      <c r="D31" s="631"/>
      <c r="E31" s="632"/>
      <c r="F31" s="633"/>
      <c r="G31" s="80"/>
      <c r="H31" s="80"/>
      <c r="I31" s="633"/>
      <c r="J31" s="614"/>
      <c r="K31" s="85"/>
    </row>
    <row r="32" spans="1:11" s="172" customFormat="1">
      <c r="A32" s="551" t="s">
        <v>2169</v>
      </c>
      <c r="K32" s="1005"/>
    </row>
    <row r="33" spans="1:12" ht="18.75" customHeight="1">
      <c r="A33" s="551" t="s">
        <v>2193</v>
      </c>
      <c r="B33" s="630"/>
      <c r="C33" s="632"/>
      <c r="D33" s="631"/>
      <c r="E33" s="632"/>
      <c r="F33" s="633"/>
      <c r="G33" s="80"/>
      <c r="H33" s="80"/>
      <c r="I33" s="633"/>
      <c r="J33" s="614"/>
      <c r="K33" s="85"/>
    </row>
    <row r="34" spans="1:12" ht="18.75" customHeight="1">
      <c r="A34" s="551" t="s">
        <v>2170</v>
      </c>
      <c r="B34" s="630"/>
      <c r="C34" s="632"/>
      <c r="D34" s="631"/>
      <c r="E34" s="632"/>
      <c r="F34" s="633"/>
      <c r="G34" s="80"/>
      <c r="H34" s="80"/>
      <c r="I34" s="633"/>
      <c r="J34" s="614"/>
      <c r="K34" s="85"/>
    </row>
    <row r="35" spans="1:12" s="2054" customFormat="1" hidden="1">
      <c r="A35" s="2056" t="s">
        <v>2171</v>
      </c>
      <c r="K35" s="2057"/>
    </row>
    <row r="36" spans="1:12" s="2073" customFormat="1" ht="22.5" customHeight="1">
      <c r="A36" s="2072" t="s">
        <v>2208</v>
      </c>
      <c r="F36" s="2074">
        <f>$I$30/1000</f>
        <v>1157.2545300000002</v>
      </c>
      <c r="G36" s="2075" t="s">
        <v>1422</v>
      </c>
      <c r="K36" s="2076"/>
    </row>
    <row r="37" spans="1:12" s="2073" customFormat="1" ht="18">
      <c r="A37" s="2073" t="s">
        <v>2504</v>
      </c>
      <c r="J37" s="2077"/>
    </row>
    <row r="38" spans="1:12" s="2073" customFormat="1" ht="13.5" customHeight="1">
      <c r="C38" s="2010" t="s">
        <v>2505</v>
      </c>
      <c r="D38" s="2089">
        <f>$F$36*1.079</f>
        <v>1248.6776378700001</v>
      </c>
      <c r="E38" s="2075" t="s">
        <v>238</v>
      </c>
      <c r="J38" s="2077"/>
    </row>
    <row r="39" spans="1:12" s="172" customFormat="1">
      <c r="B39" s="1004"/>
      <c r="C39" s="186"/>
      <c r="D39" s="1238"/>
      <c r="E39" s="186"/>
      <c r="J39" s="250"/>
    </row>
    <row r="40" spans="1:12" ht="44.4" hidden="1">
      <c r="A40" s="82" t="s">
        <v>616</v>
      </c>
      <c r="B40" s="612" t="s">
        <v>1148</v>
      </c>
      <c r="C40" s="612" t="s">
        <v>1150</v>
      </c>
      <c r="D40" s="612" t="s">
        <v>1149</v>
      </c>
      <c r="E40" s="612" t="s">
        <v>1150</v>
      </c>
      <c r="F40" s="613" t="s">
        <v>1151</v>
      </c>
      <c r="G40" s="612" t="s">
        <v>1149</v>
      </c>
      <c r="H40" s="612" t="s">
        <v>638</v>
      </c>
      <c r="I40" s="613" t="s">
        <v>1152</v>
      </c>
      <c r="J40" s="614"/>
      <c r="K40" s="85"/>
    </row>
    <row r="41" spans="1:12" hidden="1">
      <c r="A41" s="1232" t="s">
        <v>1546</v>
      </c>
      <c r="B41" s="1233"/>
      <c r="C41" s="1233"/>
      <c r="D41" s="1233"/>
      <c r="E41" s="1233"/>
      <c r="F41" s="1233"/>
      <c r="G41" s="1233"/>
      <c r="H41" s="1233"/>
      <c r="I41" s="1234"/>
      <c r="J41" s="614"/>
      <c r="K41" s="85"/>
    </row>
    <row r="42" spans="1:12" hidden="1">
      <c r="A42" s="1229" t="s">
        <v>1402</v>
      </c>
      <c r="B42" s="1230"/>
      <c r="C42" s="1230"/>
      <c r="D42" s="1230"/>
      <c r="E42" s="1230"/>
      <c r="F42" s="1230"/>
      <c r="G42" s="1230"/>
      <c r="H42" s="1230"/>
      <c r="I42" s="1231"/>
      <c r="J42" s="614"/>
      <c r="K42" s="85"/>
    </row>
    <row r="43" spans="1:12" s="620" customFormat="1" ht="19.5" hidden="1" customHeight="1">
      <c r="A43" s="615" t="s">
        <v>200</v>
      </c>
      <c r="B43" s="4097" t="s">
        <v>1547</v>
      </c>
      <c r="C43" s="617" t="s">
        <v>1603</v>
      </c>
      <c r="D43" s="1002" t="s">
        <v>1548</v>
      </c>
      <c r="E43" s="617" t="s">
        <v>1603</v>
      </c>
      <c r="F43" s="625">
        <v>15642.8</v>
      </c>
      <c r="G43" s="1002" t="s">
        <v>1627</v>
      </c>
      <c r="H43" s="617">
        <v>68</v>
      </c>
      <c r="I43" s="625">
        <v>37678.5</v>
      </c>
      <c r="J43" s="628"/>
      <c r="K43" s="619"/>
    </row>
    <row r="44" spans="1:12" s="620" customFormat="1" ht="19.5" hidden="1" customHeight="1">
      <c r="A44" s="615" t="s">
        <v>207</v>
      </c>
      <c r="B44" s="4098"/>
      <c r="C44" s="617" t="s">
        <v>1551</v>
      </c>
      <c r="D44" s="1002" t="s">
        <v>1550</v>
      </c>
      <c r="E44" s="617" t="s">
        <v>1551</v>
      </c>
      <c r="F44" s="625">
        <v>20392.5</v>
      </c>
      <c r="G44" s="1002" t="s">
        <v>1628</v>
      </c>
      <c r="H44" s="617">
        <v>98</v>
      </c>
      <c r="I44" s="625">
        <v>3180</v>
      </c>
      <c r="J44" s="628"/>
      <c r="K44" s="628">
        <f>SUM(F43:F44)</f>
        <v>36035.300000000003</v>
      </c>
      <c r="L44" s="628">
        <f>SUM(I43:I44)</f>
        <v>40858.5</v>
      </c>
    </row>
    <row r="45" spans="1:12" s="620" customFormat="1" ht="20.25" hidden="1" customHeight="1">
      <c r="A45" s="623" t="s">
        <v>208</v>
      </c>
      <c r="B45" s="4099"/>
      <c r="C45" s="617" t="s">
        <v>1553</v>
      </c>
      <c r="D45" s="1002" t="s">
        <v>1552</v>
      </c>
      <c r="E45" s="617" t="s">
        <v>1553</v>
      </c>
      <c r="F45" s="625">
        <v>24197</v>
      </c>
      <c r="G45" s="1002" t="s">
        <v>1630</v>
      </c>
      <c r="H45" s="617">
        <v>119</v>
      </c>
      <c r="I45" s="625">
        <v>24197</v>
      </c>
      <c r="J45" s="618"/>
      <c r="K45" s="619"/>
    </row>
    <row r="46" spans="1:12" s="620" customFormat="1" ht="20.25" hidden="1" customHeight="1">
      <c r="A46" s="615" t="s">
        <v>210</v>
      </c>
      <c r="B46" s="4099"/>
      <c r="C46" s="617" t="s">
        <v>1555</v>
      </c>
      <c r="D46" s="1002" t="s">
        <v>1554</v>
      </c>
      <c r="E46" s="617" t="s">
        <v>1555</v>
      </c>
      <c r="F46" s="625">
        <v>6850</v>
      </c>
      <c r="G46" s="1002" t="s">
        <v>1632</v>
      </c>
      <c r="H46" s="617">
        <v>231</v>
      </c>
      <c r="I46" s="625">
        <v>6850</v>
      </c>
      <c r="J46" s="628"/>
      <c r="K46" s="619"/>
    </row>
    <row r="47" spans="1:12" s="620" customFormat="1" ht="20.25" hidden="1" customHeight="1">
      <c r="A47" s="623" t="s">
        <v>212</v>
      </c>
      <c r="B47" s="4099"/>
      <c r="C47" s="617" t="s">
        <v>1557</v>
      </c>
      <c r="D47" s="1002" t="s">
        <v>1556</v>
      </c>
      <c r="E47" s="617" t="s">
        <v>1557</v>
      </c>
      <c r="F47" s="625">
        <v>78415.88</v>
      </c>
      <c r="G47" s="4085" t="s">
        <v>1629</v>
      </c>
      <c r="H47" s="4087">
        <v>196</v>
      </c>
      <c r="I47" s="4089">
        <v>86085.88</v>
      </c>
      <c r="J47" s="618"/>
      <c r="K47" s="619"/>
    </row>
    <row r="48" spans="1:12" s="620" customFormat="1" ht="20.25" hidden="1" customHeight="1">
      <c r="A48" s="623" t="s">
        <v>215</v>
      </c>
      <c r="B48" s="4099"/>
      <c r="C48" s="617" t="s">
        <v>1558</v>
      </c>
      <c r="D48" s="1002" t="s">
        <v>1556</v>
      </c>
      <c r="E48" s="617" t="s">
        <v>1558</v>
      </c>
      <c r="F48" s="625">
        <v>7670</v>
      </c>
      <c r="G48" s="4086"/>
      <c r="H48" s="4088"/>
      <c r="I48" s="4090"/>
      <c r="J48" s="628"/>
      <c r="K48" s="628">
        <f>SUM(F47:F48)</f>
        <v>86085.88</v>
      </c>
      <c r="L48" s="628">
        <f>SUM(I47)</f>
        <v>86085.88</v>
      </c>
    </row>
    <row r="49" spans="1:12" s="620" customFormat="1" ht="20.25" hidden="1" customHeight="1">
      <c r="A49" s="623" t="s">
        <v>218</v>
      </c>
      <c r="B49" s="4099"/>
      <c r="C49" s="1236" t="s">
        <v>1560</v>
      </c>
      <c r="D49" s="1235" t="s">
        <v>1559</v>
      </c>
      <c r="E49" s="1236" t="s">
        <v>1560</v>
      </c>
      <c r="F49" s="1237">
        <v>1195</v>
      </c>
      <c r="G49" s="1002"/>
      <c r="H49" s="617"/>
      <c r="I49" s="625"/>
      <c r="K49" s="628">
        <f>SUM(F43:F48)</f>
        <v>153168.18</v>
      </c>
      <c r="L49" s="628">
        <f>SUM(I43:I49)</f>
        <v>157991.38</v>
      </c>
    </row>
    <row r="50" spans="1:12" s="620" customFormat="1" ht="20.25" hidden="1" customHeight="1">
      <c r="A50" s="623" t="s">
        <v>226</v>
      </c>
      <c r="B50" s="4099"/>
      <c r="C50" s="617" t="s">
        <v>1562</v>
      </c>
      <c r="D50" s="1002" t="s">
        <v>1561</v>
      </c>
      <c r="E50" s="617" t="s">
        <v>1562</v>
      </c>
      <c r="F50" s="625">
        <v>20725</v>
      </c>
      <c r="G50" s="1002" t="s">
        <v>1631</v>
      </c>
      <c r="H50" s="617">
        <v>242</v>
      </c>
      <c r="I50" s="625">
        <v>20725</v>
      </c>
      <c r="J50" s="628"/>
      <c r="K50" s="618"/>
    </row>
    <row r="51" spans="1:12" s="620" customFormat="1" ht="20.25" hidden="1" customHeight="1">
      <c r="A51" s="623" t="s">
        <v>551</v>
      </c>
      <c r="B51" s="4099"/>
      <c r="C51" s="617" t="s">
        <v>1564</v>
      </c>
      <c r="D51" s="1002" t="s">
        <v>1563</v>
      </c>
      <c r="E51" s="617" t="s">
        <v>1564</v>
      </c>
      <c r="F51" s="625">
        <v>12840</v>
      </c>
      <c r="G51" s="1002" t="s">
        <v>1634</v>
      </c>
      <c r="H51" s="617">
        <v>276</v>
      </c>
      <c r="I51" s="625">
        <v>3005</v>
      </c>
      <c r="J51" s="628"/>
      <c r="K51" s="628">
        <f>F49+F51</f>
        <v>14035</v>
      </c>
      <c r="L51" s="628"/>
    </row>
    <row r="52" spans="1:12" s="620" customFormat="1" ht="20.25" hidden="1" customHeight="1">
      <c r="A52" s="623" t="s">
        <v>552</v>
      </c>
      <c r="B52" s="4099"/>
      <c r="C52" s="617" t="s">
        <v>1566</v>
      </c>
      <c r="D52" s="1002" t="s">
        <v>1565</v>
      </c>
      <c r="E52" s="617" t="s">
        <v>1566</v>
      </c>
      <c r="F52" s="625">
        <v>4350</v>
      </c>
      <c r="G52" s="1002" t="s">
        <v>1633</v>
      </c>
      <c r="H52" s="617">
        <v>336</v>
      </c>
      <c r="I52" s="625">
        <v>13045</v>
      </c>
      <c r="J52" s="628"/>
      <c r="K52" s="628">
        <f>F51+F52</f>
        <v>17190</v>
      </c>
      <c r="L52" s="628">
        <f>I51+I52</f>
        <v>16050</v>
      </c>
    </row>
    <row r="53" spans="1:12" s="620" customFormat="1" ht="20.25" hidden="1" customHeight="1">
      <c r="A53" s="615" t="s">
        <v>550</v>
      </c>
      <c r="B53" s="4099"/>
      <c r="C53" s="617" t="s">
        <v>1567</v>
      </c>
      <c r="D53" s="1002" t="s">
        <v>1439</v>
      </c>
      <c r="E53" s="617" t="s">
        <v>1567</v>
      </c>
      <c r="F53" s="625">
        <v>37232</v>
      </c>
      <c r="G53" s="1002" t="s">
        <v>1636</v>
      </c>
      <c r="H53" s="617">
        <v>345</v>
      </c>
      <c r="I53" s="625">
        <v>990</v>
      </c>
      <c r="J53" s="628"/>
      <c r="K53" s="628"/>
    </row>
    <row r="54" spans="1:12" s="620" customFormat="1" ht="20.25" hidden="1" customHeight="1">
      <c r="A54" s="615" t="s">
        <v>553</v>
      </c>
      <c r="B54" s="4099"/>
      <c r="C54" s="617" t="s">
        <v>1568</v>
      </c>
      <c r="D54" s="1002" t="s">
        <v>1439</v>
      </c>
      <c r="E54" s="617" t="s">
        <v>1568</v>
      </c>
      <c r="F54" s="625">
        <v>7716</v>
      </c>
      <c r="G54" s="1002" t="s">
        <v>1635</v>
      </c>
      <c r="H54" s="617">
        <v>394</v>
      </c>
      <c r="I54" s="625">
        <v>42545</v>
      </c>
      <c r="J54" s="628"/>
      <c r="K54" s="628">
        <f>F53+F54</f>
        <v>44948</v>
      </c>
      <c r="L54" s="628">
        <f>I54</f>
        <v>42545</v>
      </c>
    </row>
    <row r="55" spans="1:12" s="620" customFormat="1" ht="19.5" hidden="1" customHeight="1">
      <c r="A55" s="615" t="s">
        <v>778</v>
      </c>
      <c r="B55" s="4100"/>
      <c r="C55" s="617" t="s">
        <v>1570</v>
      </c>
      <c r="D55" s="1002" t="s">
        <v>1569</v>
      </c>
      <c r="E55" s="617" t="s">
        <v>1570</v>
      </c>
      <c r="F55" s="625">
        <v>16914</v>
      </c>
      <c r="G55" s="1002" t="s">
        <v>1637</v>
      </c>
      <c r="H55" s="617">
        <v>496</v>
      </c>
      <c r="I55" s="625">
        <v>41582</v>
      </c>
      <c r="J55" s="628"/>
      <c r="K55" s="619"/>
    </row>
    <row r="56" spans="1:12" s="620" customFormat="1" ht="19.5" hidden="1" customHeight="1">
      <c r="A56" s="615" t="s">
        <v>418</v>
      </c>
      <c r="B56" s="4083" t="s">
        <v>1571</v>
      </c>
      <c r="C56" s="617" t="s">
        <v>1572</v>
      </c>
      <c r="D56" s="1002" t="s">
        <v>1569</v>
      </c>
      <c r="E56" s="617" t="s">
        <v>1572</v>
      </c>
      <c r="F56" s="625">
        <v>1213.49</v>
      </c>
      <c r="G56" s="4085" t="s">
        <v>1639</v>
      </c>
      <c r="H56" s="4087">
        <v>520</v>
      </c>
      <c r="I56" s="4089">
        <v>2815</v>
      </c>
      <c r="J56" s="628"/>
      <c r="K56" s="628">
        <f>F56+F57</f>
        <v>2333.0500000000002</v>
      </c>
      <c r="L56" s="628">
        <f>I56</f>
        <v>2815</v>
      </c>
    </row>
    <row r="57" spans="1:12" s="620" customFormat="1" ht="19.5" hidden="1" customHeight="1">
      <c r="A57" s="615" t="s">
        <v>555</v>
      </c>
      <c r="B57" s="4084"/>
      <c r="C57" s="617" t="s">
        <v>1572</v>
      </c>
      <c r="D57" s="1002" t="s">
        <v>1569</v>
      </c>
      <c r="E57" s="617" t="s">
        <v>1572</v>
      </c>
      <c r="F57" s="625">
        <v>1119.56</v>
      </c>
      <c r="G57" s="4086"/>
      <c r="H57" s="4088"/>
      <c r="I57" s="4090"/>
      <c r="J57" s="628"/>
      <c r="K57" s="619"/>
    </row>
    <row r="58" spans="1:12" s="620" customFormat="1" ht="19.5" hidden="1" customHeight="1">
      <c r="A58" s="615" t="s">
        <v>1578</v>
      </c>
      <c r="B58" s="4083" t="s">
        <v>1547</v>
      </c>
      <c r="C58" s="617" t="s">
        <v>1573</v>
      </c>
      <c r="D58" s="1002" t="s">
        <v>1447</v>
      </c>
      <c r="E58" s="617" t="s">
        <v>1573</v>
      </c>
      <c r="F58" s="625">
        <v>9400</v>
      </c>
      <c r="G58" s="1002" t="s">
        <v>1638</v>
      </c>
      <c r="H58" s="617">
        <v>534</v>
      </c>
      <c r="I58" s="625">
        <v>15924</v>
      </c>
      <c r="J58" s="628"/>
      <c r="K58" s="619"/>
    </row>
    <row r="59" spans="1:12" s="620" customFormat="1" ht="19.5" hidden="1" customHeight="1">
      <c r="A59" s="615" t="s">
        <v>1579</v>
      </c>
      <c r="B59" s="4091"/>
      <c r="C59" s="617" t="s">
        <v>1575</v>
      </c>
      <c r="D59" s="1002" t="s">
        <v>1574</v>
      </c>
      <c r="E59" s="617" t="s">
        <v>1575</v>
      </c>
      <c r="F59" s="625">
        <v>3485</v>
      </c>
      <c r="G59" s="1002" t="s">
        <v>1640</v>
      </c>
      <c r="H59" s="617">
        <v>544</v>
      </c>
      <c r="I59" s="625">
        <v>990</v>
      </c>
      <c r="J59" s="628"/>
      <c r="K59" s="619"/>
    </row>
    <row r="60" spans="1:12" s="620" customFormat="1" ht="19.5" hidden="1" customHeight="1">
      <c r="A60" s="615" t="s">
        <v>1580</v>
      </c>
      <c r="B60" s="4091"/>
      <c r="C60" s="617" t="s">
        <v>1575</v>
      </c>
      <c r="D60" s="1002" t="s">
        <v>1574</v>
      </c>
      <c r="E60" s="617" t="s">
        <v>1575</v>
      </c>
      <c r="F60" s="625">
        <v>4550</v>
      </c>
      <c r="G60" s="1002" t="s">
        <v>1641</v>
      </c>
      <c r="H60" s="617">
        <v>722</v>
      </c>
      <c r="I60" s="625">
        <v>5626</v>
      </c>
      <c r="J60" s="628"/>
    </row>
    <row r="61" spans="1:12" s="620" customFormat="1" ht="19.5" hidden="1" customHeight="1">
      <c r="A61" s="615" t="s">
        <v>1581</v>
      </c>
      <c r="B61" s="4084"/>
      <c r="C61" s="617" t="s">
        <v>1577</v>
      </c>
      <c r="D61" s="1002" t="s">
        <v>1576</v>
      </c>
      <c r="E61" s="617" t="s">
        <v>1577</v>
      </c>
      <c r="F61" s="625">
        <v>7735</v>
      </c>
      <c r="G61" s="1002" t="s">
        <v>1467</v>
      </c>
      <c r="H61" s="617">
        <v>860</v>
      </c>
      <c r="I61" s="625">
        <v>38620</v>
      </c>
      <c r="J61" s="628"/>
      <c r="K61" s="628">
        <f>SUM(F58:F61)</f>
        <v>25170</v>
      </c>
      <c r="L61" s="628">
        <f>SUM(I58:I61)</f>
        <v>61160</v>
      </c>
    </row>
    <row r="62" spans="1:12" s="620" customFormat="1" ht="19.5" hidden="1" customHeight="1">
      <c r="A62" s="615" t="s">
        <v>1582</v>
      </c>
      <c r="B62" s="1003" t="s">
        <v>1571</v>
      </c>
      <c r="C62" s="617" t="s">
        <v>1590</v>
      </c>
      <c r="D62" s="1002" t="s">
        <v>1589</v>
      </c>
      <c r="E62" s="617" t="s">
        <v>1590</v>
      </c>
      <c r="F62" s="625">
        <v>35413.81</v>
      </c>
      <c r="G62" s="1002" t="s">
        <v>1642</v>
      </c>
      <c r="H62" s="617">
        <v>803</v>
      </c>
      <c r="I62" s="625">
        <v>35414</v>
      </c>
      <c r="J62" s="628"/>
      <c r="K62" s="619"/>
    </row>
    <row r="63" spans="1:12" s="620" customFormat="1" ht="19.5" hidden="1" customHeight="1">
      <c r="A63" s="615" t="s">
        <v>1583</v>
      </c>
      <c r="B63" s="1003" t="s">
        <v>1547</v>
      </c>
      <c r="C63" s="1236" t="s">
        <v>1592</v>
      </c>
      <c r="D63" s="1235" t="s">
        <v>1591</v>
      </c>
      <c r="E63" s="1236" t="s">
        <v>1592</v>
      </c>
      <c r="F63" s="1237">
        <v>24225</v>
      </c>
      <c r="G63" s="1002" t="s">
        <v>1643</v>
      </c>
      <c r="H63" s="617">
        <v>929</v>
      </c>
      <c r="I63" s="625">
        <v>24225</v>
      </c>
      <c r="J63" s="628"/>
      <c r="K63" s="619"/>
    </row>
    <row r="64" spans="1:12" s="620" customFormat="1" ht="19.5" hidden="1" customHeight="1">
      <c r="A64" s="615" t="s">
        <v>1584</v>
      </c>
      <c r="B64" s="1003"/>
      <c r="C64" s="617" t="s">
        <v>1596</v>
      </c>
      <c r="D64" s="1002" t="s">
        <v>1595</v>
      </c>
      <c r="E64" s="617" t="s">
        <v>1596</v>
      </c>
      <c r="F64" s="625">
        <v>47687</v>
      </c>
      <c r="G64" s="1002" t="s">
        <v>1644</v>
      </c>
      <c r="H64" s="617">
        <v>947</v>
      </c>
      <c r="I64" s="625">
        <v>47687</v>
      </c>
      <c r="J64" s="628"/>
      <c r="K64" s="619"/>
    </row>
    <row r="65" spans="1:11" s="620" customFormat="1" ht="19.5" hidden="1" customHeight="1">
      <c r="A65" s="615" t="s">
        <v>1585</v>
      </c>
      <c r="B65" s="1003"/>
      <c r="C65" s="617" t="s">
        <v>1594</v>
      </c>
      <c r="D65" s="1002" t="s">
        <v>1593</v>
      </c>
      <c r="E65" s="617" t="s">
        <v>1594</v>
      </c>
      <c r="F65" s="625">
        <v>5740</v>
      </c>
      <c r="G65" s="1002" t="s">
        <v>1645</v>
      </c>
      <c r="H65" s="617">
        <v>994</v>
      </c>
      <c r="I65" s="625">
        <v>13340</v>
      </c>
      <c r="J65" s="628"/>
      <c r="K65" s="619"/>
    </row>
    <row r="66" spans="1:11" s="620" customFormat="1" ht="19.5" hidden="1" customHeight="1">
      <c r="A66" s="615" t="s">
        <v>1586</v>
      </c>
      <c r="B66" s="1003"/>
      <c r="C66" s="617" t="s">
        <v>1597</v>
      </c>
      <c r="D66" s="1002" t="s">
        <v>1599</v>
      </c>
      <c r="E66" s="617" t="s">
        <v>1597</v>
      </c>
      <c r="F66" s="625">
        <v>5500</v>
      </c>
      <c r="G66" s="1002"/>
      <c r="H66" s="617"/>
      <c r="I66" s="625"/>
      <c r="J66" s="628"/>
      <c r="K66" s="628">
        <f>SUM(F65:F66)</f>
        <v>11240</v>
      </c>
    </row>
    <row r="67" spans="1:11" s="620" customFormat="1" ht="19.5" hidden="1" customHeight="1">
      <c r="A67" s="615" t="s">
        <v>1587</v>
      </c>
      <c r="B67" s="1003"/>
      <c r="C67" s="617" t="s">
        <v>1600</v>
      </c>
      <c r="D67" s="1002" t="s">
        <v>1598</v>
      </c>
      <c r="E67" s="617" t="s">
        <v>1600</v>
      </c>
      <c r="F67" s="625">
        <v>7600</v>
      </c>
      <c r="G67" s="1002"/>
      <c r="H67" s="617"/>
      <c r="I67" s="625"/>
      <c r="J67" s="628"/>
      <c r="K67" s="619"/>
    </row>
    <row r="68" spans="1:11" s="620" customFormat="1" ht="19.5" hidden="1" customHeight="1">
      <c r="A68" s="615" t="s">
        <v>1588</v>
      </c>
      <c r="B68" s="1003"/>
      <c r="C68" s="617" t="s">
        <v>1601</v>
      </c>
      <c r="D68" s="1002" t="s">
        <v>1598</v>
      </c>
      <c r="E68" s="617" t="s">
        <v>1601</v>
      </c>
      <c r="F68" s="625">
        <v>3250</v>
      </c>
      <c r="G68" s="1002" t="s">
        <v>1646</v>
      </c>
      <c r="H68" s="617">
        <v>1026</v>
      </c>
      <c r="I68" s="625">
        <v>3250</v>
      </c>
      <c r="J68" s="628"/>
      <c r="K68" s="619"/>
    </row>
    <row r="69" spans="1:11" s="620" customFormat="1" ht="21" hidden="1" customHeight="1">
      <c r="A69" s="615" t="s">
        <v>1604</v>
      </c>
      <c r="B69" s="1003"/>
      <c r="C69" s="617" t="s">
        <v>1605</v>
      </c>
      <c r="D69" s="1002" t="s">
        <v>1602</v>
      </c>
      <c r="E69" s="617" t="s">
        <v>1605</v>
      </c>
      <c r="F69" s="625">
        <v>21291</v>
      </c>
      <c r="G69" s="1002"/>
      <c r="H69" s="617"/>
      <c r="I69" s="625"/>
      <c r="J69" s="628"/>
      <c r="K69" s="619"/>
    </row>
    <row r="70" spans="1:11" s="620" customFormat="1" ht="19.5" hidden="1" customHeight="1">
      <c r="A70" s="615"/>
      <c r="B70" s="2012"/>
      <c r="C70" s="617"/>
      <c r="D70" s="1002"/>
      <c r="E70" s="617"/>
      <c r="F70" s="625"/>
      <c r="G70" s="1002"/>
      <c r="H70" s="617"/>
      <c r="I70" s="625"/>
      <c r="J70" s="628"/>
      <c r="K70" s="619"/>
    </row>
    <row r="71" spans="1:11" s="620" customFormat="1" ht="19.5" hidden="1" customHeight="1">
      <c r="A71" s="615"/>
      <c r="B71" s="2012"/>
      <c r="C71" s="617"/>
      <c r="D71" s="1002"/>
      <c r="E71" s="617"/>
      <c r="F71" s="625"/>
      <c r="G71" s="1002"/>
      <c r="H71" s="617"/>
      <c r="I71" s="625"/>
      <c r="J71" s="628"/>
      <c r="K71" s="619"/>
    </row>
    <row r="72" spans="1:11" s="620" customFormat="1" ht="19.5" hidden="1" customHeight="1">
      <c r="A72" s="615"/>
      <c r="B72" s="2012"/>
      <c r="C72" s="617"/>
      <c r="D72" s="1002"/>
      <c r="E72" s="617"/>
      <c r="F72" s="625"/>
      <c r="G72" s="1002"/>
      <c r="H72" s="617"/>
      <c r="I72" s="625"/>
      <c r="J72" s="628"/>
      <c r="K72" s="619"/>
    </row>
    <row r="73" spans="1:11" s="620" customFormat="1" ht="19.5" hidden="1" customHeight="1">
      <c r="A73" s="615"/>
      <c r="B73" s="2012"/>
      <c r="C73" s="617"/>
      <c r="D73" s="1002"/>
      <c r="E73" s="617"/>
      <c r="F73" s="625"/>
      <c r="G73" s="1002"/>
      <c r="H73" s="617"/>
      <c r="I73" s="625"/>
      <c r="J73" s="628"/>
      <c r="K73" s="619"/>
    </row>
    <row r="74" spans="1:11" s="620" customFormat="1" ht="19.5" hidden="1" customHeight="1">
      <c r="A74" s="615"/>
      <c r="B74" s="2012"/>
      <c r="C74" s="617"/>
      <c r="D74" s="1002"/>
      <c r="E74" s="617"/>
      <c r="F74" s="625"/>
      <c r="G74" s="1002"/>
      <c r="H74" s="617"/>
      <c r="I74" s="625"/>
      <c r="J74" s="628"/>
      <c r="K74" s="619"/>
    </row>
    <row r="75" spans="1:11" s="620" customFormat="1" ht="19.5" hidden="1" customHeight="1">
      <c r="A75" s="615"/>
      <c r="B75" s="2012"/>
      <c r="C75" s="617"/>
      <c r="D75" s="1002"/>
      <c r="E75" s="617"/>
      <c r="F75" s="625"/>
      <c r="G75" s="1002"/>
      <c r="H75" s="617"/>
      <c r="I75" s="625"/>
      <c r="J75" s="628"/>
      <c r="K75" s="619"/>
    </row>
    <row r="76" spans="1:11" s="620" customFormat="1" ht="19.5" hidden="1" customHeight="1">
      <c r="A76" s="615"/>
      <c r="B76" s="2012"/>
      <c r="C76" s="617"/>
      <c r="D76" s="1002"/>
      <c r="E76" s="617"/>
      <c r="F76" s="625"/>
      <c r="G76" s="1002"/>
      <c r="H76" s="617"/>
      <c r="I76" s="625"/>
      <c r="J76" s="628"/>
      <c r="K76" s="619"/>
    </row>
    <row r="77" spans="1:11" s="620" customFormat="1" ht="19.5" hidden="1" customHeight="1">
      <c r="A77" s="615"/>
      <c r="B77" s="2012"/>
      <c r="C77" s="617"/>
      <c r="D77" s="1002"/>
      <c r="E77" s="617"/>
      <c r="F77" s="625"/>
      <c r="G77" s="1002"/>
      <c r="H77" s="617"/>
      <c r="I77" s="625"/>
      <c r="J77" s="628"/>
      <c r="K77" s="619"/>
    </row>
    <row r="78" spans="1:11" s="620" customFormat="1" ht="19.5" hidden="1" customHeight="1">
      <c r="A78" s="615"/>
      <c r="B78" s="2012"/>
      <c r="C78" s="617"/>
      <c r="D78" s="1002"/>
      <c r="E78" s="617"/>
      <c r="F78" s="625"/>
      <c r="G78" s="1002"/>
      <c r="H78" s="617"/>
      <c r="I78" s="625"/>
      <c r="J78" s="628"/>
      <c r="K78" s="619"/>
    </row>
    <row r="79" spans="1:11" s="620" customFormat="1" ht="19.5" hidden="1" customHeight="1">
      <c r="A79" s="615"/>
      <c r="B79" s="2012"/>
      <c r="C79" s="617"/>
      <c r="D79" s="1002"/>
      <c r="E79" s="617"/>
      <c r="F79" s="625"/>
      <c r="G79" s="1002"/>
      <c r="H79" s="617"/>
      <c r="I79" s="625"/>
      <c r="J79" s="628"/>
      <c r="K79" s="619"/>
    </row>
    <row r="80" spans="1:11" s="620" customFormat="1" ht="19.5" hidden="1" customHeight="1">
      <c r="A80" s="615"/>
      <c r="B80" s="2012"/>
      <c r="C80" s="617"/>
      <c r="D80" s="1002"/>
      <c r="E80" s="617"/>
      <c r="F80" s="625"/>
      <c r="G80" s="1002"/>
      <c r="H80" s="617"/>
      <c r="I80" s="625"/>
      <c r="J80" s="628"/>
      <c r="K80" s="619"/>
    </row>
    <row r="81" spans="1:21" s="620" customFormat="1" ht="19.5" hidden="1" customHeight="1">
      <c r="A81" s="615"/>
      <c r="B81" s="2012"/>
      <c r="C81" s="617"/>
      <c r="D81" s="1002"/>
      <c r="E81" s="617"/>
      <c r="F81" s="625"/>
      <c r="G81" s="1002"/>
      <c r="H81" s="617"/>
      <c r="I81" s="625"/>
      <c r="J81" s="628"/>
      <c r="K81" s="619"/>
    </row>
    <row r="82" spans="1:21" hidden="1">
      <c r="A82" s="622" t="s">
        <v>419</v>
      </c>
      <c r="B82" s="624"/>
      <c r="C82" s="621"/>
      <c r="D82" s="616"/>
      <c r="E82" s="621"/>
      <c r="F82" s="627">
        <f>SUM(F43:F81)</f>
        <v>432350.04</v>
      </c>
      <c r="G82" s="629"/>
      <c r="H82" s="629"/>
      <c r="I82" s="627">
        <f>SUM(I43:I81)</f>
        <v>467774.38</v>
      </c>
      <c r="J82" s="614"/>
      <c r="K82" s="85"/>
    </row>
    <row r="83" spans="1:21" ht="36" hidden="1" customHeight="1">
      <c r="A83" s="1239" t="s">
        <v>1607</v>
      </c>
      <c r="B83" s="630"/>
      <c r="C83" s="632"/>
      <c r="D83" s="631"/>
      <c r="E83" s="632"/>
      <c r="F83" s="633"/>
      <c r="G83" s="80"/>
      <c r="H83" s="80"/>
      <c r="I83" s="633"/>
      <c r="J83" s="614"/>
      <c r="K83" s="85"/>
    </row>
    <row r="84" spans="1:21" s="172" customFormat="1" hidden="1">
      <c r="A84" s="551" t="s">
        <v>1979</v>
      </c>
      <c r="K84" s="1005">
        <f>I30/1.18/9*12/1000</f>
        <v>1307.6322372881359</v>
      </c>
    </row>
    <row r="85" spans="1:21" hidden="1">
      <c r="A85" s="80" t="s">
        <v>1981</v>
      </c>
      <c r="B85" s="80"/>
      <c r="C85" s="38"/>
      <c r="D85" s="80"/>
      <c r="E85" s="38"/>
      <c r="F85" s="869"/>
      <c r="G85" s="869"/>
      <c r="H85" s="869"/>
      <c r="I85" s="869"/>
      <c r="J85" s="869"/>
      <c r="K85" s="870"/>
      <c r="L85" s="869"/>
      <c r="M85" s="869"/>
      <c r="N85" s="869"/>
      <c r="O85" s="869"/>
      <c r="T85" s="145"/>
      <c r="U85" s="635"/>
    </row>
    <row r="86" spans="1:21" hidden="1">
      <c r="A86" s="80"/>
      <c r="B86" s="1241" t="s">
        <v>1608</v>
      </c>
      <c r="C86" s="328" t="s">
        <v>1429</v>
      </c>
      <c r="E86" s="328" t="s">
        <v>1429</v>
      </c>
      <c r="F86" s="949" t="s">
        <v>1302</v>
      </c>
      <c r="G86" s="80"/>
      <c r="H86" s="80"/>
      <c r="I86" s="38"/>
      <c r="J86" s="26"/>
      <c r="K86" s="870"/>
      <c r="L86" s="869"/>
      <c r="M86" s="38"/>
      <c r="N86" s="869"/>
      <c r="O86" s="869"/>
      <c r="Q86" s="145"/>
      <c r="T86" s="146"/>
      <c r="U86" s="635"/>
    </row>
    <row r="87" spans="1:21" hidden="1">
      <c r="C87" s="26">
        <v>404.79700000000003</v>
      </c>
      <c r="D87" s="99" t="s">
        <v>1978</v>
      </c>
      <c r="E87" s="26">
        <v>404.79700000000003</v>
      </c>
      <c r="F87" s="1007">
        <f>C87/$C$92*100</f>
        <v>17.307915137568589</v>
      </c>
      <c r="G87" s="99"/>
      <c r="J87" s="26"/>
      <c r="K87" s="276">
        <f>'П1.30 - 07.06.11г.'!C76</f>
        <v>6486.5829999999987</v>
      </c>
      <c r="L87" s="10"/>
      <c r="M87" s="10"/>
      <c r="N87" s="10"/>
      <c r="O87" s="10"/>
      <c r="T87" s="947" t="e">
        <f>C90/$C$28*100</f>
        <v>#DIV/0!</v>
      </c>
      <c r="U87" s="635"/>
    </row>
    <row r="88" spans="1:21" hidden="1">
      <c r="B88" s="106"/>
      <c r="C88" s="106"/>
      <c r="D88" s="106" t="s">
        <v>1611</v>
      </c>
      <c r="E88" s="106"/>
      <c r="G88" s="99"/>
      <c r="J88" s="26"/>
      <c r="K88" s="276"/>
      <c r="L88" s="10"/>
      <c r="M88" s="10"/>
      <c r="N88" s="10"/>
      <c r="O88" s="10"/>
      <c r="T88" s="947"/>
      <c r="U88" s="635"/>
    </row>
    <row r="89" spans="1:21" hidden="1">
      <c r="B89" s="106"/>
      <c r="C89" s="106">
        <f>'П1.30 - 07.06.11г.'!$C$28</f>
        <v>531.55799999999999</v>
      </c>
      <c r="D89" s="655" t="s">
        <v>1609</v>
      </c>
      <c r="E89" s="106">
        <f>'П1.30 - 07.06.11г.'!$C$28</f>
        <v>531.55799999999999</v>
      </c>
      <c r="G89" s="99"/>
      <c r="J89" s="26"/>
      <c r="K89" s="276"/>
      <c r="L89" s="10"/>
      <c r="M89" s="10"/>
      <c r="N89" s="10"/>
      <c r="O89" s="10"/>
      <c r="T89" s="947"/>
      <c r="U89" s="635"/>
    </row>
    <row r="90" spans="1:21" hidden="1">
      <c r="B90" s="655"/>
      <c r="C90" s="948">
        <f>16.5+40</f>
        <v>56.5</v>
      </c>
      <c r="D90" s="655" t="s">
        <v>1612</v>
      </c>
      <c r="E90" s="948">
        <f>16.5+40</f>
        <v>56.5</v>
      </c>
      <c r="G90" s="99"/>
      <c r="J90" s="26"/>
      <c r="K90" s="276"/>
      <c r="L90" s="10"/>
      <c r="M90" s="10"/>
      <c r="N90" s="10"/>
      <c r="O90" s="10"/>
      <c r="T90" s="947"/>
      <c r="U90" s="635"/>
    </row>
    <row r="91" spans="1:21" hidden="1">
      <c r="B91" s="99" t="s">
        <v>1431</v>
      </c>
      <c r="C91" s="715">
        <f>'[10]стр-ра пол.отп. 2014г.'!$D$23+'[10]стр-ра пол.отп. 2014г.'!$E$23+'[10]стр-ра пол.отп. 2014г.'!$F$23</f>
        <v>1934</v>
      </c>
      <c r="E91" s="715">
        <f>'[10]стр-ра пол.отп. 2014г.'!$D$23+'[10]стр-ра пол.отп. 2014г.'!$E$23+'[10]стр-ра пол.отп. 2014г.'!$F$23</f>
        <v>1934</v>
      </c>
      <c r="F91" s="1007">
        <f>C91/$C$92*100</f>
        <v>82.692084862431415</v>
      </c>
      <c r="J91" s="26">
        <f>825+807</f>
        <v>1632</v>
      </c>
      <c r="K91" s="276">
        <f>'2012 Баланс  '!C69</f>
        <v>0</v>
      </c>
      <c r="L91" s="10"/>
      <c r="M91" s="10"/>
      <c r="N91" s="10"/>
      <c r="O91" s="10"/>
      <c r="T91" s="947" t="e">
        <f>C91/$C$28*100</f>
        <v>#DIV/0!</v>
      </c>
      <c r="U91" s="635"/>
    </row>
    <row r="92" spans="1:21" hidden="1">
      <c r="B92" s="99" t="s">
        <v>419</v>
      </c>
      <c r="C92" s="715">
        <f>C87+C91</f>
        <v>2338.797</v>
      </c>
      <c r="E92" s="715">
        <f>E87+E91</f>
        <v>2338.797</v>
      </c>
      <c r="F92" s="1008">
        <f>SUM(F87:F91)</f>
        <v>100</v>
      </c>
      <c r="J92" s="26"/>
      <c r="K92" s="276">
        <f>SUM(K87:K91)</f>
        <v>6486.5829999999987</v>
      </c>
      <c r="L92" s="10"/>
      <c r="M92" s="10"/>
      <c r="N92" s="10"/>
      <c r="O92" s="10"/>
      <c r="T92" s="947" t="e">
        <f>C92/$C$28*100</f>
        <v>#DIV/0!</v>
      </c>
      <c r="U92" s="635"/>
    </row>
    <row r="93" spans="1:21" s="172" customFormat="1" hidden="1">
      <c r="A93" s="551" t="s">
        <v>1980</v>
      </c>
      <c r="K93" s="1005">
        <f>I31/1.18/9*12/1000</f>
        <v>0</v>
      </c>
    </row>
    <row r="94" spans="1:21" s="172" customFormat="1" hidden="1">
      <c r="A94" s="172" t="s">
        <v>1614</v>
      </c>
      <c r="F94" s="1004" t="s">
        <v>1982</v>
      </c>
      <c r="G94" s="873">
        <f>$F$82/1000/1.18*1.071*$F$87/100</f>
        <v>67.918443440589286</v>
      </c>
      <c r="H94" s="186" t="s">
        <v>1422</v>
      </c>
      <c r="K94" s="1005"/>
    </row>
    <row r="95" spans="1:21" s="172" customFormat="1" hidden="1">
      <c r="A95" s="172" t="s">
        <v>2014</v>
      </c>
      <c r="J95" s="250"/>
    </row>
    <row r="96" spans="1:21" s="172" customFormat="1" hidden="1">
      <c r="C96" s="1004" t="s">
        <v>2015</v>
      </c>
      <c r="E96" s="1004" t="s">
        <v>2015</v>
      </c>
      <c r="F96" s="873">
        <f>$G$94*1.054</f>
        <v>71.586039386381117</v>
      </c>
      <c r="G96" s="186" t="s">
        <v>1620</v>
      </c>
      <c r="J96" s="250"/>
    </row>
    <row r="97" spans="1:10" s="172" customFormat="1" hidden="1">
      <c r="D97" s="1006"/>
      <c r="J97" s="250"/>
    </row>
    <row r="98" spans="1:10" s="172" customFormat="1" hidden="1">
      <c r="A98" s="186" t="s">
        <v>1618</v>
      </c>
      <c r="J98" s="250"/>
    </row>
    <row r="99" spans="1:10" hidden="1">
      <c r="A99" s="26" t="s">
        <v>1619</v>
      </c>
    </row>
    <row r="100" spans="1:10" hidden="1">
      <c r="B100" s="1247"/>
      <c r="C100" s="1268" t="s">
        <v>1983</v>
      </c>
      <c r="D100" s="1247"/>
      <c r="E100" s="1268" t="s">
        <v>1983</v>
      </c>
      <c r="F100" s="1249">
        <f>F36+G94</f>
        <v>1225.1729734405894</v>
      </c>
      <c r="G100" s="1250" t="s">
        <v>238</v>
      </c>
    </row>
    <row r="101" spans="1:10" hidden="1">
      <c r="B101" s="1247"/>
      <c r="C101" s="1268" t="s">
        <v>1984</v>
      </c>
      <c r="D101" s="1247"/>
      <c r="E101" s="1268" t="s">
        <v>1984</v>
      </c>
      <c r="F101" s="1249">
        <f>D38+F96</f>
        <v>1320.2636772563812</v>
      </c>
      <c r="G101" s="1250" t="s">
        <v>238</v>
      </c>
    </row>
    <row r="103" spans="1:10" ht="13.5" customHeight="1"/>
    <row r="104" spans="1:10">
      <c r="A104" s="98" t="s">
        <v>614</v>
      </c>
    </row>
    <row r="105" spans="1:10">
      <c r="A105" s="98" t="s">
        <v>627</v>
      </c>
    </row>
  </sheetData>
  <mergeCells count="13">
    <mergeCell ref="B56:B57"/>
    <mergeCell ref="G56:G57"/>
    <mergeCell ref="H56:H57"/>
    <mergeCell ref="I56:I57"/>
    <mergeCell ref="B58:B61"/>
    <mergeCell ref="B43:B55"/>
    <mergeCell ref="G47:G48"/>
    <mergeCell ref="H47:H48"/>
    <mergeCell ref="I47:I48"/>
    <mergeCell ref="B6:B13"/>
    <mergeCell ref="G15:G17"/>
    <mergeCell ref="H15:H17"/>
    <mergeCell ref="I15:I17"/>
  </mergeCells>
  <printOptions horizontalCentered="1"/>
  <pageMargins left="0.78740157480314965" right="0.59055118110236227" top="0.78740157480314965" bottom="0.11811023622047245" header="0.51181102362204722" footer="3.937007874015748E-2"/>
  <pageSetup paperSize="9" scale="81" orientation="landscape" r:id="rId1"/>
  <headerFooter alignWithMargins="0">
    <oddFooter>&amp;R&amp;P</oddFooter>
  </headerFooter>
  <rowBreaks count="1" manualBreakCount="1">
    <brk id="39" max="16383" man="1"/>
  </rowBreaks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tabColor rgb="FFC00000"/>
  </sheetPr>
  <dimension ref="A1:T46"/>
  <sheetViews>
    <sheetView workbookViewId="0">
      <pane ySplit="5" topLeftCell="A9" activePane="bottomLeft" state="frozenSplit"/>
      <selection pane="bottomLeft" activeCell="F27" sqref="F27"/>
    </sheetView>
  </sheetViews>
  <sheetFormatPr defaultRowHeight="13.2"/>
  <cols>
    <col min="1" max="1" width="14.88671875" style="2231" customWidth="1"/>
    <col min="2" max="2" width="10.33203125" style="2231" bestFit="1" customWidth="1"/>
    <col min="3" max="3" width="11.33203125" style="2231" customWidth="1"/>
    <col min="4" max="4" width="16.88671875" style="2231" customWidth="1"/>
    <col min="5" max="5" width="20.88671875" style="2231" customWidth="1"/>
    <col min="6" max="6" width="74.44140625" style="2231" customWidth="1"/>
    <col min="7" max="7" width="26.109375" style="2231" customWidth="1"/>
    <col min="8" max="8" width="17.88671875" style="2229" hidden="1" customWidth="1"/>
    <col min="9" max="9" width="15.44140625" style="2231" hidden="1" customWidth="1"/>
    <col min="10" max="10" width="10.33203125" style="2231" hidden="1" customWidth="1"/>
    <col min="11" max="13" width="10.109375" style="2231" hidden="1" customWidth="1"/>
    <col min="14" max="14" width="0" style="2231" hidden="1" customWidth="1"/>
    <col min="15" max="15" width="12" style="2231" hidden="1" customWidth="1"/>
    <col min="16" max="16" width="10.109375" style="2231" customWidth="1"/>
    <col min="17" max="17" width="13.44140625" style="2890" customWidth="1"/>
    <col min="18" max="18" width="13" style="2890" customWidth="1"/>
    <col min="19" max="19" width="11.5546875" style="2231" customWidth="1"/>
    <col min="20" max="20" width="10.109375" style="2231" bestFit="1" customWidth="1"/>
    <col min="21" max="21" width="9.109375" style="2231"/>
    <col min="22" max="22" width="10.109375" style="2231" bestFit="1" customWidth="1"/>
    <col min="23" max="256" width="9.109375" style="2231"/>
    <col min="257" max="257" width="14.88671875" style="2231" customWidth="1"/>
    <col min="258" max="258" width="10.33203125" style="2231" bestFit="1" customWidth="1"/>
    <col min="259" max="259" width="11.33203125" style="2231" customWidth="1"/>
    <col min="260" max="260" width="16.88671875" style="2231" customWidth="1"/>
    <col min="261" max="261" width="20.88671875" style="2231" customWidth="1"/>
    <col min="262" max="262" width="74.44140625" style="2231" customWidth="1"/>
    <col min="263" max="263" width="26.109375" style="2231" customWidth="1"/>
    <col min="264" max="271" width="0" style="2231" hidden="1" customWidth="1"/>
    <col min="272" max="272" width="10.109375" style="2231" customWidth="1"/>
    <col min="273" max="273" width="11.44140625" style="2231" customWidth="1"/>
    <col min="274" max="274" width="13" style="2231" customWidth="1"/>
    <col min="275" max="275" width="11.5546875" style="2231" customWidth="1"/>
    <col min="276" max="276" width="9.6640625" style="2231" bestFit="1" customWidth="1"/>
    <col min="277" max="277" width="9.109375" style="2231"/>
    <col min="278" max="278" width="10.109375" style="2231" bestFit="1" customWidth="1"/>
    <col min="279" max="512" width="9.109375" style="2231"/>
    <col min="513" max="513" width="14.88671875" style="2231" customWidth="1"/>
    <col min="514" max="514" width="10.33203125" style="2231" bestFit="1" customWidth="1"/>
    <col min="515" max="515" width="11.33203125" style="2231" customWidth="1"/>
    <col min="516" max="516" width="16.88671875" style="2231" customWidth="1"/>
    <col min="517" max="517" width="20.88671875" style="2231" customWidth="1"/>
    <col min="518" max="518" width="74.44140625" style="2231" customWidth="1"/>
    <col min="519" max="519" width="26.109375" style="2231" customWidth="1"/>
    <col min="520" max="527" width="0" style="2231" hidden="1" customWidth="1"/>
    <col min="528" max="528" width="10.109375" style="2231" customWidth="1"/>
    <col min="529" max="529" width="11.44140625" style="2231" customWidth="1"/>
    <col min="530" max="530" width="13" style="2231" customWidth="1"/>
    <col min="531" max="531" width="11.5546875" style="2231" customWidth="1"/>
    <col min="532" max="532" width="9.6640625" style="2231" bestFit="1" customWidth="1"/>
    <col min="533" max="533" width="9.109375" style="2231"/>
    <col min="534" max="534" width="10.109375" style="2231" bestFit="1" customWidth="1"/>
    <col min="535" max="768" width="9.109375" style="2231"/>
    <col min="769" max="769" width="14.88671875" style="2231" customWidth="1"/>
    <col min="770" max="770" width="10.33203125" style="2231" bestFit="1" customWidth="1"/>
    <col min="771" max="771" width="11.33203125" style="2231" customWidth="1"/>
    <col min="772" max="772" width="16.88671875" style="2231" customWidth="1"/>
    <col min="773" max="773" width="20.88671875" style="2231" customWidth="1"/>
    <col min="774" max="774" width="74.44140625" style="2231" customWidth="1"/>
    <col min="775" max="775" width="26.109375" style="2231" customWidth="1"/>
    <col min="776" max="783" width="0" style="2231" hidden="1" customWidth="1"/>
    <col min="784" max="784" width="10.109375" style="2231" customWidth="1"/>
    <col min="785" max="785" width="11.44140625" style="2231" customWidth="1"/>
    <col min="786" max="786" width="13" style="2231" customWidth="1"/>
    <col min="787" max="787" width="11.5546875" style="2231" customWidth="1"/>
    <col min="788" max="788" width="9.6640625" style="2231" bestFit="1" customWidth="1"/>
    <col min="789" max="789" width="9.109375" style="2231"/>
    <col min="790" max="790" width="10.109375" style="2231" bestFit="1" customWidth="1"/>
    <col min="791" max="1024" width="9.109375" style="2231"/>
    <col min="1025" max="1025" width="14.88671875" style="2231" customWidth="1"/>
    <col min="1026" max="1026" width="10.33203125" style="2231" bestFit="1" customWidth="1"/>
    <col min="1027" max="1027" width="11.33203125" style="2231" customWidth="1"/>
    <col min="1028" max="1028" width="16.88671875" style="2231" customWidth="1"/>
    <col min="1029" max="1029" width="20.88671875" style="2231" customWidth="1"/>
    <col min="1030" max="1030" width="74.44140625" style="2231" customWidth="1"/>
    <col min="1031" max="1031" width="26.109375" style="2231" customWidth="1"/>
    <col min="1032" max="1039" width="0" style="2231" hidden="1" customWidth="1"/>
    <col min="1040" max="1040" width="10.109375" style="2231" customWidth="1"/>
    <col min="1041" max="1041" width="11.44140625" style="2231" customWidth="1"/>
    <col min="1042" max="1042" width="13" style="2231" customWidth="1"/>
    <col min="1043" max="1043" width="11.5546875" style="2231" customWidth="1"/>
    <col min="1044" max="1044" width="9.6640625" style="2231" bestFit="1" customWidth="1"/>
    <col min="1045" max="1045" width="9.109375" style="2231"/>
    <col min="1046" max="1046" width="10.109375" style="2231" bestFit="1" customWidth="1"/>
    <col min="1047" max="1280" width="9.109375" style="2231"/>
    <col min="1281" max="1281" width="14.88671875" style="2231" customWidth="1"/>
    <col min="1282" max="1282" width="10.33203125" style="2231" bestFit="1" customWidth="1"/>
    <col min="1283" max="1283" width="11.33203125" style="2231" customWidth="1"/>
    <col min="1284" max="1284" width="16.88671875" style="2231" customWidth="1"/>
    <col min="1285" max="1285" width="20.88671875" style="2231" customWidth="1"/>
    <col min="1286" max="1286" width="74.44140625" style="2231" customWidth="1"/>
    <col min="1287" max="1287" width="26.109375" style="2231" customWidth="1"/>
    <col min="1288" max="1295" width="0" style="2231" hidden="1" customWidth="1"/>
    <col min="1296" max="1296" width="10.109375" style="2231" customWidth="1"/>
    <col min="1297" max="1297" width="11.44140625" style="2231" customWidth="1"/>
    <col min="1298" max="1298" width="13" style="2231" customWidth="1"/>
    <col min="1299" max="1299" width="11.5546875" style="2231" customWidth="1"/>
    <col min="1300" max="1300" width="9.6640625" style="2231" bestFit="1" customWidth="1"/>
    <col min="1301" max="1301" width="9.109375" style="2231"/>
    <col min="1302" max="1302" width="10.109375" style="2231" bestFit="1" customWidth="1"/>
    <col min="1303" max="1536" width="9.109375" style="2231"/>
    <col min="1537" max="1537" width="14.88671875" style="2231" customWidth="1"/>
    <col min="1538" max="1538" width="10.33203125" style="2231" bestFit="1" customWidth="1"/>
    <col min="1539" max="1539" width="11.33203125" style="2231" customWidth="1"/>
    <col min="1540" max="1540" width="16.88671875" style="2231" customWidth="1"/>
    <col min="1541" max="1541" width="20.88671875" style="2231" customWidth="1"/>
    <col min="1542" max="1542" width="74.44140625" style="2231" customWidth="1"/>
    <col min="1543" max="1543" width="26.109375" style="2231" customWidth="1"/>
    <col min="1544" max="1551" width="0" style="2231" hidden="1" customWidth="1"/>
    <col min="1552" max="1552" width="10.109375" style="2231" customWidth="1"/>
    <col min="1553" max="1553" width="11.44140625" style="2231" customWidth="1"/>
    <col min="1554" max="1554" width="13" style="2231" customWidth="1"/>
    <col min="1555" max="1555" width="11.5546875" style="2231" customWidth="1"/>
    <col min="1556" max="1556" width="9.6640625" style="2231" bestFit="1" customWidth="1"/>
    <col min="1557" max="1557" width="9.109375" style="2231"/>
    <col min="1558" max="1558" width="10.109375" style="2231" bestFit="1" customWidth="1"/>
    <col min="1559" max="1792" width="9.109375" style="2231"/>
    <col min="1793" max="1793" width="14.88671875" style="2231" customWidth="1"/>
    <col min="1794" max="1794" width="10.33203125" style="2231" bestFit="1" customWidth="1"/>
    <col min="1795" max="1795" width="11.33203125" style="2231" customWidth="1"/>
    <col min="1796" max="1796" width="16.88671875" style="2231" customWidth="1"/>
    <col min="1797" max="1797" width="20.88671875" style="2231" customWidth="1"/>
    <col min="1798" max="1798" width="74.44140625" style="2231" customWidth="1"/>
    <col min="1799" max="1799" width="26.109375" style="2231" customWidth="1"/>
    <col min="1800" max="1807" width="0" style="2231" hidden="1" customWidth="1"/>
    <col min="1808" max="1808" width="10.109375" style="2231" customWidth="1"/>
    <col min="1809" max="1809" width="11.44140625" style="2231" customWidth="1"/>
    <col min="1810" max="1810" width="13" style="2231" customWidth="1"/>
    <col min="1811" max="1811" width="11.5546875" style="2231" customWidth="1"/>
    <col min="1812" max="1812" width="9.6640625" style="2231" bestFit="1" customWidth="1"/>
    <col min="1813" max="1813" width="9.109375" style="2231"/>
    <col min="1814" max="1814" width="10.109375" style="2231" bestFit="1" customWidth="1"/>
    <col min="1815" max="2048" width="9.109375" style="2231"/>
    <col min="2049" max="2049" width="14.88671875" style="2231" customWidth="1"/>
    <col min="2050" max="2050" width="10.33203125" style="2231" bestFit="1" customWidth="1"/>
    <col min="2051" max="2051" width="11.33203125" style="2231" customWidth="1"/>
    <col min="2052" max="2052" width="16.88671875" style="2231" customWidth="1"/>
    <col min="2053" max="2053" width="20.88671875" style="2231" customWidth="1"/>
    <col min="2054" max="2054" width="74.44140625" style="2231" customWidth="1"/>
    <col min="2055" max="2055" width="26.109375" style="2231" customWidth="1"/>
    <col min="2056" max="2063" width="0" style="2231" hidden="1" customWidth="1"/>
    <col min="2064" max="2064" width="10.109375" style="2231" customWidth="1"/>
    <col min="2065" max="2065" width="11.44140625" style="2231" customWidth="1"/>
    <col min="2066" max="2066" width="13" style="2231" customWidth="1"/>
    <col min="2067" max="2067" width="11.5546875" style="2231" customWidth="1"/>
    <col min="2068" max="2068" width="9.6640625" style="2231" bestFit="1" customWidth="1"/>
    <col min="2069" max="2069" width="9.109375" style="2231"/>
    <col min="2070" max="2070" width="10.109375" style="2231" bestFit="1" customWidth="1"/>
    <col min="2071" max="2304" width="9.109375" style="2231"/>
    <col min="2305" max="2305" width="14.88671875" style="2231" customWidth="1"/>
    <col min="2306" max="2306" width="10.33203125" style="2231" bestFit="1" customWidth="1"/>
    <col min="2307" max="2307" width="11.33203125" style="2231" customWidth="1"/>
    <col min="2308" max="2308" width="16.88671875" style="2231" customWidth="1"/>
    <col min="2309" max="2309" width="20.88671875" style="2231" customWidth="1"/>
    <col min="2310" max="2310" width="74.44140625" style="2231" customWidth="1"/>
    <col min="2311" max="2311" width="26.109375" style="2231" customWidth="1"/>
    <col min="2312" max="2319" width="0" style="2231" hidden="1" customWidth="1"/>
    <col min="2320" max="2320" width="10.109375" style="2231" customWidth="1"/>
    <col min="2321" max="2321" width="11.44140625" style="2231" customWidth="1"/>
    <col min="2322" max="2322" width="13" style="2231" customWidth="1"/>
    <col min="2323" max="2323" width="11.5546875" style="2231" customWidth="1"/>
    <col min="2324" max="2324" width="9.6640625" style="2231" bestFit="1" customWidth="1"/>
    <col min="2325" max="2325" width="9.109375" style="2231"/>
    <col min="2326" max="2326" width="10.109375" style="2231" bestFit="1" customWidth="1"/>
    <col min="2327" max="2560" width="9.109375" style="2231"/>
    <col min="2561" max="2561" width="14.88671875" style="2231" customWidth="1"/>
    <col min="2562" max="2562" width="10.33203125" style="2231" bestFit="1" customWidth="1"/>
    <col min="2563" max="2563" width="11.33203125" style="2231" customWidth="1"/>
    <col min="2564" max="2564" width="16.88671875" style="2231" customWidth="1"/>
    <col min="2565" max="2565" width="20.88671875" style="2231" customWidth="1"/>
    <col min="2566" max="2566" width="74.44140625" style="2231" customWidth="1"/>
    <col min="2567" max="2567" width="26.109375" style="2231" customWidth="1"/>
    <col min="2568" max="2575" width="0" style="2231" hidden="1" customWidth="1"/>
    <col min="2576" max="2576" width="10.109375" style="2231" customWidth="1"/>
    <col min="2577" max="2577" width="11.44140625" style="2231" customWidth="1"/>
    <col min="2578" max="2578" width="13" style="2231" customWidth="1"/>
    <col min="2579" max="2579" width="11.5546875" style="2231" customWidth="1"/>
    <col min="2580" max="2580" width="9.6640625" style="2231" bestFit="1" customWidth="1"/>
    <col min="2581" max="2581" width="9.109375" style="2231"/>
    <col min="2582" max="2582" width="10.109375" style="2231" bestFit="1" customWidth="1"/>
    <col min="2583" max="2816" width="9.109375" style="2231"/>
    <col min="2817" max="2817" width="14.88671875" style="2231" customWidth="1"/>
    <col min="2818" max="2818" width="10.33203125" style="2231" bestFit="1" customWidth="1"/>
    <col min="2819" max="2819" width="11.33203125" style="2231" customWidth="1"/>
    <col min="2820" max="2820" width="16.88671875" style="2231" customWidth="1"/>
    <col min="2821" max="2821" width="20.88671875" style="2231" customWidth="1"/>
    <col min="2822" max="2822" width="74.44140625" style="2231" customWidth="1"/>
    <col min="2823" max="2823" width="26.109375" style="2231" customWidth="1"/>
    <col min="2824" max="2831" width="0" style="2231" hidden="1" customWidth="1"/>
    <col min="2832" max="2832" width="10.109375" style="2231" customWidth="1"/>
    <col min="2833" max="2833" width="11.44140625" style="2231" customWidth="1"/>
    <col min="2834" max="2834" width="13" style="2231" customWidth="1"/>
    <col min="2835" max="2835" width="11.5546875" style="2231" customWidth="1"/>
    <col min="2836" max="2836" width="9.6640625" style="2231" bestFit="1" customWidth="1"/>
    <col min="2837" max="2837" width="9.109375" style="2231"/>
    <col min="2838" max="2838" width="10.109375" style="2231" bestFit="1" customWidth="1"/>
    <col min="2839" max="3072" width="9.109375" style="2231"/>
    <col min="3073" max="3073" width="14.88671875" style="2231" customWidth="1"/>
    <col min="3074" max="3074" width="10.33203125" style="2231" bestFit="1" customWidth="1"/>
    <col min="3075" max="3075" width="11.33203125" style="2231" customWidth="1"/>
    <col min="3076" max="3076" width="16.88671875" style="2231" customWidth="1"/>
    <col min="3077" max="3077" width="20.88671875" style="2231" customWidth="1"/>
    <col min="3078" max="3078" width="74.44140625" style="2231" customWidth="1"/>
    <col min="3079" max="3079" width="26.109375" style="2231" customWidth="1"/>
    <col min="3080" max="3087" width="0" style="2231" hidden="1" customWidth="1"/>
    <col min="3088" max="3088" width="10.109375" style="2231" customWidth="1"/>
    <col min="3089" max="3089" width="11.44140625" style="2231" customWidth="1"/>
    <col min="3090" max="3090" width="13" style="2231" customWidth="1"/>
    <col min="3091" max="3091" width="11.5546875" style="2231" customWidth="1"/>
    <col min="3092" max="3092" width="9.6640625" style="2231" bestFit="1" customWidth="1"/>
    <col min="3093" max="3093" width="9.109375" style="2231"/>
    <col min="3094" max="3094" width="10.109375" style="2231" bestFit="1" customWidth="1"/>
    <col min="3095" max="3328" width="9.109375" style="2231"/>
    <col min="3329" max="3329" width="14.88671875" style="2231" customWidth="1"/>
    <col min="3330" max="3330" width="10.33203125" style="2231" bestFit="1" customWidth="1"/>
    <col min="3331" max="3331" width="11.33203125" style="2231" customWidth="1"/>
    <col min="3332" max="3332" width="16.88671875" style="2231" customWidth="1"/>
    <col min="3333" max="3333" width="20.88671875" style="2231" customWidth="1"/>
    <col min="3334" max="3334" width="74.44140625" style="2231" customWidth="1"/>
    <col min="3335" max="3335" width="26.109375" style="2231" customWidth="1"/>
    <col min="3336" max="3343" width="0" style="2231" hidden="1" customWidth="1"/>
    <col min="3344" max="3344" width="10.109375" style="2231" customWidth="1"/>
    <col min="3345" max="3345" width="11.44140625" style="2231" customWidth="1"/>
    <col min="3346" max="3346" width="13" style="2231" customWidth="1"/>
    <col min="3347" max="3347" width="11.5546875" style="2231" customWidth="1"/>
    <col min="3348" max="3348" width="9.6640625" style="2231" bestFit="1" customWidth="1"/>
    <col min="3349" max="3349" width="9.109375" style="2231"/>
    <col min="3350" max="3350" width="10.109375" style="2231" bestFit="1" customWidth="1"/>
    <col min="3351" max="3584" width="9.109375" style="2231"/>
    <col min="3585" max="3585" width="14.88671875" style="2231" customWidth="1"/>
    <col min="3586" max="3586" width="10.33203125" style="2231" bestFit="1" customWidth="1"/>
    <col min="3587" max="3587" width="11.33203125" style="2231" customWidth="1"/>
    <col min="3588" max="3588" width="16.88671875" style="2231" customWidth="1"/>
    <col min="3589" max="3589" width="20.88671875" style="2231" customWidth="1"/>
    <col min="3590" max="3590" width="74.44140625" style="2231" customWidth="1"/>
    <col min="3591" max="3591" width="26.109375" style="2231" customWidth="1"/>
    <col min="3592" max="3599" width="0" style="2231" hidden="1" customWidth="1"/>
    <col min="3600" max="3600" width="10.109375" style="2231" customWidth="1"/>
    <col min="3601" max="3601" width="11.44140625" style="2231" customWidth="1"/>
    <col min="3602" max="3602" width="13" style="2231" customWidth="1"/>
    <col min="3603" max="3603" width="11.5546875" style="2231" customWidth="1"/>
    <col min="3604" max="3604" width="9.6640625" style="2231" bestFit="1" customWidth="1"/>
    <col min="3605" max="3605" width="9.109375" style="2231"/>
    <col min="3606" max="3606" width="10.109375" style="2231" bestFit="1" customWidth="1"/>
    <col min="3607" max="3840" width="9.109375" style="2231"/>
    <col min="3841" max="3841" width="14.88671875" style="2231" customWidth="1"/>
    <col min="3842" max="3842" width="10.33203125" style="2231" bestFit="1" customWidth="1"/>
    <col min="3843" max="3843" width="11.33203125" style="2231" customWidth="1"/>
    <col min="3844" max="3844" width="16.88671875" style="2231" customWidth="1"/>
    <col min="3845" max="3845" width="20.88671875" style="2231" customWidth="1"/>
    <col min="3846" max="3846" width="74.44140625" style="2231" customWidth="1"/>
    <col min="3847" max="3847" width="26.109375" style="2231" customWidth="1"/>
    <col min="3848" max="3855" width="0" style="2231" hidden="1" customWidth="1"/>
    <col min="3856" max="3856" width="10.109375" style="2231" customWidth="1"/>
    <col min="3857" max="3857" width="11.44140625" style="2231" customWidth="1"/>
    <col min="3858" max="3858" width="13" style="2231" customWidth="1"/>
    <col min="3859" max="3859" width="11.5546875" style="2231" customWidth="1"/>
    <col min="3860" max="3860" width="9.6640625" style="2231" bestFit="1" customWidth="1"/>
    <col min="3861" max="3861" width="9.109375" style="2231"/>
    <col min="3862" max="3862" width="10.109375" style="2231" bestFit="1" customWidth="1"/>
    <col min="3863" max="4096" width="9.109375" style="2231"/>
    <col min="4097" max="4097" width="14.88671875" style="2231" customWidth="1"/>
    <col min="4098" max="4098" width="10.33203125" style="2231" bestFit="1" customWidth="1"/>
    <col min="4099" max="4099" width="11.33203125" style="2231" customWidth="1"/>
    <col min="4100" max="4100" width="16.88671875" style="2231" customWidth="1"/>
    <col min="4101" max="4101" width="20.88671875" style="2231" customWidth="1"/>
    <col min="4102" max="4102" width="74.44140625" style="2231" customWidth="1"/>
    <col min="4103" max="4103" width="26.109375" style="2231" customWidth="1"/>
    <col min="4104" max="4111" width="0" style="2231" hidden="1" customWidth="1"/>
    <col min="4112" max="4112" width="10.109375" style="2231" customWidth="1"/>
    <col min="4113" max="4113" width="11.44140625" style="2231" customWidth="1"/>
    <col min="4114" max="4114" width="13" style="2231" customWidth="1"/>
    <col min="4115" max="4115" width="11.5546875" style="2231" customWidth="1"/>
    <col min="4116" max="4116" width="9.6640625" style="2231" bestFit="1" customWidth="1"/>
    <col min="4117" max="4117" width="9.109375" style="2231"/>
    <col min="4118" max="4118" width="10.109375" style="2231" bestFit="1" customWidth="1"/>
    <col min="4119" max="4352" width="9.109375" style="2231"/>
    <col min="4353" max="4353" width="14.88671875" style="2231" customWidth="1"/>
    <col min="4354" max="4354" width="10.33203125" style="2231" bestFit="1" customWidth="1"/>
    <col min="4355" max="4355" width="11.33203125" style="2231" customWidth="1"/>
    <col min="4356" max="4356" width="16.88671875" style="2231" customWidth="1"/>
    <col min="4357" max="4357" width="20.88671875" style="2231" customWidth="1"/>
    <col min="4358" max="4358" width="74.44140625" style="2231" customWidth="1"/>
    <col min="4359" max="4359" width="26.109375" style="2231" customWidth="1"/>
    <col min="4360" max="4367" width="0" style="2231" hidden="1" customWidth="1"/>
    <col min="4368" max="4368" width="10.109375" style="2231" customWidth="1"/>
    <col min="4369" max="4369" width="11.44140625" style="2231" customWidth="1"/>
    <col min="4370" max="4370" width="13" style="2231" customWidth="1"/>
    <col min="4371" max="4371" width="11.5546875" style="2231" customWidth="1"/>
    <col min="4372" max="4372" width="9.6640625" style="2231" bestFit="1" customWidth="1"/>
    <col min="4373" max="4373" width="9.109375" style="2231"/>
    <col min="4374" max="4374" width="10.109375" style="2231" bestFit="1" customWidth="1"/>
    <col min="4375" max="4608" width="9.109375" style="2231"/>
    <col min="4609" max="4609" width="14.88671875" style="2231" customWidth="1"/>
    <col min="4610" max="4610" width="10.33203125" style="2231" bestFit="1" customWidth="1"/>
    <col min="4611" max="4611" width="11.33203125" style="2231" customWidth="1"/>
    <col min="4612" max="4612" width="16.88671875" style="2231" customWidth="1"/>
    <col min="4613" max="4613" width="20.88671875" style="2231" customWidth="1"/>
    <col min="4614" max="4614" width="74.44140625" style="2231" customWidth="1"/>
    <col min="4615" max="4615" width="26.109375" style="2231" customWidth="1"/>
    <col min="4616" max="4623" width="0" style="2231" hidden="1" customWidth="1"/>
    <col min="4624" max="4624" width="10.109375" style="2231" customWidth="1"/>
    <col min="4625" max="4625" width="11.44140625" style="2231" customWidth="1"/>
    <col min="4626" max="4626" width="13" style="2231" customWidth="1"/>
    <col min="4627" max="4627" width="11.5546875" style="2231" customWidth="1"/>
    <col min="4628" max="4628" width="9.6640625" style="2231" bestFit="1" customWidth="1"/>
    <col min="4629" max="4629" width="9.109375" style="2231"/>
    <col min="4630" max="4630" width="10.109375" style="2231" bestFit="1" customWidth="1"/>
    <col min="4631" max="4864" width="9.109375" style="2231"/>
    <col min="4865" max="4865" width="14.88671875" style="2231" customWidth="1"/>
    <col min="4866" max="4866" width="10.33203125" style="2231" bestFit="1" customWidth="1"/>
    <col min="4867" max="4867" width="11.33203125" style="2231" customWidth="1"/>
    <col min="4868" max="4868" width="16.88671875" style="2231" customWidth="1"/>
    <col min="4869" max="4869" width="20.88671875" style="2231" customWidth="1"/>
    <col min="4870" max="4870" width="74.44140625" style="2231" customWidth="1"/>
    <col min="4871" max="4871" width="26.109375" style="2231" customWidth="1"/>
    <col min="4872" max="4879" width="0" style="2231" hidden="1" customWidth="1"/>
    <col min="4880" max="4880" width="10.109375" style="2231" customWidth="1"/>
    <col min="4881" max="4881" width="11.44140625" style="2231" customWidth="1"/>
    <col min="4882" max="4882" width="13" style="2231" customWidth="1"/>
    <col min="4883" max="4883" width="11.5546875" style="2231" customWidth="1"/>
    <col min="4884" max="4884" width="9.6640625" style="2231" bestFit="1" customWidth="1"/>
    <col min="4885" max="4885" width="9.109375" style="2231"/>
    <col min="4886" max="4886" width="10.109375" style="2231" bestFit="1" customWidth="1"/>
    <col min="4887" max="5120" width="9.109375" style="2231"/>
    <col min="5121" max="5121" width="14.88671875" style="2231" customWidth="1"/>
    <col min="5122" max="5122" width="10.33203125" style="2231" bestFit="1" customWidth="1"/>
    <col min="5123" max="5123" width="11.33203125" style="2231" customWidth="1"/>
    <col min="5124" max="5124" width="16.88671875" style="2231" customWidth="1"/>
    <col min="5125" max="5125" width="20.88671875" style="2231" customWidth="1"/>
    <col min="5126" max="5126" width="74.44140625" style="2231" customWidth="1"/>
    <col min="5127" max="5127" width="26.109375" style="2231" customWidth="1"/>
    <col min="5128" max="5135" width="0" style="2231" hidden="1" customWidth="1"/>
    <col min="5136" max="5136" width="10.109375" style="2231" customWidth="1"/>
    <col min="5137" max="5137" width="11.44140625" style="2231" customWidth="1"/>
    <col min="5138" max="5138" width="13" style="2231" customWidth="1"/>
    <col min="5139" max="5139" width="11.5546875" style="2231" customWidth="1"/>
    <col min="5140" max="5140" width="9.6640625" style="2231" bestFit="1" customWidth="1"/>
    <col min="5141" max="5141" width="9.109375" style="2231"/>
    <col min="5142" max="5142" width="10.109375" style="2231" bestFit="1" customWidth="1"/>
    <col min="5143" max="5376" width="9.109375" style="2231"/>
    <col min="5377" max="5377" width="14.88671875" style="2231" customWidth="1"/>
    <col min="5378" max="5378" width="10.33203125" style="2231" bestFit="1" customWidth="1"/>
    <col min="5379" max="5379" width="11.33203125" style="2231" customWidth="1"/>
    <col min="5380" max="5380" width="16.88671875" style="2231" customWidth="1"/>
    <col min="5381" max="5381" width="20.88671875" style="2231" customWidth="1"/>
    <col min="5382" max="5382" width="74.44140625" style="2231" customWidth="1"/>
    <col min="5383" max="5383" width="26.109375" style="2231" customWidth="1"/>
    <col min="5384" max="5391" width="0" style="2231" hidden="1" customWidth="1"/>
    <col min="5392" max="5392" width="10.109375" style="2231" customWidth="1"/>
    <col min="5393" max="5393" width="11.44140625" style="2231" customWidth="1"/>
    <col min="5394" max="5394" width="13" style="2231" customWidth="1"/>
    <col min="5395" max="5395" width="11.5546875" style="2231" customWidth="1"/>
    <col min="5396" max="5396" width="9.6640625" style="2231" bestFit="1" customWidth="1"/>
    <col min="5397" max="5397" width="9.109375" style="2231"/>
    <col min="5398" max="5398" width="10.109375" style="2231" bestFit="1" customWidth="1"/>
    <col min="5399" max="5632" width="9.109375" style="2231"/>
    <col min="5633" max="5633" width="14.88671875" style="2231" customWidth="1"/>
    <col min="5634" max="5634" width="10.33203125" style="2231" bestFit="1" customWidth="1"/>
    <col min="5635" max="5635" width="11.33203125" style="2231" customWidth="1"/>
    <col min="5636" max="5636" width="16.88671875" style="2231" customWidth="1"/>
    <col min="5637" max="5637" width="20.88671875" style="2231" customWidth="1"/>
    <col min="5638" max="5638" width="74.44140625" style="2231" customWidth="1"/>
    <col min="5639" max="5639" width="26.109375" style="2231" customWidth="1"/>
    <col min="5640" max="5647" width="0" style="2231" hidden="1" customWidth="1"/>
    <col min="5648" max="5648" width="10.109375" style="2231" customWidth="1"/>
    <col min="5649" max="5649" width="11.44140625" style="2231" customWidth="1"/>
    <col min="5650" max="5650" width="13" style="2231" customWidth="1"/>
    <col min="5651" max="5651" width="11.5546875" style="2231" customWidth="1"/>
    <col min="5652" max="5652" width="9.6640625" style="2231" bestFit="1" customWidth="1"/>
    <col min="5653" max="5653" width="9.109375" style="2231"/>
    <col min="5654" max="5654" width="10.109375" style="2231" bestFit="1" customWidth="1"/>
    <col min="5655" max="5888" width="9.109375" style="2231"/>
    <col min="5889" max="5889" width="14.88671875" style="2231" customWidth="1"/>
    <col min="5890" max="5890" width="10.33203125" style="2231" bestFit="1" customWidth="1"/>
    <col min="5891" max="5891" width="11.33203125" style="2231" customWidth="1"/>
    <col min="5892" max="5892" width="16.88671875" style="2231" customWidth="1"/>
    <col min="5893" max="5893" width="20.88671875" style="2231" customWidth="1"/>
    <col min="5894" max="5894" width="74.44140625" style="2231" customWidth="1"/>
    <col min="5895" max="5895" width="26.109375" style="2231" customWidth="1"/>
    <col min="5896" max="5903" width="0" style="2231" hidden="1" customWidth="1"/>
    <col min="5904" max="5904" width="10.109375" style="2231" customWidth="1"/>
    <col min="5905" max="5905" width="11.44140625" style="2231" customWidth="1"/>
    <col min="5906" max="5906" width="13" style="2231" customWidth="1"/>
    <col min="5907" max="5907" width="11.5546875" style="2231" customWidth="1"/>
    <col min="5908" max="5908" width="9.6640625" style="2231" bestFit="1" customWidth="1"/>
    <col min="5909" max="5909" width="9.109375" style="2231"/>
    <col min="5910" max="5910" width="10.109375" style="2231" bestFit="1" customWidth="1"/>
    <col min="5911" max="6144" width="9.109375" style="2231"/>
    <col min="6145" max="6145" width="14.88671875" style="2231" customWidth="1"/>
    <col min="6146" max="6146" width="10.33203125" style="2231" bestFit="1" customWidth="1"/>
    <col min="6147" max="6147" width="11.33203125" style="2231" customWidth="1"/>
    <col min="6148" max="6148" width="16.88671875" style="2231" customWidth="1"/>
    <col min="6149" max="6149" width="20.88671875" style="2231" customWidth="1"/>
    <col min="6150" max="6150" width="74.44140625" style="2231" customWidth="1"/>
    <col min="6151" max="6151" width="26.109375" style="2231" customWidth="1"/>
    <col min="6152" max="6159" width="0" style="2231" hidden="1" customWidth="1"/>
    <col min="6160" max="6160" width="10.109375" style="2231" customWidth="1"/>
    <col min="6161" max="6161" width="11.44140625" style="2231" customWidth="1"/>
    <col min="6162" max="6162" width="13" style="2231" customWidth="1"/>
    <col min="6163" max="6163" width="11.5546875" style="2231" customWidth="1"/>
    <col min="6164" max="6164" width="9.6640625" style="2231" bestFit="1" customWidth="1"/>
    <col min="6165" max="6165" width="9.109375" style="2231"/>
    <col min="6166" max="6166" width="10.109375" style="2231" bestFit="1" customWidth="1"/>
    <col min="6167" max="6400" width="9.109375" style="2231"/>
    <col min="6401" max="6401" width="14.88671875" style="2231" customWidth="1"/>
    <col min="6402" max="6402" width="10.33203125" style="2231" bestFit="1" customWidth="1"/>
    <col min="6403" max="6403" width="11.33203125" style="2231" customWidth="1"/>
    <col min="6404" max="6404" width="16.88671875" style="2231" customWidth="1"/>
    <col min="6405" max="6405" width="20.88671875" style="2231" customWidth="1"/>
    <col min="6406" max="6406" width="74.44140625" style="2231" customWidth="1"/>
    <col min="6407" max="6407" width="26.109375" style="2231" customWidth="1"/>
    <col min="6408" max="6415" width="0" style="2231" hidden="1" customWidth="1"/>
    <col min="6416" max="6416" width="10.109375" style="2231" customWidth="1"/>
    <col min="6417" max="6417" width="11.44140625" style="2231" customWidth="1"/>
    <col min="6418" max="6418" width="13" style="2231" customWidth="1"/>
    <col min="6419" max="6419" width="11.5546875" style="2231" customWidth="1"/>
    <col min="6420" max="6420" width="9.6640625" style="2231" bestFit="1" customWidth="1"/>
    <col min="6421" max="6421" width="9.109375" style="2231"/>
    <col min="6422" max="6422" width="10.109375" style="2231" bestFit="1" customWidth="1"/>
    <col min="6423" max="6656" width="9.109375" style="2231"/>
    <col min="6657" max="6657" width="14.88671875" style="2231" customWidth="1"/>
    <col min="6658" max="6658" width="10.33203125" style="2231" bestFit="1" customWidth="1"/>
    <col min="6659" max="6659" width="11.33203125" style="2231" customWidth="1"/>
    <col min="6660" max="6660" width="16.88671875" style="2231" customWidth="1"/>
    <col min="6661" max="6661" width="20.88671875" style="2231" customWidth="1"/>
    <col min="6662" max="6662" width="74.44140625" style="2231" customWidth="1"/>
    <col min="6663" max="6663" width="26.109375" style="2231" customWidth="1"/>
    <col min="6664" max="6671" width="0" style="2231" hidden="1" customWidth="1"/>
    <col min="6672" max="6672" width="10.109375" style="2231" customWidth="1"/>
    <col min="6673" max="6673" width="11.44140625" style="2231" customWidth="1"/>
    <col min="6674" max="6674" width="13" style="2231" customWidth="1"/>
    <col min="6675" max="6675" width="11.5546875" style="2231" customWidth="1"/>
    <col min="6676" max="6676" width="9.6640625" style="2231" bestFit="1" customWidth="1"/>
    <col min="6677" max="6677" width="9.109375" style="2231"/>
    <col min="6678" max="6678" width="10.109375" style="2231" bestFit="1" customWidth="1"/>
    <col min="6679" max="6912" width="9.109375" style="2231"/>
    <col min="6913" max="6913" width="14.88671875" style="2231" customWidth="1"/>
    <col min="6914" max="6914" width="10.33203125" style="2231" bestFit="1" customWidth="1"/>
    <col min="6915" max="6915" width="11.33203125" style="2231" customWidth="1"/>
    <col min="6916" max="6916" width="16.88671875" style="2231" customWidth="1"/>
    <col min="6917" max="6917" width="20.88671875" style="2231" customWidth="1"/>
    <col min="6918" max="6918" width="74.44140625" style="2231" customWidth="1"/>
    <col min="6919" max="6919" width="26.109375" style="2231" customWidth="1"/>
    <col min="6920" max="6927" width="0" style="2231" hidden="1" customWidth="1"/>
    <col min="6928" max="6928" width="10.109375" style="2231" customWidth="1"/>
    <col min="6929" max="6929" width="11.44140625" style="2231" customWidth="1"/>
    <col min="6930" max="6930" width="13" style="2231" customWidth="1"/>
    <col min="6931" max="6931" width="11.5546875" style="2231" customWidth="1"/>
    <col min="6932" max="6932" width="9.6640625" style="2231" bestFit="1" customWidth="1"/>
    <col min="6933" max="6933" width="9.109375" style="2231"/>
    <col min="6934" max="6934" width="10.109375" style="2231" bestFit="1" customWidth="1"/>
    <col min="6935" max="7168" width="9.109375" style="2231"/>
    <col min="7169" max="7169" width="14.88671875" style="2231" customWidth="1"/>
    <col min="7170" max="7170" width="10.33203125" style="2231" bestFit="1" customWidth="1"/>
    <col min="7171" max="7171" width="11.33203125" style="2231" customWidth="1"/>
    <col min="7172" max="7172" width="16.88671875" style="2231" customWidth="1"/>
    <col min="7173" max="7173" width="20.88671875" style="2231" customWidth="1"/>
    <col min="7174" max="7174" width="74.44140625" style="2231" customWidth="1"/>
    <col min="7175" max="7175" width="26.109375" style="2231" customWidth="1"/>
    <col min="7176" max="7183" width="0" style="2231" hidden="1" customWidth="1"/>
    <col min="7184" max="7184" width="10.109375" style="2231" customWidth="1"/>
    <col min="7185" max="7185" width="11.44140625" style="2231" customWidth="1"/>
    <col min="7186" max="7186" width="13" style="2231" customWidth="1"/>
    <col min="7187" max="7187" width="11.5546875" style="2231" customWidth="1"/>
    <col min="7188" max="7188" width="9.6640625" style="2231" bestFit="1" customWidth="1"/>
    <col min="7189" max="7189" width="9.109375" style="2231"/>
    <col min="7190" max="7190" width="10.109375" style="2231" bestFit="1" customWidth="1"/>
    <col min="7191" max="7424" width="9.109375" style="2231"/>
    <col min="7425" max="7425" width="14.88671875" style="2231" customWidth="1"/>
    <col min="7426" max="7426" width="10.33203125" style="2231" bestFit="1" customWidth="1"/>
    <col min="7427" max="7427" width="11.33203125" style="2231" customWidth="1"/>
    <col min="7428" max="7428" width="16.88671875" style="2231" customWidth="1"/>
    <col min="7429" max="7429" width="20.88671875" style="2231" customWidth="1"/>
    <col min="7430" max="7430" width="74.44140625" style="2231" customWidth="1"/>
    <col min="7431" max="7431" width="26.109375" style="2231" customWidth="1"/>
    <col min="7432" max="7439" width="0" style="2231" hidden="1" customWidth="1"/>
    <col min="7440" max="7440" width="10.109375" style="2231" customWidth="1"/>
    <col min="7441" max="7441" width="11.44140625" style="2231" customWidth="1"/>
    <col min="7442" max="7442" width="13" style="2231" customWidth="1"/>
    <col min="7443" max="7443" width="11.5546875" style="2231" customWidth="1"/>
    <col min="7444" max="7444" width="9.6640625" style="2231" bestFit="1" customWidth="1"/>
    <col min="7445" max="7445" width="9.109375" style="2231"/>
    <col min="7446" max="7446" width="10.109375" style="2231" bestFit="1" customWidth="1"/>
    <col min="7447" max="7680" width="9.109375" style="2231"/>
    <col min="7681" max="7681" width="14.88671875" style="2231" customWidth="1"/>
    <col min="7682" max="7682" width="10.33203125" style="2231" bestFit="1" customWidth="1"/>
    <col min="7683" max="7683" width="11.33203125" style="2231" customWidth="1"/>
    <col min="7684" max="7684" width="16.88671875" style="2231" customWidth="1"/>
    <col min="7685" max="7685" width="20.88671875" style="2231" customWidth="1"/>
    <col min="7686" max="7686" width="74.44140625" style="2231" customWidth="1"/>
    <col min="7687" max="7687" width="26.109375" style="2231" customWidth="1"/>
    <col min="7688" max="7695" width="0" style="2231" hidden="1" customWidth="1"/>
    <col min="7696" max="7696" width="10.109375" style="2231" customWidth="1"/>
    <col min="7697" max="7697" width="11.44140625" style="2231" customWidth="1"/>
    <col min="7698" max="7698" width="13" style="2231" customWidth="1"/>
    <col min="7699" max="7699" width="11.5546875" style="2231" customWidth="1"/>
    <col min="7700" max="7700" width="9.6640625" style="2231" bestFit="1" customWidth="1"/>
    <col min="7701" max="7701" width="9.109375" style="2231"/>
    <col min="7702" max="7702" width="10.109375" style="2231" bestFit="1" customWidth="1"/>
    <col min="7703" max="7936" width="9.109375" style="2231"/>
    <col min="7937" max="7937" width="14.88671875" style="2231" customWidth="1"/>
    <col min="7938" max="7938" width="10.33203125" style="2231" bestFit="1" customWidth="1"/>
    <col min="7939" max="7939" width="11.33203125" style="2231" customWidth="1"/>
    <col min="7940" max="7940" width="16.88671875" style="2231" customWidth="1"/>
    <col min="7941" max="7941" width="20.88671875" style="2231" customWidth="1"/>
    <col min="7942" max="7942" width="74.44140625" style="2231" customWidth="1"/>
    <col min="7943" max="7943" width="26.109375" style="2231" customWidth="1"/>
    <col min="7944" max="7951" width="0" style="2231" hidden="1" customWidth="1"/>
    <col min="7952" max="7952" width="10.109375" style="2231" customWidth="1"/>
    <col min="7953" max="7953" width="11.44140625" style="2231" customWidth="1"/>
    <col min="7954" max="7954" width="13" style="2231" customWidth="1"/>
    <col min="7955" max="7955" width="11.5546875" style="2231" customWidth="1"/>
    <col min="7956" max="7956" width="9.6640625" style="2231" bestFit="1" customWidth="1"/>
    <col min="7957" max="7957" width="9.109375" style="2231"/>
    <col min="7958" max="7958" width="10.109375" style="2231" bestFit="1" customWidth="1"/>
    <col min="7959" max="8192" width="9.109375" style="2231"/>
    <col min="8193" max="8193" width="14.88671875" style="2231" customWidth="1"/>
    <col min="8194" max="8194" width="10.33203125" style="2231" bestFit="1" customWidth="1"/>
    <col min="8195" max="8195" width="11.33203125" style="2231" customWidth="1"/>
    <col min="8196" max="8196" width="16.88671875" style="2231" customWidth="1"/>
    <col min="8197" max="8197" width="20.88671875" style="2231" customWidth="1"/>
    <col min="8198" max="8198" width="74.44140625" style="2231" customWidth="1"/>
    <col min="8199" max="8199" width="26.109375" style="2231" customWidth="1"/>
    <col min="8200" max="8207" width="0" style="2231" hidden="1" customWidth="1"/>
    <col min="8208" max="8208" width="10.109375" style="2231" customWidth="1"/>
    <col min="8209" max="8209" width="11.44140625" style="2231" customWidth="1"/>
    <col min="8210" max="8210" width="13" style="2231" customWidth="1"/>
    <col min="8211" max="8211" width="11.5546875" style="2231" customWidth="1"/>
    <col min="8212" max="8212" width="9.6640625" style="2231" bestFit="1" customWidth="1"/>
    <col min="8213" max="8213" width="9.109375" style="2231"/>
    <col min="8214" max="8214" width="10.109375" style="2231" bestFit="1" customWidth="1"/>
    <col min="8215" max="8448" width="9.109375" style="2231"/>
    <col min="8449" max="8449" width="14.88671875" style="2231" customWidth="1"/>
    <col min="8450" max="8450" width="10.33203125" style="2231" bestFit="1" customWidth="1"/>
    <col min="8451" max="8451" width="11.33203125" style="2231" customWidth="1"/>
    <col min="8452" max="8452" width="16.88671875" style="2231" customWidth="1"/>
    <col min="8453" max="8453" width="20.88671875" style="2231" customWidth="1"/>
    <col min="8454" max="8454" width="74.44140625" style="2231" customWidth="1"/>
    <col min="8455" max="8455" width="26.109375" style="2231" customWidth="1"/>
    <col min="8456" max="8463" width="0" style="2231" hidden="1" customWidth="1"/>
    <col min="8464" max="8464" width="10.109375" style="2231" customWidth="1"/>
    <col min="8465" max="8465" width="11.44140625" style="2231" customWidth="1"/>
    <col min="8466" max="8466" width="13" style="2231" customWidth="1"/>
    <col min="8467" max="8467" width="11.5546875" style="2231" customWidth="1"/>
    <col min="8468" max="8468" width="9.6640625" style="2231" bestFit="1" customWidth="1"/>
    <col min="8469" max="8469" width="9.109375" style="2231"/>
    <col min="8470" max="8470" width="10.109375" style="2231" bestFit="1" customWidth="1"/>
    <col min="8471" max="8704" width="9.109375" style="2231"/>
    <col min="8705" max="8705" width="14.88671875" style="2231" customWidth="1"/>
    <col min="8706" max="8706" width="10.33203125" style="2231" bestFit="1" customWidth="1"/>
    <col min="8707" max="8707" width="11.33203125" style="2231" customWidth="1"/>
    <col min="8708" max="8708" width="16.88671875" style="2231" customWidth="1"/>
    <col min="8709" max="8709" width="20.88671875" style="2231" customWidth="1"/>
    <col min="8710" max="8710" width="74.44140625" style="2231" customWidth="1"/>
    <col min="8711" max="8711" width="26.109375" style="2231" customWidth="1"/>
    <col min="8712" max="8719" width="0" style="2231" hidden="1" customWidth="1"/>
    <col min="8720" max="8720" width="10.109375" style="2231" customWidth="1"/>
    <col min="8721" max="8721" width="11.44140625" style="2231" customWidth="1"/>
    <col min="8722" max="8722" width="13" style="2231" customWidth="1"/>
    <col min="8723" max="8723" width="11.5546875" style="2231" customWidth="1"/>
    <col min="8724" max="8724" width="9.6640625" style="2231" bestFit="1" customWidth="1"/>
    <col min="8725" max="8725" width="9.109375" style="2231"/>
    <col min="8726" max="8726" width="10.109375" style="2231" bestFit="1" customWidth="1"/>
    <col min="8727" max="8960" width="9.109375" style="2231"/>
    <col min="8961" max="8961" width="14.88671875" style="2231" customWidth="1"/>
    <col min="8962" max="8962" width="10.33203125" style="2231" bestFit="1" customWidth="1"/>
    <col min="8963" max="8963" width="11.33203125" style="2231" customWidth="1"/>
    <col min="8964" max="8964" width="16.88671875" style="2231" customWidth="1"/>
    <col min="8965" max="8965" width="20.88671875" style="2231" customWidth="1"/>
    <col min="8966" max="8966" width="74.44140625" style="2231" customWidth="1"/>
    <col min="8967" max="8967" width="26.109375" style="2231" customWidth="1"/>
    <col min="8968" max="8975" width="0" style="2231" hidden="1" customWidth="1"/>
    <col min="8976" max="8976" width="10.109375" style="2231" customWidth="1"/>
    <col min="8977" max="8977" width="11.44140625" style="2231" customWidth="1"/>
    <col min="8978" max="8978" width="13" style="2231" customWidth="1"/>
    <col min="8979" max="8979" width="11.5546875" style="2231" customWidth="1"/>
    <col min="8980" max="8980" width="9.6640625" style="2231" bestFit="1" customWidth="1"/>
    <col min="8981" max="8981" width="9.109375" style="2231"/>
    <col min="8982" max="8982" width="10.109375" style="2231" bestFit="1" customWidth="1"/>
    <col min="8983" max="9216" width="9.109375" style="2231"/>
    <col min="9217" max="9217" width="14.88671875" style="2231" customWidth="1"/>
    <col min="9218" max="9218" width="10.33203125" style="2231" bestFit="1" customWidth="1"/>
    <col min="9219" max="9219" width="11.33203125" style="2231" customWidth="1"/>
    <col min="9220" max="9220" width="16.88671875" style="2231" customWidth="1"/>
    <col min="9221" max="9221" width="20.88671875" style="2231" customWidth="1"/>
    <col min="9222" max="9222" width="74.44140625" style="2231" customWidth="1"/>
    <col min="9223" max="9223" width="26.109375" style="2231" customWidth="1"/>
    <col min="9224" max="9231" width="0" style="2231" hidden="1" customWidth="1"/>
    <col min="9232" max="9232" width="10.109375" style="2231" customWidth="1"/>
    <col min="9233" max="9233" width="11.44140625" style="2231" customWidth="1"/>
    <col min="9234" max="9234" width="13" style="2231" customWidth="1"/>
    <col min="9235" max="9235" width="11.5546875" style="2231" customWidth="1"/>
    <col min="9236" max="9236" width="9.6640625" style="2231" bestFit="1" customWidth="1"/>
    <col min="9237" max="9237" width="9.109375" style="2231"/>
    <col min="9238" max="9238" width="10.109375" style="2231" bestFit="1" customWidth="1"/>
    <col min="9239" max="9472" width="9.109375" style="2231"/>
    <col min="9473" max="9473" width="14.88671875" style="2231" customWidth="1"/>
    <col min="9474" max="9474" width="10.33203125" style="2231" bestFit="1" customWidth="1"/>
    <col min="9475" max="9475" width="11.33203125" style="2231" customWidth="1"/>
    <col min="9476" max="9476" width="16.88671875" style="2231" customWidth="1"/>
    <col min="9477" max="9477" width="20.88671875" style="2231" customWidth="1"/>
    <col min="9478" max="9478" width="74.44140625" style="2231" customWidth="1"/>
    <col min="9479" max="9479" width="26.109375" style="2231" customWidth="1"/>
    <col min="9480" max="9487" width="0" style="2231" hidden="1" customWidth="1"/>
    <col min="9488" max="9488" width="10.109375" style="2231" customWidth="1"/>
    <col min="9489" max="9489" width="11.44140625" style="2231" customWidth="1"/>
    <col min="9490" max="9490" width="13" style="2231" customWidth="1"/>
    <col min="9491" max="9491" width="11.5546875" style="2231" customWidth="1"/>
    <col min="9492" max="9492" width="9.6640625" style="2231" bestFit="1" customWidth="1"/>
    <col min="9493" max="9493" width="9.109375" style="2231"/>
    <col min="9494" max="9494" width="10.109375" style="2231" bestFit="1" customWidth="1"/>
    <col min="9495" max="9728" width="9.109375" style="2231"/>
    <col min="9729" max="9729" width="14.88671875" style="2231" customWidth="1"/>
    <col min="9730" max="9730" width="10.33203125" style="2231" bestFit="1" customWidth="1"/>
    <col min="9731" max="9731" width="11.33203125" style="2231" customWidth="1"/>
    <col min="9732" max="9732" width="16.88671875" style="2231" customWidth="1"/>
    <col min="9733" max="9733" width="20.88671875" style="2231" customWidth="1"/>
    <col min="9734" max="9734" width="74.44140625" style="2231" customWidth="1"/>
    <col min="9735" max="9735" width="26.109375" style="2231" customWidth="1"/>
    <col min="9736" max="9743" width="0" style="2231" hidden="1" customWidth="1"/>
    <col min="9744" max="9744" width="10.109375" style="2231" customWidth="1"/>
    <col min="9745" max="9745" width="11.44140625" style="2231" customWidth="1"/>
    <col min="9746" max="9746" width="13" style="2231" customWidth="1"/>
    <col min="9747" max="9747" width="11.5546875" style="2231" customWidth="1"/>
    <col min="9748" max="9748" width="9.6640625" style="2231" bestFit="1" customWidth="1"/>
    <col min="9749" max="9749" width="9.109375" style="2231"/>
    <col min="9750" max="9750" width="10.109375" style="2231" bestFit="1" customWidth="1"/>
    <col min="9751" max="9984" width="9.109375" style="2231"/>
    <col min="9985" max="9985" width="14.88671875" style="2231" customWidth="1"/>
    <col min="9986" max="9986" width="10.33203125" style="2231" bestFit="1" customWidth="1"/>
    <col min="9987" max="9987" width="11.33203125" style="2231" customWidth="1"/>
    <col min="9988" max="9988" width="16.88671875" style="2231" customWidth="1"/>
    <col min="9989" max="9989" width="20.88671875" style="2231" customWidth="1"/>
    <col min="9990" max="9990" width="74.44140625" style="2231" customWidth="1"/>
    <col min="9991" max="9991" width="26.109375" style="2231" customWidth="1"/>
    <col min="9992" max="9999" width="0" style="2231" hidden="1" customWidth="1"/>
    <col min="10000" max="10000" width="10.109375" style="2231" customWidth="1"/>
    <col min="10001" max="10001" width="11.44140625" style="2231" customWidth="1"/>
    <col min="10002" max="10002" width="13" style="2231" customWidth="1"/>
    <col min="10003" max="10003" width="11.5546875" style="2231" customWidth="1"/>
    <col min="10004" max="10004" width="9.6640625" style="2231" bestFit="1" customWidth="1"/>
    <col min="10005" max="10005" width="9.109375" style="2231"/>
    <col min="10006" max="10006" width="10.109375" style="2231" bestFit="1" customWidth="1"/>
    <col min="10007" max="10240" width="9.109375" style="2231"/>
    <col min="10241" max="10241" width="14.88671875" style="2231" customWidth="1"/>
    <col min="10242" max="10242" width="10.33203125" style="2231" bestFit="1" customWidth="1"/>
    <col min="10243" max="10243" width="11.33203125" style="2231" customWidth="1"/>
    <col min="10244" max="10244" width="16.88671875" style="2231" customWidth="1"/>
    <col min="10245" max="10245" width="20.88671875" style="2231" customWidth="1"/>
    <col min="10246" max="10246" width="74.44140625" style="2231" customWidth="1"/>
    <col min="10247" max="10247" width="26.109375" style="2231" customWidth="1"/>
    <col min="10248" max="10255" width="0" style="2231" hidden="1" customWidth="1"/>
    <col min="10256" max="10256" width="10.109375" style="2231" customWidth="1"/>
    <col min="10257" max="10257" width="11.44140625" style="2231" customWidth="1"/>
    <col min="10258" max="10258" width="13" style="2231" customWidth="1"/>
    <col min="10259" max="10259" width="11.5546875" style="2231" customWidth="1"/>
    <col min="10260" max="10260" width="9.6640625" style="2231" bestFit="1" customWidth="1"/>
    <col min="10261" max="10261" width="9.109375" style="2231"/>
    <col min="10262" max="10262" width="10.109375" style="2231" bestFit="1" customWidth="1"/>
    <col min="10263" max="10496" width="9.109375" style="2231"/>
    <col min="10497" max="10497" width="14.88671875" style="2231" customWidth="1"/>
    <col min="10498" max="10498" width="10.33203125" style="2231" bestFit="1" customWidth="1"/>
    <col min="10499" max="10499" width="11.33203125" style="2231" customWidth="1"/>
    <col min="10500" max="10500" width="16.88671875" style="2231" customWidth="1"/>
    <col min="10501" max="10501" width="20.88671875" style="2231" customWidth="1"/>
    <col min="10502" max="10502" width="74.44140625" style="2231" customWidth="1"/>
    <col min="10503" max="10503" width="26.109375" style="2231" customWidth="1"/>
    <col min="10504" max="10511" width="0" style="2231" hidden="1" customWidth="1"/>
    <col min="10512" max="10512" width="10.109375" style="2231" customWidth="1"/>
    <col min="10513" max="10513" width="11.44140625" style="2231" customWidth="1"/>
    <col min="10514" max="10514" width="13" style="2231" customWidth="1"/>
    <col min="10515" max="10515" width="11.5546875" style="2231" customWidth="1"/>
    <col min="10516" max="10516" width="9.6640625" style="2231" bestFit="1" customWidth="1"/>
    <col min="10517" max="10517" width="9.109375" style="2231"/>
    <col min="10518" max="10518" width="10.109375" style="2231" bestFit="1" customWidth="1"/>
    <col min="10519" max="10752" width="9.109375" style="2231"/>
    <col min="10753" max="10753" width="14.88671875" style="2231" customWidth="1"/>
    <col min="10754" max="10754" width="10.33203125" style="2231" bestFit="1" customWidth="1"/>
    <col min="10755" max="10755" width="11.33203125" style="2231" customWidth="1"/>
    <col min="10756" max="10756" width="16.88671875" style="2231" customWidth="1"/>
    <col min="10757" max="10757" width="20.88671875" style="2231" customWidth="1"/>
    <col min="10758" max="10758" width="74.44140625" style="2231" customWidth="1"/>
    <col min="10759" max="10759" width="26.109375" style="2231" customWidth="1"/>
    <col min="10760" max="10767" width="0" style="2231" hidden="1" customWidth="1"/>
    <col min="10768" max="10768" width="10.109375" style="2231" customWidth="1"/>
    <col min="10769" max="10769" width="11.44140625" style="2231" customWidth="1"/>
    <col min="10770" max="10770" width="13" style="2231" customWidth="1"/>
    <col min="10771" max="10771" width="11.5546875" style="2231" customWidth="1"/>
    <col min="10772" max="10772" width="9.6640625" style="2231" bestFit="1" customWidth="1"/>
    <col min="10773" max="10773" width="9.109375" style="2231"/>
    <col min="10774" max="10774" width="10.109375" style="2231" bestFit="1" customWidth="1"/>
    <col min="10775" max="11008" width="9.109375" style="2231"/>
    <col min="11009" max="11009" width="14.88671875" style="2231" customWidth="1"/>
    <col min="11010" max="11010" width="10.33203125" style="2231" bestFit="1" customWidth="1"/>
    <col min="11011" max="11011" width="11.33203125" style="2231" customWidth="1"/>
    <col min="11012" max="11012" width="16.88671875" style="2231" customWidth="1"/>
    <col min="11013" max="11013" width="20.88671875" style="2231" customWidth="1"/>
    <col min="11014" max="11014" width="74.44140625" style="2231" customWidth="1"/>
    <col min="11015" max="11015" width="26.109375" style="2231" customWidth="1"/>
    <col min="11016" max="11023" width="0" style="2231" hidden="1" customWidth="1"/>
    <col min="11024" max="11024" width="10.109375" style="2231" customWidth="1"/>
    <col min="11025" max="11025" width="11.44140625" style="2231" customWidth="1"/>
    <col min="11026" max="11026" width="13" style="2231" customWidth="1"/>
    <col min="11027" max="11027" width="11.5546875" style="2231" customWidth="1"/>
    <col min="11028" max="11028" width="9.6640625" style="2231" bestFit="1" customWidth="1"/>
    <col min="11029" max="11029" width="9.109375" style="2231"/>
    <col min="11030" max="11030" width="10.109375" style="2231" bestFit="1" customWidth="1"/>
    <col min="11031" max="11264" width="9.109375" style="2231"/>
    <col min="11265" max="11265" width="14.88671875" style="2231" customWidth="1"/>
    <col min="11266" max="11266" width="10.33203125" style="2231" bestFit="1" customWidth="1"/>
    <col min="11267" max="11267" width="11.33203125" style="2231" customWidth="1"/>
    <col min="11268" max="11268" width="16.88671875" style="2231" customWidth="1"/>
    <col min="11269" max="11269" width="20.88671875" style="2231" customWidth="1"/>
    <col min="11270" max="11270" width="74.44140625" style="2231" customWidth="1"/>
    <col min="11271" max="11271" width="26.109375" style="2231" customWidth="1"/>
    <col min="11272" max="11279" width="0" style="2231" hidden="1" customWidth="1"/>
    <col min="11280" max="11280" width="10.109375" style="2231" customWidth="1"/>
    <col min="11281" max="11281" width="11.44140625" style="2231" customWidth="1"/>
    <col min="11282" max="11282" width="13" style="2231" customWidth="1"/>
    <col min="11283" max="11283" width="11.5546875" style="2231" customWidth="1"/>
    <col min="11284" max="11284" width="9.6640625" style="2231" bestFit="1" customWidth="1"/>
    <col min="11285" max="11285" width="9.109375" style="2231"/>
    <col min="11286" max="11286" width="10.109375" style="2231" bestFit="1" customWidth="1"/>
    <col min="11287" max="11520" width="9.109375" style="2231"/>
    <col min="11521" max="11521" width="14.88671875" style="2231" customWidth="1"/>
    <col min="11522" max="11522" width="10.33203125" style="2231" bestFit="1" customWidth="1"/>
    <col min="11523" max="11523" width="11.33203125" style="2231" customWidth="1"/>
    <col min="11524" max="11524" width="16.88671875" style="2231" customWidth="1"/>
    <col min="11525" max="11525" width="20.88671875" style="2231" customWidth="1"/>
    <col min="11526" max="11526" width="74.44140625" style="2231" customWidth="1"/>
    <col min="11527" max="11527" width="26.109375" style="2231" customWidth="1"/>
    <col min="11528" max="11535" width="0" style="2231" hidden="1" customWidth="1"/>
    <col min="11536" max="11536" width="10.109375" style="2231" customWidth="1"/>
    <col min="11537" max="11537" width="11.44140625" style="2231" customWidth="1"/>
    <col min="11538" max="11538" width="13" style="2231" customWidth="1"/>
    <col min="11539" max="11539" width="11.5546875" style="2231" customWidth="1"/>
    <col min="11540" max="11540" width="9.6640625" style="2231" bestFit="1" customWidth="1"/>
    <col min="11541" max="11541" width="9.109375" style="2231"/>
    <col min="11542" max="11542" width="10.109375" style="2231" bestFit="1" customWidth="1"/>
    <col min="11543" max="11776" width="9.109375" style="2231"/>
    <col min="11777" max="11777" width="14.88671875" style="2231" customWidth="1"/>
    <col min="11778" max="11778" width="10.33203125" style="2231" bestFit="1" customWidth="1"/>
    <col min="11779" max="11779" width="11.33203125" style="2231" customWidth="1"/>
    <col min="11780" max="11780" width="16.88671875" style="2231" customWidth="1"/>
    <col min="11781" max="11781" width="20.88671875" style="2231" customWidth="1"/>
    <col min="11782" max="11782" width="74.44140625" style="2231" customWidth="1"/>
    <col min="11783" max="11783" width="26.109375" style="2231" customWidth="1"/>
    <col min="11784" max="11791" width="0" style="2231" hidden="1" customWidth="1"/>
    <col min="11792" max="11792" width="10.109375" style="2231" customWidth="1"/>
    <col min="11793" max="11793" width="11.44140625" style="2231" customWidth="1"/>
    <col min="11794" max="11794" width="13" style="2231" customWidth="1"/>
    <col min="11795" max="11795" width="11.5546875" style="2231" customWidth="1"/>
    <col min="11796" max="11796" width="9.6640625" style="2231" bestFit="1" customWidth="1"/>
    <col min="11797" max="11797" width="9.109375" style="2231"/>
    <col min="11798" max="11798" width="10.109375" style="2231" bestFit="1" customWidth="1"/>
    <col min="11799" max="12032" width="9.109375" style="2231"/>
    <col min="12033" max="12033" width="14.88671875" style="2231" customWidth="1"/>
    <col min="12034" max="12034" width="10.33203125" style="2231" bestFit="1" customWidth="1"/>
    <col min="12035" max="12035" width="11.33203125" style="2231" customWidth="1"/>
    <col min="12036" max="12036" width="16.88671875" style="2231" customWidth="1"/>
    <col min="12037" max="12037" width="20.88671875" style="2231" customWidth="1"/>
    <col min="12038" max="12038" width="74.44140625" style="2231" customWidth="1"/>
    <col min="12039" max="12039" width="26.109375" style="2231" customWidth="1"/>
    <col min="12040" max="12047" width="0" style="2231" hidden="1" customWidth="1"/>
    <col min="12048" max="12048" width="10.109375" style="2231" customWidth="1"/>
    <col min="12049" max="12049" width="11.44140625" style="2231" customWidth="1"/>
    <col min="12050" max="12050" width="13" style="2231" customWidth="1"/>
    <col min="12051" max="12051" width="11.5546875" style="2231" customWidth="1"/>
    <col min="12052" max="12052" width="9.6640625" style="2231" bestFit="1" customWidth="1"/>
    <col min="12053" max="12053" width="9.109375" style="2231"/>
    <col min="12054" max="12054" width="10.109375" style="2231" bestFit="1" customWidth="1"/>
    <col min="12055" max="12288" width="9.109375" style="2231"/>
    <col min="12289" max="12289" width="14.88671875" style="2231" customWidth="1"/>
    <col min="12290" max="12290" width="10.33203125" style="2231" bestFit="1" customWidth="1"/>
    <col min="12291" max="12291" width="11.33203125" style="2231" customWidth="1"/>
    <col min="12292" max="12292" width="16.88671875" style="2231" customWidth="1"/>
    <col min="12293" max="12293" width="20.88671875" style="2231" customWidth="1"/>
    <col min="12294" max="12294" width="74.44140625" style="2231" customWidth="1"/>
    <col min="12295" max="12295" width="26.109375" style="2231" customWidth="1"/>
    <col min="12296" max="12303" width="0" style="2231" hidden="1" customWidth="1"/>
    <col min="12304" max="12304" width="10.109375" style="2231" customWidth="1"/>
    <col min="12305" max="12305" width="11.44140625" style="2231" customWidth="1"/>
    <col min="12306" max="12306" width="13" style="2231" customWidth="1"/>
    <col min="12307" max="12307" width="11.5546875" style="2231" customWidth="1"/>
    <col min="12308" max="12308" width="9.6640625" style="2231" bestFit="1" customWidth="1"/>
    <col min="12309" max="12309" width="9.109375" style="2231"/>
    <col min="12310" max="12310" width="10.109375" style="2231" bestFit="1" customWidth="1"/>
    <col min="12311" max="12544" width="9.109375" style="2231"/>
    <col min="12545" max="12545" width="14.88671875" style="2231" customWidth="1"/>
    <col min="12546" max="12546" width="10.33203125" style="2231" bestFit="1" customWidth="1"/>
    <col min="12547" max="12547" width="11.33203125" style="2231" customWidth="1"/>
    <col min="12548" max="12548" width="16.88671875" style="2231" customWidth="1"/>
    <col min="12549" max="12549" width="20.88671875" style="2231" customWidth="1"/>
    <col min="12550" max="12550" width="74.44140625" style="2231" customWidth="1"/>
    <col min="12551" max="12551" width="26.109375" style="2231" customWidth="1"/>
    <col min="12552" max="12559" width="0" style="2231" hidden="1" customWidth="1"/>
    <col min="12560" max="12560" width="10.109375" style="2231" customWidth="1"/>
    <col min="12561" max="12561" width="11.44140625" style="2231" customWidth="1"/>
    <col min="12562" max="12562" width="13" style="2231" customWidth="1"/>
    <col min="12563" max="12563" width="11.5546875" style="2231" customWidth="1"/>
    <col min="12564" max="12564" width="9.6640625" style="2231" bestFit="1" customWidth="1"/>
    <col min="12565" max="12565" width="9.109375" style="2231"/>
    <col min="12566" max="12566" width="10.109375" style="2231" bestFit="1" customWidth="1"/>
    <col min="12567" max="12800" width="9.109375" style="2231"/>
    <col min="12801" max="12801" width="14.88671875" style="2231" customWidth="1"/>
    <col min="12802" max="12802" width="10.33203125" style="2231" bestFit="1" customWidth="1"/>
    <col min="12803" max="12803" width="11.33203125" style="2231" customWidth="1"/>
    <col min="12804" max="12804" width="16.88671875" style="2231" customWidth="1"/>
    <col min="12805" max="12805" width="20.88671875" style="2231" customWidth="1"/>
    <col min="12806" max="12806" width="74.44140625" style="2231" customWidth="1"/>
    <col min="12807" max="12807" width="26.109375" style="2231" customWidth="1"/>
    <col min="12808" max="12815" width="0" style="2231" hidden="1" customWidth="1"/>
    <col min="12816" max="12816" width="10.109375" style="2231" customWidth="1"/>
    <col min="12817" max="12817" width="11.44140625" style="2231" customWidth="1"/>
    <col min="12818" max="12818" width="13" style="2231" customWidth="1"/>
    <col min="12819" max="12819" width="11.5546875" style="2231" customWidth="1"/>
    <col min="12820" max="12820" width="9.6640625" style="2231" bestFit="1" customWidth="1"/>
    <col min="12821" max="12821" width="9.109375" style="2231"/>
    <col min="12822" max="12822" width="10.109375" style="2231" bestFit="1" customWidth="1"/>
    <col min="12823" max="13056" width="9.109375" style="2231"/>
    <col min="13057" max="13057" width="14.88671875" style="2231" customWidth="1"/>
    <col min="13058" max="13058" width="10.33203125" style="2231" bestFit="1" customWidth="1"/>
    <col min="13059" max="13059" width="11.33203125" style="2231" customWidth="1"/>
    <col min="13060" max="13060" width="16.88671875" style="2231" customWidth="1"/>
    <col min="13061" max="13061" width="20.88671875" style="2231" customWidth="1"/>
    <col min="13062" max="13062" width="74.44140625" style="2231" customWidth="1"/>
    <col min="13063" max="13063" width="26.109375" style="2231" customWidth="1"/>
    <col min="13064" max="13071" width="0" style="2231" hidden="1" customWidth="1"/>
    <col min="13072" max="13072" width="10.109375" style="2231" customWidth="1"/>
    <col min="13073" max="13073" width="11.44140625" style="2231" customWidth="1"/>
    <col min="13074" max="13074" width="13" style="2231" customWidth="1"/>
    <col min="13075" max="13075" width="11.5546875" style="2231" customWidth="1"/>
    <col min="13076" max="13076" width="9.6640625" style="2231" bestFit="1" customWidth="1"/>
    <col min="13077" max="13077" width="9.109375" style="2231"/>
    <col min="13078" max="13078" width="10.109375" style="2231" bestFit="1" customWidth="1"/>
    <col min="13079" max="13312" width="9.109375" style="2231"/>
    <col min="13313" max="13313" width="14.88671875" style="2231" customWidth="1"/>
    <col min="13314" max="13314" width="10.33203125" style="2231" bestFit="1" customWidth="1"/>
    <col min="13315" max="13315" width="11.33203125" style="2231" customWidth="1"/>
    <col min="13316" max="13316" width="16.88671875" style="2231" customWidth="1"/>
    <col min="13317" max="13317" width="20.88671875" style="2231" customWidth="1"/>
    <col min="13318" max="13318" width="74.44140625" style="2231" customWidth="1"/>
    <col min="13319" max="13319" width="26.109375" style="2231" customWidth="1"/>
    <col min="13320" max="13327" width="0" style="2231" hidden="1" customWidth="1"/>
    <col min="13328" max="13328" width="10.109375" style="2231" customWidth="1"/>
    <col min="13329" max="13329" width="11.44140625" style="2231" customWidth="1"/>
    <col min="13330" max="13330" width="13" style="2231" customWidth="1"/>
    <col min="13331" max="13331" width="11.5546875" style="2231" customWidth="1"/>
    <col min="13332" max="13332" width="9.6640625" style="2231" bestFit="1" customWidth="1"/>
    <col min="13333" max="13333" width="9.109375" style="2231"/>
    <col min="13334" max="13334" width="10.109375" style="2231" bestFit="1" customWidth="1"/>
    <col min="13335" max="13568" width="9.109375" style="2231"/>
    <col min="13569" max="13569" width="14.88671875" style="2231" customWidth="1"/>
    <col min="13570" max="13570" width="10.33203125" style="2231" bestFit="1" customWidth="1"/>
    <col min="13571" max="13571" width="11.33203125" style="2231" customWidth="1"/>
    <col min="13572" max="13572" width="16.88671875" style="2231" customWidth="1"/>
    <col min="13573" max="13573" width="20.88671875" style="2231" customWidth="1"/>
    <col min="13574" max="13574" width="74.44140625" style="2231" customWidth="1"/>
    <col min="13575" max="13575" width="26.109375" style="2231" customWidth="1"/>
    <col min="13576" max="13583" width="0" style="2231" hidden="1" customWidth="1"/>
    <col min="13584" max="13584" width="10.109375" style="2231" customWidth="1"/>
    <col min="13585" max="13585" width="11.44140625" style="2231" customWidth="1"/>
    <col min="13586" max="13586" width="13" style="2231" customWidth="1"/>
    <col min="13587" max="13587" width="11.5546875" style="2231" customWidth="1"/>
    <col min="13588" max="13588" width="9.6640625" style="2231" bestFit="1" customWidth="1"/>
    <col min="13589" max="13589" width="9.109375" style="2231"/>
    <col min="13590" max="13590" width="10.109375" style="2231" bestFit="1" customWidth="1"/>
    <col min="13591" max="13824" width="9.109375" style="2231"/>
    <col min="13825" max="13825" width="14.88671875" style="2231" customWidth="1"/>
    <col min="13826" max="13826" width="10.33203125" style="2231" bestFit="1" customWidth="1"/>
    <col min="13827" max="13827" width="11.33203125" style="2231" customWidth="1"/>
    <col min="13828" max="13828" width="16.88671875" style="2231" customWidth="1"/>
    <col min="13829" max="13829" width="20.88671875" style="2231" customWidth="1"/>
    <col min="13830" max="13830" width="74.44140625" style="2231" customWidth="1"/>
    <col min="13831" max="13831" width="26.109375" style="2231" customWidth="1"/>
    <col min="13832" max="13839" width="0" style="2231" hidden="1" customWidth="1"/>
    <col min="13840" max="13840" width="10.109375" style="2231" customWidth="1"/>
    <col min="13841" max="13841" width="11.44140625" style="2231" customWidth="1"/>
    <col min="13842" max="13842" width="13" style="2231" customWidth="1"/>
    <col min="13843" max="13843" width="11.5546875" style="2231" customWidth="1"/>
    <col min="13844" max="13844" width="9.6640625" style="2231" bestFit="1" customWidth="1"/>
    <col min="13845" max="13845" width="9.109375" style="2231"/>
    <col min="13846" max="13846" width="10.109375" style="2231" bestFit="1" customWidth="1"/>
    <col min="13847" max="14080" width="9.109375" style="2231"/>
    <col min="14081" max="14081" width="14.88671875" style="2231" customWidth="1"/>
    <col min="14082" max="14082" width="10.33203125" style="2231" bestFit="1" customWidth="1"/>
    <col min="14083" max="14083" width="11.33203125" style="2231" customWidth="1"/>
    <col min="14084" max="14084" width="16.88671875" style="2231" customWidth="1"/>
    <col min="14085" max="14085" width="20.88671875" style="2231" customWidth="1"/>
    <col min="14086" max="14086" width="74.44140625" style="2231" customWidth="1"/>
    <col min="14087" max="14087" width="26.109375" style="2231" customWidth="1"/>
    <col min="14088" max="14095" width="0" style="2231" hidden="1" customWidth="1"/>
    <col min="14096" max="14096" width="10.109375" style="2231" customWidth="1"/>
    <col min="14097" max="14097" width="11.44140625" style="2231" customWidth="1"/>
    <col min="14098" max="14098" width="13" style="2231" customWidth="1"/>
    <col min="14099" max="14099" width="11.5546875" style="2231" customWidth="1"/>
    <col min="14100" max="14100" width="9.6640625" style="2231" bestFit="1" customWidth="1"/>
    <col min="14101" max="14101" width="9.109375" style="2231"/>
    <col min="14102" max="14102" width="10.109375" style="2231" bestFit="1" customWidth="1"/>
    <col min="14103" max="14336" width="9.109375" style="2231"/>
    <col min="14337" max="14337" width="14.88671875" style="2231" customWidth="1"/>
    <col min="14338" max="14338" width="10.33203125" style="2231" bestFit="1" customWidth="1"/>
    <col min="14339" max="14339" width="11.33203125" style="2231" customWidth="1"/>
    <col min="14340" max="14340" width="16.88671875" style="2231" customWidth="1"/>
    <col min="14341" max="14341" width="20.88671875" style="2231" customWidth="1"/>
    <col min="14342" max="14342" width="74.44140625" style="2231" customWidth="1"/>
    <col min="14343" max="14343" width="26.109375" style="2231" customWidth="1"/>
    <col min="14344" max="14351" width="0" style="2231" hidden="1" customWidth="1"/>
    <col min="14352" max="14352" width="10.109375" style="2231" customWidth="1"/>
    <col min="14353" max="14353" width="11.44140625" style="2231" customWidth="1"/>
    <col min="14354" max="14354" width="13" style="2231" customWidth="1"/>
    <col min="14355" max="14355" width="11.5546875" style="2231" customWidth="1"/>
    <col min="14356" max="14356" width="9.6640625" style="2231" bestFit="1" customWidth="1"/>
    <col min="14357" max="14357" width="9.109375" style="2231"/>
    <col min="14358" max="14358" width="10.109375" style="2231" bestFit="1" customWidth="1"/>
    <col min="14359" max="14592" width="9.109375" style="2231"/>
    <col min="14593" max="14593" width="14.88671875" style="2231" customWidth="1"/>
    <col min="14594" max="14594" width="10.33203125" style="2231" bestFit="1" customWidth="1"/>
    <col min="14595" max="14595" width="11.33203125" style="2231" customWidth="1"/>
    <col min="14596" max="14596" width="16.88671875" style="2231" customWidth="1"/>
    <col min="14597" max="14597" width="20.88671875" style="2231" customWidth="1"/>
    <col min="14598" max="14598" width="74.44140625" style="2231" customWidth="1"/>
    <col min="14599" max="14599" width="26.109375" style="2231" customWidth="1"/>
    <col min="14600" max="14607" width="0" style="2231" hidden="1" customWidth="1"/>
    <col min="14608" max="14608" width="10.109375" style="2231" customWidth="1"/>
    <col min="14609" max="14609" width="11.44140625" style="2231" customWidth="1"/>
    <col min="14610" max="14610" width="13" style="2231" customWidth="1"/>
    <col min="14611" max="14611" width="11.5546875" style="2231" customWidth="1"/>
    <col min="14612" max="14612" width="9.6640625" style="2231" bestFit="1" customWidth="1"/>
    <col min="14613" max="14613" width="9.109375" style="2231"/>
    <col min="14614" max="14614" width="10.109375" style="2231" bestFit="1" customWidth="1"/>
    <col min="14615" max="14848" width="9.109375" style="2231"/>
    <col min="14849" max="14849" width="14.88671875" style="2231" customWidth="1"/>
    <col min="14850" max="14850" width="10.33203125" style="2231" bestFit="1" customWidth="1"/>
    <col min="14851" max="14851" width="11.33203125" style="2231" customWidth="1"/>
    <col min="14852" max="14852" width="16.88671875" style="2231" customWidth="1"/>
    <col min="14853" max="14853" width="20.88671875" style="2231" customWidth="1"/>
    <col min="14854" max="14854" width="74.44140625" style="2231" customWidth="1"/>
    <col min="14855" max="14855" width="26.109375" style="2231" customWidth="1"/>
    <col min="14856" max="14863" width="0" style="2231" hidden="1" customWidth="1"/>
    <col min="14864" max="14864" width="10.109375" style="2231" customWidth="1"/>
    <col min="14865" max="14865" width="11.44140625" style="2231" customWidth="1"/>
    <col min="14866" max="14866" width="13" style="2231" customWidth="1"/>
    <col min="14867" max="14867" width="11.5546875" style="2231" customWidth="1"/>
    <col min="14868" max="14868" width="9.6640625" style="2231" bestFit="1" customWidth="1"/>
    <col min="14869" max="14869" width="9.109375" style="2231"/>
    <col min="14870" max="14870" width="10.109375" style="2231" bestFit="1" customWidth="1"/>
    <col min="14871" max="15104" width="9.109375" style="2231"/>
    <col min="15105" max="15105" width="14.88671875" style="2231" customWidth="1"/>
    <col min="15106" max="15106" width="10.33203125" style="2231" bestFit="1" customWidth="1"/>
    <col min="15107" max="15107" width="11.33203125" style="2231" customWidth="1"/>
    <col min="15108" max="15108" width="16.88671875" style="2231" customWidth="1"/>
    <col min="15109" max="15109" width="20.88671875" style="2231" customWidth="1"/>
    <col min="15110" max="15110" width="74.44140625" style="2231" customWidth="1"/>
    <col min="15111" max="15111" width="26.109375" style="2231" customWidth="1"/>
    <col min="15112" max="15119" width="0" style="2231" hidden="1" customWidth="1"/>
    <col min="15120" max="15120" width="10.109375" style="2231" customWidth="1"/>
    <col min="15121" max="15121" width="11.44140625" style="2231" customWidth="1"/>
    <col min="15122" max="15122" width="13" style="2231" customWidth="1"/>
    <col min="15123" max="15123" width="11.5546875" style="2231" customWidth="1"/>
    <col min="15124" max="15124" width="9.6640625" style="2231" bestFit="1" customWidth="1"/>
    <col min="15125" max="15125" width="9.109375" style="2231"/>
    <col min="15126" max="15126" width="10.109375" style="2231" bestFit="1" customWidth="1"/>
    <col min="15127" max="15360" width="9.109375" style="2231"/>
    <col min="15361" max="15361" width="14.88671875" style="2231" customWidth="1"/>
    <col min="15362" max="15362" width="10.33203125" style="2231" bestFit="1" customWidth="1"/>
    <col min="15363" max="15363" width="11.33203125" style="2231" customWidth="1"/>
    <col min="15364" max="15364" width="16.88671875" style="2231" customWidth="1"/>
    <col min="15365" max="15365" width="20.88671875" style="2231" customWidth="1"/>
    <col min="15366" max="15366" width="74.44140625" style="2231" customWidth="1"/>
    <col min="15367" max="15367" width="26.109375" style="2231" customWidth="1"/>
    <col min="15368" max="15375" width="0" style="2231" hidden="1" customWidth="1"/>
    <col min="15376" max="15376" width="10.109375" style="2231" customWidth="1"/>
    <col min="15377" max="15377" width="11.44140625" style="2231" customWidth="1"/>
    <col min="15378" max="15378" width="13" style="2231" customWidth="1"/>
    <col min="15379" max="15379" width="11.5546875" style="2231" customWidth="1"/>
    <col min="15380" max="15380" width="9.6640625" style="2231" bestFit="1" customWidth="1"/>
    <col min="15381" max="15381" width="9.109375" style="2231"/>
    <col min="15382" max="15382" width="10.109375" style="2231" bestFit="1" customWidth="1"/>
    <col min="15383" max="15616" width="9.109375" style="2231"/>
    <col min="15617" max="15617" width="14.88671875" style="2231" customWidth="1"/>
    <col min="15618" max="15618" width="10.33203125" style="2231" bestFit="1" customWidth="1"/>
    <col min="15619" max="15619" width="11.33203125" style="2231" customWidth="1"/>
    <col min="15620" max="15620" width="16.88671875" style="2231" customWidth="1"/>
    <col min="15621" max="15621" width="20.88671875" style="2231" customWidth="1"/>
    <col min="15622" max="15622" width="74.44140625" style="2231" customWidth="1"/>
    <col min="15623" max="15623" width="26.109375" style="2231" customWidth="1"/>
    <col min="15624" max="15631" width="0" style="2231" hidden="1" customWidth="1"/>
    <col min="15632" max="15632" width="10.109375" style="2231" customWidth="1"/>
    <col min="15633" max="15633" width="11.44140625" style="2231" customWidth="1"/>
    <col min="15634" max="15634" width="13" style="2231" customWidth="1"/>
    <col min="15635" max="15635" width="11.5546875" style="2231" customWidth="1"/>
    <col min="15636" max="15636" width="9.6640625" style="2231" bestFit="1" customWidth="1"/>
    <col min="15637" max="15637" width="9.109375" style="2231"/>
    <col min="15638" max="15638" width="10.109375" style="2231" bestFit="1" customWidth="1"/>
    <col min="15639" max="15872" width="9.109375" style="2231"/>
    <col min="15873" max="15873" width="14.88671875" style="2231" customWidth="1"/>
    <col min="15874" max="15874" width="10.33203125" style="2231" bestFit="1" customWidth="1"/>
    <col min="15875" max="15875" width="11.33203125" style="2231" customWidth="1"/>
    <col min="15876" max="15876" width="16.88671875" style="2231" customWidth="1"/>
    <col min="15877" max="15877" width="20.88671875" style="2231" customWidth="1"/>
    <col min="15878" max="15878" width="74.44140625" style="2231" customWidth="1"/>
    <col min="15879" max="15879" width="26.109375" style="2231" customWidth="1"/>
    <col min="15880" max="15887" width="0" style="2231" hidden="1" customWidth="1"/>
    <col min="15888" max="15888" width="10.109375" style="2231" customWidth="1"/>
    <col min="15889" max="15889" width="11.44140625" style="2231" customWidth="1"/>
    <col min="15890" max="15890" width="13" style="2231" customWidth="1"/>
    <col min="15891" max="15891" width="11.5546875" style="2231" customWidth="1"/>
    <col min="15892" max="15892" width="9.6640625" style="2231" bestFit="1" customWidth="1"/>
    <col min="15893" max="15893" width="9.109375" style="2231"/>
    <col min="15894" max="15894" width="10.109375" style="2231" bestFit="1" customWidth="1"/>
    <col min="15895" max="16128" width="9.109375" style="2231"/>
    <col min="16129" max="16129" width="14.88671875" style="2231" customWidth="1"/>
    <col min="16130" max="16130" width="10.33203125" style="2231" bestFit="1" customWidth="1"/>
    <col min="16131" max="16131" width="11.33203125" style="2231" customWidth="1"/>
    <col min="16132" max="16132" width="16.88671875" style="2231" customWidth="1"/>
    <col min="16133" max="16133" width="20.88671875" style="2231" customWidth="1"/>
    <col min="16134" max="16134" width="74.44140625" style="2231" customWidth="1"/>
    <col min="16135" max="16135" width="26.109375" style="2231" customWidth="1"/>
    <col min="16136" max="16143" width="0" style="2231" hidden="1" customWidth="1"/>
    <col min="16144" max="16144" width="10.109375" style="2231" customWidth="1"/>
    <col min="16145" max="16145" width="11.44140625" style="2231" customWidth="1"/>
    <col min="16146" max="16146" width="13" style="2231" customWidth="1"/>
    <col min="16147" max="16147" width="11.5546875" style="2231" customWidth="1"/>
    <col min="16148" max="16148" width="9.6640625" style="2231" bestFit="1" customWidth="1"/>
    <col min="16149" max="16149" width="9.109375" style="2231"/>
    <col min="16150" max="16150" width="10.109375" style="2231" bestFit="1" customWidth="1"/>
    <col min="16151" max="16384" width="9.109375" style="2231"/>
  </cols>
  <sheetData>
    <row r="1" spans="1:20" ht="21" customHeight="1">
      <c r="A1" s="2227" t="s">
        <v>2348</v>
      </c>
      <c r="B1" s="2228"/>
      <c r="C1" s="2228"/>
      <c r="D1" s="2228"/>
      <c r="E1" s="2228"/>
      <c r="F1" s="2228"/>
      <c r="G1" s="2228"/>
      <c r="I1" s="2230"/>
      <c r="S1" s="2232">
        <f>170280.66/1.18</f>
        <v>144305.64406779662</v>
      </c>
    </row>
    <row r="2" spans="1:20" ht="21" customHeight="1">
      <c r="A2" s="2227" t="s">
        <v>2556</v>
      </c>
      <c r="B2" s="2228"/>
      <c r="C2" s="2228"/>
      <c r="D2" s="2228"/>
      <c r="E2" s="2228"/>
      <c r="F2" s="2228"/>
      <c r="G2" s="2228"/>
      <c r="H2" s="2233" t="s">
        <v>2349</v>
      </c>
      <c r="I2" s="2234" t="s">
        <v>2350</v>
      </c>
      <c r="R2" s="2891"/>
      <c r="S2" s="2232"/>
    </row>
    <row r="3" spans="1:20" ht="21" customHeight="1">
      <c r="A3" s="2227" t="s">
        <v>2559</v>
      </c>
      <c r="B3" s="2228"/>
      <c r="C3" s="2228"/>
      <c r="D3" s="2228"/>
      <c r="E3" s="2228"/>
      <c r="F3" s="2228"/>
      <c r="G3" s="2228"/>
      <c r="H3" s="2235">
        <f>SUM(G12:G14)+G21</f>
        <v>17052.589999999997</v>
      </c>
      <c r="I3" s="2236">
        <f>SUM(G17:G20)+G22</f>
        <v>7877.17</v>
      </c>
    </row>
    <row r="4" spans="1:20" ht="13.5" customHeight="1">
      <c r="A4" s="2229" t="s">
        <v>2593</v>
      </c>
      <c r="H4" s="2238" t="s">
        <v>2351</v>
      </c>
      <c r="I4" s="2239">
        <f>G7</f>
        <v>11020.37</v>
      </c>
      <c r="Q4" s="2892" t="s">
        <v>2605</v>
      </c>
      <c r="R4" s="2892" t="s">
        <v>1472</v>
      </c>
    </row>
    <row r="5" spans="1:20" ht="32.25" customHeight="1">
      <c r="A5" s="2240" t="s">
        <v>1514</v>
      </c>
      <c r="B5" s="3956" t="s">
        <v>902</v>
      </c>
      <c r="C5" s="3957"/>
      <c r="D5" s="3957"/>
      <c r="E5" s="3957"/>
      <c r="F5" s="3957"/>
      <c r="G5" s="2241" t="s">
        <v>2352</v>
      </c>
      <c r="H5" s="2242" t="s">
        <v>2353</v>
      </c>
      <c r="I5" s="2243" t="e">
        <f>I4-#REF!</f>
        <v>#REF!</v>
      </c>
    </row>
    <row r="6" spans="1:20" ht="16.5" customHeight="1">
      <c r="A6" s="2240"/>
      <c r="B6" s="2781" t="s">
        <v>2568</v>
      </c>
      <c r="C6" s="2782"/>
      <c r="D6" s="2782"/>
      <c r="E6" s="2782"/>
      <c r="F6" s="2782"/>
      <c r="G6" s="2241"/>
      <c r="H6" s="2242"/>
      <c r="I6" s="2243"/>
    </row>
    <row r="7" spans="1:20" ht="25.5" customHeight="1">
      <c r="A7" s="2244" t="s">
        <v>200</v>
      </c>
      <c r="B7" s="2245" t="s">
        <v>2566</v>
      </c>
      <c r="C7" s="2246"/>
      <c r="D7" s="2246"/>
      <c r="E7" s="2246"/>
      <c r="F7" s="2246"/>
      <c r="G7" s="2776">
        <v>11020.37</v>
      </c>
      <c r="H7" s="2229">
        <v>2302.9</v>
      </c>
    </row>
    <row r="8" spans="1:20" ht="25.5" customHeight="1">
      <c r="A8" s="2247" t="s">
        <v>698</v>
      </c>
      <c r="B8" s="2245" t="s">
        <v>2565</v>
      </c>
      <c r="C8" s="2246"/>
      <c r="D8" s="2246"/>
      <c r="E8" s="2246"/>
      <c r="F8" s="2246"/>
      <c r="G8" s="2776">
        <v>8165.45</v>
      </c>
      <c r="H8" s="2229">
        <v>14184.805</v>
      </c>
    </row>
    <row r="9" spans="1:20" s="2237" customFormat="1" ht="25.5" customHeight="1">
      <c r="A9" s="2777" t="s">
        <v>699</v>
      </c>
      <c r="B9" s="2778" t="s">
        <v>2567</v>
      </c>
      <c r="C9" s="2779"/>
      <c r="D9" s="2779"/>
      <c r="E9" s="2779"/>
      <c r="F9" s="2779"/>
      <c r="G9" s="2780">
        <f>G7-G8</f>
        <v>2854.920000000001</v>
      </c>
      <c r="H9" s="2229">
        <v>14184.805</v>
      </c>
      <c r="Q9" s="2893"/>
      <c r="R9" s="2893"/>
    </row>
    <row r="10" spans="1:20" ht="18" customHeight="1">
      <c r="A10" s="2240"/>
      <c r="B10" s="2781" t="s">
        <v>2569</v>
      </c>
      <c r="C10" s="2782"/>
      <c r="D10" s="2782"/>
      <c r="E10" s="2782"/>
      <c r="F10" s="2782"/>
      <c r="G10" s="2241"/>
      <c r="H10" s="2242"/>
      <c r="I10" s="2243"/>
    </row>
    <row r="11" spans="1:20" ht="24.75" customHeight="1">
      <c r="A11" s="2777" t="s">
        <v>207</v>
      </c>
      <c r="B11" s="2783" t="s">
        <v>2574</v>
      </c>
      <c r="C11" s="2730"/>
      <c r="D11" s="2730"/>
      <c r="E11" s="2730"/>
      <c r="F11" s="2730"/>
      <c r="G11" s="2789">
        <f>SUM(G12:G14)</f>
        <v>16584.199999999997</v>
      </c>
      <c r="H11" s="2242"/>
      <c r="I11" s="2243"/>
      <c r="R11" s="2892" t="s">
        <v>2606</v>
      </c>
    </row>
    <row r="12" spans="1:20" ht="25.5" customHeight="1">
      <c r="A12" s="2244" t="s">
        <v>138</v>
      </c>
      <c r="B12" s="2784" t="s">
        <v>2558</v>
      </c>
      <c r="C12" s="2246"/>
      <c r="D12" s="2246"/>
      <c r="E12" s="2246"/>
      <c r="F12" s="2246"/>
      <c r="G12" s="2776">
        <v>13863.13</v>
      </c>
      <c r="H12" s="2785">
        <v>14184.805</v>
      </c>
      <c r="Q12" s="2891">
        <f>(1562692.98-489.19+1507438.53+1559332.1+1208328.25+932620.28+1067700.51+1022153.17+1073693.19+1078203.49+1257924.25+1688542.05+2360932.59)/1.18/1000</f>
        <v>13829.722203389832</v>
      </c>
      <c r="R12" s="2890">
        <f>(1562.96245+1507.73652+1559.56674+1208.5514+933.07772+1081.09326+1026.75988+1074.48587+1079.58811+1277.40177+1691.04973)</f>
        <v>14002.273450000002</v>
      </c>
    </row>
    <row r="13" spans="1:20" ht="23.1" customHeight="1">
      <c r="A13" s="2731" t="s">
        <v>141</v>
      </c>
      <c r="B13" s="2245" t="s">
        <v>2571</v>
      </c>
      <c r="C13" s="2248"/>
      <c r="D13" s="2248"/>
      <c r="E13" s="2248"/>
      <c r="F13" s="2248"/>
      <c r="G13" s="2260">
        <v>799.55</v>
      </c>
      <c r="H13" s="2229">
        <v>606.12</v>
      </c>
      <c r="Q13" s="2894">
        <f>(145756.41+126872.99+139815.9+114721.95+52305.62+63205.15+67877.2+64578.67+61157.47+46958.91+41523.89)/1.18/1000</f>
        <v>783.7069152542374</v>
      </c>
      <c r="S13" s="2232">
        <f>G13-Q13</f>
        <v>15.843084745762553</v>
      </c>
      <c r="T13" s="2891">
        <f>(145756.41+126872.99+139815.9+114721.95+52305.62+63205.15+67877.2+64578.67+61157.47+46958.91+41523.89)</f>
        <v>924774.16</v>
      </c>
    </row>
    <row r="14" spans="1:20" ht="23.1" customHeight="1">
      <c r="A14" s="2731" t="s">
        <v>143</v>
      </c>
      <c r="B14" s="2245" t="s">
        <v>2572</v>
      </c>
      <c r="C14" s="2248"/>
      <c r="D14" s="2248"/>
      <c r="E14" s="2248"/>
      <c r="F14" s="2248"/>
      <c r="G14" s="2260">
        <v>1921.52</v>
      </c>
      <c r="H14" s="2249">
        <v>8.85</v>
      </c>
      <c r="Q14" s="2891">
        <f>(330757+358286.49+225297.83+270986.84+240988.94+311394.18+245198.13)/1.18/1000</f>
        <v>1680.4317033898303</v>
      </c>
      <c r="R14" s="2891"/>
    </row>
    <row r="15" spans="1:20" ht="21.75" customHeight="1">
      <c r="A15" s="2777" t="s">
        <v>208</v>
      </c>
      <c r="B15" s="2783" t="s">
        <v>2570</v>
      </c>
      <c r="C15" s="2730"/>
      <c r="D15" s="2730"/>
      <c r="E15" s="2730"/>
      <c r="F15" s="2730"/>
      <c r="G15" s="2789">
        <f>SUM(G16:G22)</f>
        <v>16040.47</v>
      </c>
      <c r="H15" s="2242"/>
      <c r="I15" s="2243"/>
    </row>
    <row r="16" spans="1:20" ht="23.1" customHeight="1">
      <c r="A16" s="2247" t="s">
        <v>723</v>
      </c>
      <c r="B16" s="2256" t="s">
        <v>2573</v>
      </c>
      <c r="C16" s="2248"/>
      <c r="D16" s="2248"/>
      <c r="E16" s="2248"/>
      <c r="F16" s="2248"/>
      <c r="G16" s="2260">
        <v>7694.91</v>
      </c>
      <c r="H16" s="2249">
        <v>3495.9821700000002</v>
      </c>
      <c r="I16" s="2251"/>
      <c r="J16" s="2254">
        <v>1495.2</v>
      </c>
      <c r="K16" s="2255" t="s">
        <v>1860</v>
      </c>
      <c r="Q16" s="2891">
        <v>7639.4</v>
      </c>
      <c r="R16" s="2894">
        <f>(8916.47073-1)/1.18</f>
        <v>7555.4836694915248</v>
      </c>
      <c r="S16" s="2232">
        <f>G16-Q16</f>
        <v>55.510000000000218</v>
      </c>
    </row>
    <row r="17" spans="1:19" ht="23.1" customHeight="1">
      <c r="A17" s="2247" t="s">
        <v>268</v>
      </c>
      <c r="B17" s="2245" t="s">
        <v>2560</v>
      </c>
      <c r="C17" s="2248"/>
      <c r="D17" s="2248"/>
      <c r="E17" s="2248"/>
      <c r="F17" s="2248"/>
      <c r="G17" s="2260">
        <v>36.840000000000003</v>
      </c>
      <c r="H17" s="2249">
        <v>4.54</v>
      </c>
      <c r="Q17" s="2891">
        <f>(1972.57+2019.48+1612.24+1326.35+1501.68+1441.28+1974.96+4106.12+1942.88+3121.06+6007.26+16168.85)/1000/1.18</f>
        <v>36.605703389830509</v>
      </c>
    </row>
    <row r="18" spans="1:19" ht="23.1" customHeight="1">
      <c r="A18" s="2247" t="s">
        <v>269</v>
      </c>
      <c r="B18" s="2245" t="s">
        <v>2561</v>
      </c>
      <c r="C18" s="2248"/>
      <c r="D18" s="2248"/>
      <c r="E18" s="2248"/>
      <c r="F18" s="2248"/>
      <c r="G18" s="2260">
        <v>2929.38</v>
      </c>
      <c r="H18" s="2249">
        <v>17141.939999999999</v>
      </c>
      <c r="Q18" s="2894">
        <f>(3045.93693+190.46282+410.72779)/1.18</f>
        <v>3090.7860508474578</v>
      </c>
    </row>
    <row r="19" spans="1:19" ht="23.1" customHeight="1">
      <c r="A19" s="2247" t="s">
        <v>2575</v>
      </c>
      <c r="B19" s="2245" t="s">
        <v>2562</v>
      </c>
      <c r="C19" s="2248"/>
      <c r="D19" s="2248"/>
      <c r="E19" s="2248"/>
      <c r="F19" s="2248"/>
      <c r="G19" s="2260">
        <v>891.68</v>
      </c>
      <c r="H19" s="2249">
        <v>552.17057999999997</v>
      </c>
      <c r="I19" s="2249" t="s">
        <v>2354</v>
      </c>
    </row>
    <row r="20" spans="1:19" ht="23.1" customHeight="1">
      <c r="A20" s="2247" t="s">
        <v>2576</v>
      </c>
      <c r="B20" s="2245" t="s">
        <v>2563</v>
      </c>
      <c r="C20" s="2248"/>
      <c r="D20" s="2248"/>
      <c r="E20" s="2248"/>
      <c r="F20" s="2248"/>
      <c r="G20" s="2260">
        <v>930.96</v>
      </c>
      <c r="H20" s="2250" t="s">
        <v>2355</v>
      </c>
      <c r="I20" s="2251"/>
      <c r="J20" s="2252" t="s">
        <v>2356</v>
      </c>
      <c r="K20" s="2253"/>
      <c r="P20" s="2232">
        <f>SUM(G19:G20)</f>
        <v>1822.6399999999999</v>
      </c>
      <c r="Q20" s="2894">
        <f>(240.24978+274.24988+277.22959+955.44908)</f>
        <v>1747.1783299999997</v>
      </c>
    </row>
    <row r="21" spans="1:19" ht="23.1" customHeight="1">
      <c r="A21" s="2247" t="s">
        <v>2577</v>
      </c>
      <c r="B21" s="2245" t="s">
        <v>2564</v>
      </c>
      <c r="C21" s="2248"/>
      <c r="D21" s="2248"/>
      <c r="E21" s="2248"/>
      <c r="F21" s="2248"/>
      <c r="G21" s="2260">
        <v>468.39</v>
      </c>
      <c r="H21" s="2250" t="s">
        <v>2355</v>
      </c>
      <c r="I21" s="2231">
        <v>261.35000000000002</v>
      </c>
      <c r="Q21" s="2891">
        <f>(26368+32936.4+29698.68+30280.92+5332.99+31002.99+14489.38+8487.83+6880.86+20738.46+10233.3+21068.3+11410.64+28107.07+36877.05+11878.02+51119.76+62914.17)/1.18/1000</f>
        <v>372.73289830508475</v>
      </c>
      <c r="R21" s="2891">
        <f>26368+32936.4+29698.68+30280.92+5333.99+31002.99+14489.38+8487.83+6880.86+20738.46+10233.3+21068.3+11410.64+28107.07+36877.05+11878.02+51119.76+62914.17+18630.12+17031.36+16359.3</f>
        <v>491846.59999999992</v>
      </c>
    </row>
    <row r="22" spans="1:19" ht="23.1" customHeight="1">
      <c r="A22" s="2731" t="s">
        <v>2578</v>
      </c>
      <c r="B22" s="2256" t="s">
        <v>2557</v>
      </c>
      <c r="C22" s="2248"/>
      <c r="D22" s="2248"/>
      <c r="E22" s="2248"/>
      <c r="F22" s="2248"/>
      <c r="G22" s="2260">
        <v>3088.31</v>
      </c>
      <c r="H22" s="2249">
        <v>3495.9821700000002</v>
      </c>
      <c r="I22" s="2251"/>
      <c r="J22" s="2254">
        <v>1495.2</v>
      </c>
      <c r="K22" s="2255" t="s">
        <v>1860</v>
      </c>
    </row>
    <row r="23" spans="1:19" ht="22.5" customHeight="1">
      <c r="A23" s="2786"/>
      <c r="B23" s="2791" t="s">
        <v>2580</v>
      </c>
      <c r="C23" s="2248"/>
      <c r="D23" s="2248"/>
      <c r="E23" s="2248"/>
      <c r="F23" s="2248"/>
      <c r="G23" s="2787"/>
      <c r="H23" s="2257"/>
    </row>
    <row r="24" spans="1:19" ht="19.5" customHeight="1">
      <c r="A24" s="2790" t="s">
        <v>210</v>
      </c>
      <c r="B24" s="2258" t="s">
        <v>2582</v>
      </c>
      <c r="C24" s="2259"/>
      <c r="D24" s="2259"/>
      <c r="E24" s="2259"/>
      <c r="F24" s="2259"/>
      <c r="G24" s="2788">
        <f>G11-G15</f>
        <v>543.72999999999774</v>
      </c>
      <c r="H24" s="2260">
        <f>SUM(H12:H14)-H17-H18-H19-H22</f>
        <v>-6394.8577499999983</v>
      </c>
      <c r="I24" s="2261">
        <v>-766.09999999999764</v>
      </c>
    </row>
    <row r="25" spans="1:19" ht="19.5" customHeight="1">
      <c r="A25" s="3958" t="s">
        <v>212</v>
      </c>
      <c r="B25" s="2791" t="s">
        <v>2579</v>
      </c>
      <c r="C25" s="2248"/>
      <c r="D25" s="2248"/>
      <c r="E25" s="2248"/>
      <c r="F25" s="2248"/>
      <c r="G25" s="2787"/>
      <c r="I25" s="2261"/>
    </row>
    <row r="26" spans="1:19" ht="19.5" customHeight="1">
      <c r="A26" s="3959"/>
      <c r="B26" s="2258" t="s">
        <v>2583</v>
      </c>
      <c r="C26" s="2259"/>
      <c r="D26" s="2259"/>
      <c r="E26" s="2262"/>
      <c r="F26" s="2262"/>
      <c r="G26" s="2788">
        <f>G9-G24</f>
        <v>2311.1900000000032</v>
      </c>
      <c r="H26" s="2249">
        <f>H7-H24</f>
        <v>8697.7577499999989</v>
      </c>
      <c r="I26" s="2261">
        <v>-766.09999999999764</v>
      </c>
      <c r="R26" s="2892"/>
    </row>
    <row r="27" spans="1:19">
      <c r="S27" s="2263"/>
    </row>
    <row r="28" spans="1:19">
      <c r="S28" s="2263"/>
    </row>
    <row r="29" spans="1:19">
      <c r="A29" s="2263" t="s">
        <v>2581</v>
      </c>
      <c r="Q29" s="2890">
        <f>15461.52+761.06+3128.2-2374.47</f>
        <v>16976.309999999998</v>
      </c>
    </row>
    <row r="30" spans="1:19">
      <c r="A30" s="2263" t="s">
        <v>2592</v>
      </c>
      <c r="Q30" s="2891">
        <f>'Расчет НВВ 2022г.'!G84</f>
        <v>10641.269479999999</v>
      </c>
    </row>
    <row r="31" spans="1:19">
      <c r="A31" s="2263"/>
      <c r="Q31" s="2891">
        <f>Q30-Q29</f>
        <v>-6335.0405199999987</v>
      </c>
    </row>
    <row r="32" spans="1:19">
      <c r="A32" s="2263"/>
      <c r="G32" s="2232"/>
    </row>
    <row r="33" spans="1:18">
      <c r="H33" s="2264">
        <f>2265.5-G7</f>
        <v>-8754.8700000000008</v>
      </c>
    </row>
    <row r="34" spans="1:18">
      <c r="H34" s="2237"/>
    </row>
    <row r="35" spans="1:18">
      <c r="H35" s="2237"/>
    </row>
    <row r="36" spans="1:18">
      <c r="H36" s="2237"/>
    </row>
    <row r="37" spans="1:18">
      <c r="H37" s="2237"/>
    </row>
    <row r="38" spans="1:18">
      <c r="H38" s="2237"/>
    </row>
    <row r="39" spans="1:18">
      <c r="H39" s="2237"/>
    </row>
    <row r="40" spans="1:18">
      <c r="H40" s="2237"/>
    </row>
    <row r="43" spans="1:18" s="2270" customFormat="1" ht="23.25" customHeight="1">
      <c r="A43" s="2265" t="s">
        <v>1266</v>
      </c>
      <c r="B43" s="2266"/>
      <c r="C43" s="2267"/>
      <c r="D43" s="2268"/>
      <c r="E43" s="2268"/>
      <c r="F43" s="2268"/>
      <c r="G43" s="2268"/>
      <c r="H43" s="2269"/>
      <c r="L43" s="2271">
        <f>I36-9777.22</f>
        <v>-9777.2199999999993</v>
      </c>
      <c r="N43" s="1910"/>
      <c r="Q43" s="2895"/>
      <c r="R43" s="2895"/>
    </row>
    <row r="44" spans="1:18" s="2270" customFormat="1" ht="15" customHeight="1">
      <c r="A44" s="2265" t="s">
        <v>1304</v>
      </c>
      <c r="C44" s="2267"/>
      <c r="D44" s="2268"/>
      <c r="E44" s="2272"/>
      <c r="F44" s="2273" t="s">
        <v>1268</v>
      </c>
      <c r="N44" s="1910"/>
      <c r="O44" s="1910"/>
      <c r="P44" s="1910"/>
      <c r="Q44" s="2896"/>
      <c r="R44" s="2895"/>
    </row>
    <row r="46" spans="1:18" s="2274" customFormat="1" ht="15.6">
      <c r="B46" s="2275"/>
      <c r="C46" s="2276"/>
      <c r="H46" s="2277"/>
      <c r="K46" s="2237"/>
      <c r="Q46" s="2897"/>
      <c r="R46" s="2897"/>
    </row>
  </sheetData>
  <mergeCells count="2">
    <mergeCell ref="B5:F5"/>
    <mergeCell ref="A25:A26"/>
  </mergeCells>
  <printOptions horizontalCentered="1"/>
  <pageMargins left="0.19685039370078741" right="0.19685039370078741" top="0.59055118110236227" bottom="0.11811023622047245" header="0.31496062992125984" footer="3.937007874015748E-2"/>
  <pageSetup paperSize="9" scale="77" orientation="landscape" r:id="rId1"/>
  <headerFooter>
    <oddFooter>&amp;L&amp;8___________________________________________________________________
&amp;F&amp;A</oddFooter>
  </headerFooter>
  <colBreaks count="1" manualBreakCount="1">
    <brk id="7" max="3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>
    <tabColor rgb="FF7030A0"/>
  </sheetPr>
  <dimension ref="A1:T99"/>
  <sheetViews>
    <sheetView workbookViewId="0">
      <pane ySplit="4" topLeftCell="A48" activePane="bottomLeft" state="frozenSplit"/>
      <selection activeCell="B32" sqref="A1:XFD1048576"/>
      <selection pane="bottomLeft" activeCell="B32" sqref="A1:XFD1048576"/>
    </sheetView>
  </sheetViews>
  <sheetFormatPr defaultColWidth="9.109375" defaultRowHeight="15.6"/>
  <cols>
    <col min="1" max="1" width="3.33203125" style="26" customWidth="1"/>
    <col min="2" max="2" width="23.88671875" style="26" customWidth="1"/>
    <col min="3" max="3" width="8.88671875" style="26" customWidth="1"/>
    <col min="4" max="4" width="16.5546875" style="26" customWidth="1"/>
    <col min="5" max="5" width="14" style="26" customWidth="1"/>
    <col min="6" max="6" width="9.6640625" style="26" customWidth="1"/>
    <col min="7" max="7" width="16.88671875" style="26" customWidth="1"/>
    <col min="8" max="8" width="16" style="26" customWidth="1"/>
    <col min="9" max="9" width="19.109375" style="207" customWidth="1"/>
    <col min="10" max="10" width="15.44140625" style="26" customWidth="1"/>
    <col min="11" max="11" width="11.33203125" style="26" bestFit="1" customWidth="1"/>
    <col min="12" max="16384" width="9.109375" style="26"/>
  </cols>
  <sheetData>
    <row r="1" spans="1:10" ht="47.4">
      <c r="A1" s="608" t="s">
        <v>1936</v>
      </c>
      <c r="B1" s="89"/>
      <c r="C1" s="89"/>
      <c r="D1" s="89"/>
      <c r="E1" s="89"/>
      <c r="F1" s="89"/>
      <c r="G1" s="89"/>
      <c r="H1" s="89"/>
      <c r="I1" s="609"/>
      <c r="J1" s="76"/>
    </row>
    <row r="2" spans="1:10" ht="18">
      <c r="A2"/>
      <c r="B2"/>
      <c r="C2"/>
      <c r="D2"/>
      <c r="E2" s="610"/>
      <c r="F2"/>
      <c r="G2" s="875" t="s">
        <v>1401</v>
      </c>
      <c r="H2" s="610"/>
      <c r="I2" s="611"/>
      <c r="J2" s="76"/>
    </row>
    <row r="3" spans="1:10" ht="18">
      <c r="A3"/>
      <c r="B3"/>
      <c r="C3"/>
      <c r="D3"/>
      <c r="E3"/>
      <c r="F3"/>
      <c r="G3"/>
      <c r="H3"/>
      <c r="I3" s="611"/>
      <c r="J3" s="76"/>
    </row>
    <row r="4" spans="1:10" ht="44.4">
      <c r="A4" s="82" t="s">
        <v>616</v>
      </c>
      <c r="B4" s="612" t="s">
        <v>1148</v>
      </c>
      <c r="C4" s="612" t="s">
        <v>1149</v>
      </c>
      <c r="D4" s="612" t="s">
        <v>1150</v>
      </c>
      <c r="E4" s="613" t="s">
        <v>1151</v>
      </c>
      <c r="F4" s="612" t="s">
        <v>1149</v>
      </c>
      <c r="G4" s="612" t="s">
        <v>638</v>
      </c>
      <c r="H4" s="613" t="s">
        <v>1152</v>
      </c>
      <c r="I4" s="614"/>
      <c r="J4" s="85"/>
    </row>
    <row r="5" spans="1:10">
      <c r="A5" s="1232" t="s">
        <v>1545</v>
      </c>
      <c r="B5" s="1233"/>
      <c r="C5" s="1233"/>
      <c r="D5" s="1233"/>
      <c r="E5" s="1233"/>
      <c r="F5" s="1233"/>
      <c r="G5" s="1233"/>
      <c r="H5" s="1234"/>
      <c r="I5" s="614"/>
      <c r="J5" s="85"/>
    </row>
    <row r="6" spans="1:10">
      <c r="A6" s="1229" t="s">
        <v>1937</v>
      </c>
      <c r="B6" s="1230"/>
      <c r="C6" s="1230"/>
      <c r="D6" s="1230"/>
      <c r="E6" s="1230"/>
      <c r="F6" s="1230"/>
      <c r="G6" s="1230"/>
      <c r="H6" s="1231"/>
      <c r="I6" s="614"/>
      <c r="J6" s="85"/>
    </row>
    <row r="7" spans="1:10" s="620" customFormat="1" ht="20.25" customHeight="1">
      <c r="A7" s="615" t="s">
        <v>200</v>
      </c>
      <c r="B7" s="4116" t="s">
        <v>1432</v>
      </c>
      <c r="C7" s="24" t="s">
        <v>1938</v>
      </c>
      <c r="D7" s="617" t="s">
        <v>1939</v>
      </c>
      <c r="E7" s="625">
        <v>2526.4</v>
      </c>
      <c r="F7" s="24" t="s">
        <v>1958</v>
      </c>
      <c r="G7" s="617" t="s">
        <v>1959</v>
      </c>
      <c r="H7" s="625">
        <v>2526.4</v>
      </c>
      <c r="I7" s="628"/>
      <c r="J7" s="619"/>
    </row>
    <row r="8" spans="1:10" s="620" customFormat="1" ht="20.25" customHeight="1">
      <c r="A8" s="615" t="s">
        <v>207</v>
      </c>
      <c r="B8" s="4124"/>
      <c r="C8" s="24" t="s">
        <v>1941</v>
      </c>
      <c r="D8" s="617" t="s">
        <v>1940</v>
      </c>
      <c r="E8" s="625">
        <v>101393.21</v>
      </c>
      <c r="F8" s="24" t="s">
        <v>1960</v>
      </c>
      <c r="G8" s="308" t="s">
        <v>1961</v>
      </c>
      <c r="H8" s="625">
        <v>153883.42000000001</v>
      </c>
      <c r="I8" s="618"/>
      <c r="J8" s="619"/>
    </row>
    <row r="9" spans="1:10" s="620" customFormat="1" ht="20.25" customHeight="1">
      <c r="A9" s="623" t="s">
        <v>208</v>
      </c>
      <c r="B9" s="4124"/>
      <c r="C9" s="24" t="s">
        <v>1942</v>
      </c>
      <c r="D9" s="617" t="s">
        <v>1943</v>
      </c>
      <c r="E9" s="625">
        <v>52524.22</v>
      </c>
      <c r="F9" s="24" t="s">
        <v>1963</v>
      </c>
      <c r="G9" s="308" t="s">
        <v>1964</v>
      </c>
      <c r="H9" s="625">
        <v>34.01</v>
      </c>
      <c r="I9" s="628">
        <v>153917.43</v>
      </c>
      <c r="J9" s="619">
        <v>34.009999999980209</v>
      </c>
    </row>
    <row r="10" spans="1:10" s="620" customFormat="1" ht="20.25" customHeight="1">
      <c r="A10" s="615" t="s">
        <v>210</v>
      </c>
      <c r="B10" s="4124"/>
      <c r="C10" s="24" t="s">
        <v>1944</v>
      </c>
      <c r="D10" s="617" t="s">
        <v>1945</v>
      </c>
      <c r="E10" s="625">
        <v>69779.95</v>
      </c>
      <c r="F10" s="24" t="s">
        <v>1954</v>
      </c>
      <c r="G10" s="617" t="s">
        <v>1955</v>
      </c>
      <c r="H10" s="625">
        <v>69779.95</v>
      </c>
      <c r="I10" s="618"/>
      <c r="J10" s="619"/>
    </row>
    <row r="11" spans="1:10" s="620" customFormat="1" ht="20.25" customHeight="1">
      <c r="A11" s="623" t="s">
        <v>212</v>
      </c>
      <c r="B11" s="4124"/>
      <c r="C11" s="24" t="s">
        <v>1946</v>
      </c>
      <c r="D11" s="617" t="s">
        <v>1947</v>
      </c>
      <c r="E11" s="625">
        <v>242558.48</v>
      </c>
      <c r="F11" s="24" t="s">
        <v>1956</v>
      </c>
      <c r="G11" s="617" t="s">
        <v>1957</v>
      </c>
      <c r="H11" s="625">
        <v>242558.48</v>
      </c>
      <c r="I11" s="628"/>
      <c r="J11" s="619"/>
    </row>
    <row r="12" spans="1:10" s="620" customFormat="1" ht="20.25" customHeight="1">
      <c r="A12" s="623" t="s">
        <v>215</v>
      </c>
      <c r="B12" s="4124" t="s">
        <v>1948</v>
      </c>
      <c r="C12" s="24" t="s">
        <v>1951</v>
      </c>
      <c r="D12" s="617" t="s">
        <v>1952</v>
      </c>
      <c r="E12" s="625">
        <v>4169.58</v>
      </c>
      <c r="F12" s="4125" t="s">
        <v>1958</v>
      </c>
      <c r="G12" s="4087" t="s">
        <v>1962</v>
      </c>
      <c r="H12" s="4089">
        <v>7730.56</v>
      </c>
      <c r="J12" s="619"/>
    </row>
    <row r="13" spans="1:10" s="620" customFormat="1" ht="20.25" customHeight="1">
      <c r="A13" s="623" t="s">
        <v>218</v>
      </c>
      <c r="B13" s="4124"/>
      <c r="C13" s="24" t="s">
        <v>1949</v>
      </c>
      <c r="D13" s="617" t="s">
        <v>1950</v>
      </c>
      <c r="E13" s="625">
        <v>908.97</v>
      </c>
      <c r="F13" s="4126"/>
      <c r="G13" s="4095"/>
      <c r="H13" s="4096"/>
      <c r="I13" s="628"/>
      <c r="J13" s="618"/>
    </row>
    <row r="14" spans="1:10" s="620" customFormat="1" ht="20.25" customHeight="1">
      <c r="A14" s="623" t="s">
        <v>226</v>
      </c>
      <c r="B14" s="4124"/>
      <c r="C14" s="24" t="s">
        <v>1953</v>
      </c>
      <c r="D14" s="617" t="s">
        <v>1950</v>
      </c>
      <c r="E14" s="625">
        <v>2652.01</v>
      </c>
      <c r="F14" s="4127"/>
      <c r="G14" s="4088"/>
      <c r="H14" s="4090"/>
      <c r="I14" s="628">
        <v>7730.56</v>
      </c>
      <c r="J14" s="619"/>
    </row>
    <row r="15" spans="1:10" s="620" customFormat="1" ht="20.25" hidden="1" customHeight="1">
      <c r="A15" s="623"/>
      <c r="B15" s="1788"/>
      <c r="C15"/>
      <c r="D15" s="1236"/>
      <c r="E15" s="1237"/>
      <c r="F15"/>
      <c r="G15" s="1236"/>
      <c r="H15" s="1237"/>
      <c r="I15" s="628"/>
      <c r="J15" s="619"/>
    </row>
    <row r="16" spans="1:10" s="620" customFormat="1" ht="20.25" hidden="1" customHeight="1">
      <c r="A16" s="623"/>
      <c r="B16" s="1788"/>
      <c r="C16"/>
      <c r="D16" s="1236"/>
      <c r="E16"/>
      <c r="F16"/>
      <c r="G16" s="1236"/>
      <c r="H16" s="1237"/>
      <c r="I16" s="628"/>
      <c r="J16" s="628"/>
    </row>
    <row r="17" spans="1:10" s="620" customFormat="1" ht="20.25" hidden="1" customHeight="1">
      <c r="A17" s="615"/>
      <c r="B17" s="1788"/>
      <c r="C17"/>
      <c r="D17" s="1236"/>
      <c r="E17"/>
      <c r="F17"/>
      <c r="G17" s="1236"/>
      <c r="H17"/>
      <c r="I17" s="628"/>
      <c r="J17" s="619"/>
    </row>
    <row r="18" spans="1:10" s="620" customFormat="1" ht="19.5" hidden="1" customHeight="1">
      <c r="A18" s="615"/>
      <c r="B18" s="1788"/>
      <c r="C18"/>
      <c r="D18" s="1236"/>
      <c r="E18" s="1237"/>
      <c r="F18"/>
      <c r="G18" s="1236"/>
      <c r="H18" s="1237"/>
      <c r="I18" s="628"/>
      <c r="J18" s="619"/>
    </row>
    <row r="19" spans="1:10" s="620" customFormat="1" ht="19.5" hidden="1" customHeight="1">
      <c r="A19" s="615"/>
      <c r="B19" s="1788"/>
      <c r="C19"/>
      <c r="D19" s="1236"/>
      <c r="E19" s="1237"/>
      <c r="F19"/>
      <c r="G19" s="1236"/>
      <c r="H19" s="1237"/>
      <c r="I19" s="628"/>
      <c r="J19" s="619"/>
    </row>
    <row r="20" spans="1:10" s="620" customFormat="1" ht="19.5" hidden="1" customHeight="1">
      <c r="A20" s="615"/>
      <c r="B20" s="1788"/>
      <c r="C20"/>
      <c r="D20" s="1236"/>
      <c r="E20" s="1237"/>
      <c r="F20"/>
      <c r="G20" s="1236"/>
      <c r="H20" s="1237"/>
      <c r="I20" s="628"/>
      <c r="J20" s="619"/>
    </row>
    <row r="21" spans="1:10" s="620" customFormat="1" ht="19.5" hidden="1" customHeight="1">
      <c r="A21" s="615"/>
      <c r="B21" s="1788"/>
      <c r="C21"/>
      <c r="D21" s="1236"/>
      <c r="E21" s="1237"/>
      <c r="F21"/>
      <c r="G21" s="1236"/>
      <c r="H21" s="1237"/>
      <c r="I21" s="628"/>
      <c r="J21" s="619"/>
    </row>
    <row r="22" spans="1:10" s="620" customFormat="1" ht="19.5" hidden="1" customHeight="1">
      <c r="A22" s="615"/>
      <c r="B22" s="1788"/>
      <c r="C22" s="1235"/>
      <c r="D22" s="1236"/>
      <c r="E22" s="1237"/>
      <c r="F22"/>
      <c r="G22" s="1236"/>
      <c r="H22" s="1237"/>
      <c r="I22" s="628"/>
      <c r="J22" s="619"/>
    </row>
    <row r="23" spans="1:10" s="620" customFormat="1" ht="19.5" hidden="1" customHeight="1">
      <c r="A23" s="615"/>
      <c r="B23" s="1003"/>
      <c r="C23" s="1235"/>
      <c r="D23" s="1236"/>
      <c r="E23" s="1237"/>
      <c r="F23"/>
      <c r="G23" s="1236"/>
      <c r="H23" s="1237"/>
      <c r="I23" s="628"/>
      <c r="J23" s="619"/>
    </row>
    <row r="24" spans="1:10" s="620" customFormat="1" ht="19.5" hidden="1" customHeight="1">
      <c r="A24" s="615"/>
      <c r="B24" s="604"/>
      <c r="C24" s="1002"/>
      <c r="D24" s="617"/>
      <c r="E24" s="625"/>
      <c r="F24"/>
      <c r="G24" s="617"/>
      <c r="H24" s="625"/>
      <c r="I24" s="628">
        <v>0</v>
      </c>
      <c r="J24" s="619"/>
    </row>
    <row r="25" spans="1:10" s="620" customFormat="1" ht="19.5" hidden="1" customHeight="1">
      <c r="A25" s="615"/>
      <c r="B25" s="604"/>
      <c r="C25" s="1002"/>
      <c r="D25" s="617"/>
      <c r="E25" s="625"/>
      <c r="F25"/>
      <c r="G25" s="617"/>
      <c r="H25" s="625"/>
      <c r="I25" s="628">
        <v>0</v>
      </c>
      <c r="J25" s="619"/>
    </row>
    <row r="26" spans="1:10" s="620" customFormat="1" ht="19.5" hidden="1" customHeight="1">
      <c r="A26" s="615"/>
      <c r="B26" s="604"/>
      <c r="C26" s="1002"/>
      <c r="D26" s="617"/>
      <c r="E26" s="625"/>
      <c r="F26"/>
      <c r="G26" s="617"/>
      <c r="H26" s="625"/>
      <c r="I26" s="628">
        <v>0</v>
      </c>
      <c r="J26" s="619"/>
    </row>
    <row r="27" spans="1:10">
      <c r="A27" s="622" t="s">
        <v>419</v>
      </c>
      <c r="B27" s="624"/>
      <c r="C27" s="616"/>
      <c r="D27" s="621"/>
      <c r="E27" s="627">
        <v>476512.82</v>
      </c>
      <c r="F27" s="1790"/>
      <c r="G27" s="1794"/>
      <c r="H27" s="627">
        <v>476512.82</v>
      </c>
      <c r="I27"/>
      <c r="J27" s="85"/>
    </row>
    <row r="28" spans="1:10" ht="36" customHeight="1">
      <c r="A28" s="1265" t="s">
        <v>1606</v>
      </c>
      <c r="B28" s="630"/>
      <c r="C28" s="631"/>
      <c r="D28" s="632"/>
      <c r="E28" s="633"/>
      <c r="F28" s="80"/>
      <c r="G28" s="80"/>
      <c r="H28" s="633"/>
      <c r="I28" s="614"/>
      <c r="J28" s="85"/>
    </row>
    <row r="29" spans="1:10" s="172" customFormat="1" ht="18">
      <c r="A29" s="551" t="s">
        <v>1967</v>
      </c>
      <c r="J29" s="1005"/>
    </row>
    <row r="30" spans="1:10" s="172" customFormat="1">
      <c r="C30" s="1004" t="s">
        <v>1965</v>
      </c>
      <c r="D30" s="873">
        <v>432.49595781355936</v>
      </c>
      <c r="E30" s="186" t="s">
        <v>1422</v>
      </c>
      <c r="J30" s="1005"/>
    </row>
    <row r="31" spans="1:10" s="172" customFormat="1" ht="18">
      <c r="A31" s="172" t="s">
        <v>1966</v>
      </c>
      <c r="I31" s="250"/>
    </row>
    <row r="32" spans="1:10" s="172" customFormat="1" ht="13.5" customHeight="1">
      <c r="B32" s="1004" t="s">
        <v>1968</v>
      </c>
      <c r="C32" s="873">
        <v>455.85073953549158</v>
      </c>
      <c r="D32" s="186" t="s">
        <v>238</v>
      </c>
      <c r="I32" s="250"/>
    </row>
    <row r="33" spans="1:11" s="172" customFormat="1">
      <c r="B33" s="1004"/>
      <c r="C33" s="1238"/>
      <c r="D33" s="186"/>
      <c r="I33" s="250"/>
    </row>
    <row r="34" spans="1:11" ht="44.4">
      <c r="A34" s="82" t="s">
        <v>616</v>
      </c>
      <c r="B34" s="612" t="s">
        <v>1148</v>
      </c>
      <c r="C34" s="612" t="s">
        <v>1149</v>
      </c>
      <c r="D34" s="612" t="s">
        <v>1150</v>
      </c>
      <c r="E34" s="613" t="s">
        <v>1151</v>
      </c>
      <c r="F34" s="612" t="s">
        <v>1149</v>
      </c>
      <c r="G34" s="612" t="s">
        <v>638</v>
      </c>
      <c r="H34" s="613" t="s">
        <v>1152</v>
      </c>
      <c r="I34" s="614"/>
      <c r="J34" s="85"/>
    </row>
    <row r="35" spans="1:11">
      <c r="A35" s="1232" t="s">
        <v>1546</v>
      </c>
      <c r="B35" s="1233"/>
      <c r="C35" s="1233"/>
      <c r="D35" s="1233"/>
      <c r="E35" s="1233"/>
      <c r="F35" s="1233"/>
      <c r="G35" s="1233"/>
      <c r="H35" s="1234"/>
      <c r="I35" s="614"/>
      <c r="J35" s="85"/>
    </row>
    <row r="36" spans="1:11">
      <c r="A36" s="1229" t="s">
        <v>1402</v>
      </c>
      <c r="B36" s="1230"/>
      <c r="C36" s="1230"/>
      <c r="D36" s="1230"/>
      <c r="E36" s="1230"/>
      <c r="F36" s="1230"/>
      <c r="G36" s="1230"/>
      <c r="H36" s="1231"/>
      <c r="I36" s="614"/>
      <c r="J36" s="85"/>
    </row>
    <row r="37" spans="1:11" s="620" customFormat="1" ht="19.5" customHeight="1">
      <c r="A37" s="615" t="s">
        <v>200</v>
      </c>
      <c r="B37" s="4097" t="s">
        <v>1547</v>
      </c>
      <c r="C37" s="1002" t="s">
        <v>1548</v>
      </c>
      <c r="D37" s="617" t="s">
        <v>1603</v>
      </c>
      <c r="E37" s="625">
        <v>15642.8</v>
      </c>
      <c r="F37" s="1002" t="s">
        <v>1627</v>
      </c>
      <c r="G37" s="617">
        <v>68</v>
      </c>
      <c r="H37" s="625">
        <v>37678.5</v>
      </c>
      <c r="I37" s="628"/>
      <c r="J37" s="619"/>
    </row>
    <row r="38" spans="1:11" s="620" customFormat="1" ht="19.5" customHeight="1">
      <c r="A38" s="615" t="s">
        <v>207</v>
      </c>
      <c r="B38" s="4098"/>
      <c r="C38" s="1002" t="s">
        <v>1550</v>
      </c>
      <c r="D38" s="617" t="s">
        <v>1551</v>
      </c>
      <c r="E38" s="625">
        <v>20392.5</v>
      </c>
      <c r="F38" s="1002" t="s">
        <v>1628</v>
      </c>
      <c r="G38" s="617">
        <v>98</v>
      </c>
      <c r="H38" s="625">
        <v>3180</v>
      </c>
      <c r="I38" s="628"/>
      <c r="J38" s="628">
        <v>36035.300000000003</v>
      </c>
      <c r="K38" s="628">
        <v>40858.5</v>
      </c>
    </row>
    <row r="39" spans="1:11" s="620" customFormat="1" ht="20.25" customHeight="1">
      <c r="A39" s="623" t="s">
        <v>208</v>
      </c>
      <c r="B39" s="4099"/>
      <c r="C39" s="1002" t="s">
        <v>1552</v>
      </c>
      <c r="D39" s="617" t="s">
        <v>1553</v>
      </c>
      <c r="E39" s="625">
        <v>24197</v>
      </c>
      <c r="F39" s="1002" t="s">
        <v>1630</v>
      </c>
      <c r="G39" s="617">
        <v>119</v>
      </c>
      <c r="H39" s="625">
        <v>24197</v>
      </c>
      <c r="I39" s="618"/>
      <c r="J39" s="619"/>
    </row>
    <row r="40" spans="1:11" s="620" customFormat="1" ht="20.25" customHeight="1">
      <c r="A40" s="615" t="s">
        <v>210</v>
      </c>
      <c r="B40" s="4099"/>
      <c r="C40" s="1002" t="s">
        <v>1554</v>
      </c>
      <c r="D40" s="617" t="s">
        <v>1555</v>
      </c>
      <c r="E40" s="625">
        <v>6850</v>
      </c>
      <c r="F40" s="1002" t="s">
        <v>1632</v>
      </c>
      <c r="G40" s="617">
        <v>231</v>
      </c>
      <c r="H40" s="625">
        <v>6850</v>
      </c>
      <c r="I40" s="628"/>
      <c r="J40" s="619"/>
    </row>
    <row r="41" spans="1:11" s="620" customFormat="1" ht="20.25" customHeight="1">
      <c r="A41" s="623" t="s">
        <v>212</v>
      </c>
      <c r="B41" s="4099"/>
      <c r="C41" s="1002" t="s">
        <v>1556</v>
      </c>
      <c r="D41" s="617" t="s">
        <v>1557</v>
      </c>
      <c r="E41" s="625">
        <v>78415.88</v>
      </c>
      <c r="F41" s="4085" t="s">
        <v>1629</v>
      </c>
      <c r="G41" s="4087">
        <v>196</v>
      </c>
      <c r="H41" s="4089">
        <v>86085.88</v>
      </c>
      <c r="I41" s="618"/>
      <c r="J41" s="619"/>
    </row>
    <row r="42" spans="1:11" s="620" customFormat="1" ht="20.25" customHeight="1">
      <c r="A42" s="623" t="s">
        <v>215</v>
      </c>
      <c r="B42" s="4099"/>
      <c r="C42" s="1002" t="s">
        <v>1556</v>
      </c>
      <c r="D42" s="617" t="s">
        <v>1558</v>
      </c>
      <c r="E42" s="625">
        <v>7670</v>
      </c>
      <c r="F42" s="4086"/>
      <c r="G42" s="4088"/>
      <c r="H42" s="4090"/>
      <c r="I42" s="628"/>
      <c r="J42" s="628">
        <v>86085.88</v>
      </c>
      <c r="K42" s="628">
        <v>86085.88</v>
      </c>
    </row>
    <row r="43" spans="1:11" s="620" customFormat="1" ht="20.25" customHeight="1">
      <c r="A43" s="623" t="s">
        <v>218</v>
      </c>
      <c r="B43" s="4099"/>
      <c r="C43" s="1235" t="s">
        <v>1559</v>
      </c>
      <c r="D43" s="1236" t="s">
        <v>1560</v>
      </c>
      <c r="E43" s="1237">
        <v>1195</v>
      </c>
      <c r="F43" s="1002"/>
      <c r="G43" s="617"/>
      <c r="H43" s="625"/>
      <c r="J43" s="628">
        <v>153168.18</v>
      </c>
      <c r="K43" s="628">
        <v>157991.38</v>
      </c>
    </row>
    <row r="44" spans="1:11" s="620" customFormat="1" ht="20.25" customHeight="1">
      <c r="A44" s="623" t="s">
        <v>226</v>
      </c>
      <c r="B44" s="4099"/>
      <c r="C44" s="1002" t="s">
        <v>1561</v>
      </c>
      <c r="D44" s="617" t="s">
        <v>1562</v>
      </c>
      <c r="E44" s="625">
        <v>20725</v>
      </c>
      <c r="F44" s="1002" t="s">
        <v>1631</v>
      </c>
      <c r="G44" s="617">
        <v>242</v>
      </c>
      <c r="H44" s="625">
        <v>20725</v>
      </c>
      <c r="I44" s="628"/>
      <c r="J44" s="618"/>
    </row>
    <row r="45" spans="1:11" s="620" customFormat="1" ht="20.25" customHeight="1">
      <c r="A45" s="623" t="s">
        <v>551</v>
      </c>
      <c r="B45" s="4099"/>
      <c r="C45" s="1002" t="s">
        <v>1563</v>
      </c>
      <c r="D45" s="617" t="s">
        <v>1564</v>
      </c>
      <c r="E45" s="625">
        <v>12840</v>
      </c>
      <c r="F45" s="1002" t="s">
        <v>1634</v>
      </c>
      <c r="G45" s="617">
        <v>276</v>
      </c>
      <c r="H45" s="625">
        <v>3005</v>
      </c>
      <c r="I45" s="628"/>
      <c r="J45" s="628">
        <v>14035</v>
      </c>
      <c r="K45" s="628"/>
    </row>
    <row r="46" spans="1:11" s="620" customFormat="1" ht="20.25" customHeight="1">
      <c r="A46" s="623" t="s">
        <v>552</v>
      </c>
      <c r="B46" s="4099"/>
      <c r="C46" s="1002" t="s">
        <v>1565</v>
      </c>
      <c r="D46" s="617" t="s">
        <v>1566</v>
      </c>
      <c r="E46" s="625">
        <v>4350</v>
      </c>
      <c r="F46" s="1002" t="s">
        <v>1633</v>
      </c>
      <c r="G46" s="617">
        <v>336</v>
      </c>
      <c r="H46" s="625">
        <v>13045</v>
      </c>
      <c r="I46" s="628"/>
      <c r="J46" s="628">
        <v>17190</v>
      </c>
      <c r="K46" s="628">
        <v>16050</v>
      </c>
    </row>
    <row r="47" spans="1:11" s="620" customFormat="1" ht="20.25" customHeight="1">
      <c r="A47" s="615" t="s">
        <v>550</v>
      </c>
      <c r="B47" s="4099"/>
      <c r="C47" s="1002" t="s">
        <v>1439</v>
      </c>
      <c r="D47" s="617" t="s">
        <v>1567</v>
      </c>
      <c r="E47" s="625">
        <v>37232</v>
      </c>
      <c r="F47" s="1002" t="s">
        <v>1636</v>
      </c>
      <c r="G47" s="617">
        <v>345</v>
      </c>
      <c r="H47" s="625">
        <v>990</v>
      </c>
      <c r="I47" s="628"/>
      <c r="J47" s="628"/>
    </row>
    <row r="48" spans="1:11" s="620" customFormat="1" ht="20.25" customHeight="1">
      <c r="A48" s="615" t="s">
        <v>553</v>
      </c>
      <c r="B48" s="4099"/>
      <c r="C48" s="1002" t="s">
        <v>1439</v>
      </c>
      <c r="D48" s="617" t="s">
        <v>1568</v>
      </c>
      <c r="E48" s="625">
        <v>7716</v>
      </c>
      <c r="F48" s="1002" t="s">
        <v>1635</v>
      </c>
      <c r="G48" s="617">
        <v>394</v>
      </c>
      <c r="H48" s="625">
        <v>42545</v>
      </c>
      <c r="I48" s="628"/>
      <c r="J48" s="628">
        <v>44948</v>
      </c>
      <c r="K48" s="628">
        <v>42545</v>
      </c>
    </row>
    <row r="49" spans="1:11" s="620" customFormat="1" ht="19.5" customHeight="1">
      <c r="A49" s="615" t="s">
        <v>778</v>
      </c>
      <c r="B49" s="4100"/>
      <c r="C49" s="1002" t="s">
        <v>1569</v>
      </c>
      <c r="D49" s="617" t="s">
        <v>1570</v>
      </c>
      <c r="E49" s="625">
        <v>16914</v>
      </c>
      <c r="F49" s="1002" t="s">
        <v>1637</v>
      </c>
      <c r="G49" s="617">
        <v>496</v>
      </c>
      <c r="H49" s="625">
        <v>41582</v>
      </c>
      <c r="I49" s="628"/>
      <c r="J49" s="619"/>
    </row>
    <row r="50" spans="1:11" s="620" customFormat="1" ht="19.5" customHeight="1">
      <c r="A50" s="615" t="s">
        <v>418</v>
      </c>
      <c r="B50" s="4083" t="s">
        <v>1571</v>
      </c>
      <c r="C50" s="1002" t="s">
        <v>1569</v>
      </c>
      <c r="D50" s="617" t="s">
        <v>1572</v>
      </c>
      <c r="E50" s="625">
        <v>1213.49</v>
      </c>
      <c r="F50" s="4085" t="s">
        <v>1639</v>
      </c>
      <c r="G50" s="4087">
        <v>520</v>
      </c>
      <c r="H50" s="4089">
        <v>2815</v>
      </c>
      <c r="I50" s="628"/>
      <c r="J50" s="628">
        <v>2333.0500000000002</v>
      </c>
      <c r="K50" s="628">
        <v>2815</v>
      </c>
    </row>
    <row r="51" spans="1:11" s="620" customFormat="1" ht="19.5" customHeight="1">
      <c r="A51" s="615" t="s">
        <v>555</v>
      </c>
      <c r="B51" s="4084"/>
      <c r="C51" s="1002" t="s">
        <v>1569</v>
      </c>
      <c r="D51" s="617" t="s">
        <v>1572</v>
      </c>
      <c r="E51" s="625">
        <v>1119.56</v>
      </c>
      <c r="F51" s="4086"/>
      <c r="G51" s="4088"/>
      <c r="H51" s="4090"/>
      <c r="I51" s="628"/>
      <c r="J51" s="619"/>
    </row>
    <row r="52" spans="1:11" s="620" customFormat="1" ht="19.5" customHeight="1">
      <c r="A52" s="615" t="s">
        <v>1578</v>
      </c>
      <c r="B52" s="4083" t="s">
        <v>1547</v>
      </c>
      <c r="C52" s="1002" t="s">
        <v>1447</v>
      </c>
      <c r="D52" s="617" t="s">
        <v>1573</v>
      </c>
      <c r="E52" s="625">
        <v>9400</v>
      </c>
      <c r="F52" s="1002" t="s">
        <v>1638</v>
      </c>
      <c r="G52" s="617">
        <v>534</v>
      </c>
      <c r="H52" s="625">
        <v>15924</v>
      </c>
      <c r="I52" s="628"/>
      <c r="J52" s="619"/>
    </row>
    <row r="53" spans="1:11" s="620" customFormat="1" ht="19.5" customHeight="1">
      <c r="A53" s="615" t="s">
        <v>1579</v>
      </c>
      <c r="B53" s="4091"/>
      <c r="C53" s="1002" t="s">
        <v>1574</v>
      </c>
      <c r="D53" s="617" t="s">
        <v>1575</v>
      </c>
      <c r="E53" s="625">
        <v>3485</v>
      </c>
      <c r="F53" s="1002" t="s">
        <v>1640</v>
      </c>
      <c r="G53" s="617">
        <v>544</v>
      </c>
      <c r="H53" s="625">
        <v>990</v>
      </c>
      <c r="I53" s="628"/>
      <c r="J53" s="619"/>
    </row>
    <row r="54" spans="1:11" s="620" customFormat="1" ht="19.5" customHeight="1">
      <c r="A54" s="615" t="s">
        <v>1580</v>
      </c>
      <c r="B54" s="4091"/>
      <c r="C54" s="1002" t="s">
        <v>1574</v>
      </c>
      <c r="D54" s="617" t="s">
        <v>1575</v>
      </c>
      <c r="E54" s="625">
        <v>4550</v>
      </c>
      <c r="F54" s="1002" t="s">
        <v>1641</v>
      </c>
      <c r="G54" s="617">
        <v>722</v>
      </c>
      <c r="H54" s="625">
        <v>5626</v>
      </c>
      <c r="I54" s="628"/>
    </row>
    <row r="55" spans="1:11" s="620" customFormat="1" ht="19.5" customHeight="1">
      <c r="A55" s="615" t="s">
        <v>1581</v>
      </c>
      <c r="B55" s="4084"/>
      <c r="C55" s="1002" t="s">
        <v>1576</v>
      </c>
      <c r="D55" s="617" t="s">
        <v>1577</v>
      </c>
      <c r="E55" s="625">
        <v>7735</v>
      </c>
      <c r="F55" s="1002" t="s">
        <v>1467</v>
      </c>
      <c r="G55" s="617">
        <v>860</v>
      </c>
      <c r="H55" s="625">
        <v>38620</v>
      </c>
      <c r="I55" s="628"/>
      <c r="J55" s="628">
        <v>25170</v>
      </c>
      <c r="K55" s="628">
        <v>61160</v>
      </c>
    </row>
    <row r="56" spans="1:11" s="620" customFormat="1" ht="19.5" customHeight="1">
      <c r="A56" s="615" t="s">
        <v>1582</v>
      </c>
      <c r="B56" s="1003" t="s">
        <v>1571</v>
      </c>
      <c r="C56" s="1002" t="s">
        <v>1589</v>
      </c>
      <c r="D56" s="617" t="s">
        <v>1590</v>
      </c>
      <c r="E56" s="625">
        <v>35413.81</v>
      </c>
      <c r="F56" s="1002" t="s">
        <v>1642</v>
      </c>
      <c r="G56" s="617">
        <v>803</v>
      </c>
      <c r="H56" s="625">
        <v>35414</v>
      </c>
      <c r="I56" s="628"/>
      <c r="J56" s="619"/>
    </row>
    <row r="57" spans="1:11" s="620" customFormat="1" ht="19.5" customHeight="1">
      <c r="A57" s="615" t="s">
        <v>1583</v>
      </c>
      <c r="B57" s="1003" t="s">
        <v>1547</v>
      </c>
      <c r="C57" s="1235" t="s">
        <v>1591</v>
      </c>
      <c r="D57" s="1236" t="s">
        <v>1592</v>
      </c>
      <c r="E57" s="1237">
        <v>24225</v>
      </c>
      <c r="F57" s="1002" t="s">
        <v>1643</v>
      </c>
      <c r="G57" s="617">
        <v>929</v>
      </c>
      <c r="H57" s="625">
        <v>24225</v>
      </c>
      <c r="I57" s="628"/>
      <c r="J57" s="619"/>
    </row>
    <row r="58" spans="1:11" s="620" customFormat="1" ht="19.5" customHeight="1">
      <c r="A58" s="615" t="s">
        <v>1584</v>
      </c>
      <c r="B58" s="1003"/>
      <c r="C58" s="1002" t="s">
        <v>1595</v>
      </c>
      <c r="D58" s="617" t="s">
        <v>1596</v>
      </c>
      <c r="E58" s="625">
        <v>47687</v>
      </c>
      <c r="F58" s="1002" t="s">
        <v>1644</v>
      </c>
      <c r="G58" s="617">
        <v>947</v>
      </c>
      <c r="H58" s="625">
        <v>47687</v>
      </c>
      <c r="I58" s="628"/>
      <c r="J58" s="619"/>
    </row>
    <row r="59" spans="1:11" s="620" customFormat="1" ht="19.5" customHeight="1">
      <c r="A59" s="615" t="s">
        <v>1585</v>
      </c>
      <c r="B59" s="1003"/>
      <c r="C59" s="1002" t="s">
        <v>1593</v>
      </c>
      <c r="D59" s="617" t="s">
        <v>1594</v>
      </c>
      <c r="E59" s="625">
        <v>5740</v>
      </c>
      <c r="F59" s="1002" t="s">
        <v>1645</v>
      </c>
      <c r="G59" s="617">
        <v>994</v>
      </c>
      <c r="H59" s="625">
        <v>13340</v>
      </c>
      <c r="I59" s="628"/>
      <c r="J59" s="619"/>
    </row>
    <row r="60" spans="1:11" s="620" customFormat="1" ht="19.5" customHeight="1">
      <c r="A60" s="615" t="s">
        <v>1586</v>
      </c>
      <c r="B60" s="1003"/>
      <c r="C60" s="1002" t="s">
        <v>1599</v>
      </c>
      <c r="D60" s="617" t="s">
        <v>1597</v>
      </c>
      <c r="E60" s="625">
        <v>5500</v>
      </c>
      <c r="F60" s="1002"/>
      <c r="G60" s="617"/>
      <c r="H60" s="625"/>
      <c r="I60" s="628"/>
      <c r="J60" s="628">
        <v>11240</v>
      </c>
    </row>
    <row r="61" spans="1:11" s="620" customFormat="1" ht="19.5" customHeight="1">
      <c r="A61" s="615" t="s">
        <v>1587</v>
      </c>
      <c r="B61" s="1003"/>
      <c r="C61" s="1002" t="s">
        <v>1598</v>
      </c>
      <c r="D61" s="617" t="s">
        <v>1600</v>
      </c>
      <c r="E61" s="625">
        <v>7600</v>
      </c>
      <c r="F61" s="1002"/>
      <c r="G61" s="617"/>
      <c r="H61" s="625"/>
      <c r="I61" s="628"/>
      <c r="J61" s="619"/>
    </row>
    <row r="62" spans="1:11" s="620" customFormat="1" ht="19.5" customHeight="1">
      <c r="A62" s="615" t="s">
        <v>1588</v>
      </c>
      <c r="B62" s="1003"/>
      <c r="C62" s="1002" t="s">
        <v>1598</v>
      </c>
      <c r="D62" s="617" t="s">
        <v>1601</v>
      </c>
      <c r="E62" s="625">
        <v>3250</v>
      </c>
      <c r="F62" s="1002" t="s">
        <v>1646</v>
      </c>
      <c r="G62" s="617">
        <v>1026</v>
      </c>
      <c r="H62" s="625">
        <v>3250</v>
      </c>
      <c r="I62" s="628"/>
      <c r="J62" s="619"/>
    </row>
    <row r="63" spans="1:11" s="620" customFormat="1" ht="21" customHeight="1">
      <c r="A63" s="615" t="s">
        <v>1604</v>
      </c>
      <c r="B63" s="1003"/>
      <c r="C63" s="1002" t="s">
        <v>1602</v>
      </c>
      <c r="D63" s="617" t="s">
        <v>1605</v>
      </c>
      <c r="E63" s="625">
        <v>21291</v>
      </c>
      <c r="F63" s="1002"/>
      <c r="G63" s="617"/>
      <c r="H63" s="625"/>
      <c r="I63" s="628"/>
      <c r="J63" s="619"/>
    </row>
    <row r="64" spans="1:11" s="620" customFormat="1" ht="19.5" hidden="1" customHeight="1">
      <c r="A64" s="615"/>
      <c r="B64" s="604"/>
      <c r="C64" s="1002"/>
      <c r="D64" s="617"/>
      <c r="E64" s="625"/>
      <c r="F64" s="1002"/>
      <c r="G64" s="617"/>
      <c r="H64" s="625"/>
      <c r="I64" s="628"/>
      <c r="J64" s="619"/>
    </row>
    <row r="65" spans="1:20" s="620" customFormat="1" ht="19.5" hidden="1" customHeight="1">
      <c r="A65" s="615"/>
      <c r="B65" s="604"/>
      <c r="C65" s="1002"/>
      <c r="D65" s="617"/>
      <c r="E65" s="625"/>
      <c r="F65" s="1002"/>
      <c r="G65" s="617"/>
      <c r="H65" s="625"/>
      <c r="I65" s="628"/>
      <c r="J65" s="619"/>
    </row>
    <row r="66" spans="1:20" s="620" customFormat="1" ht="19.5" hidden="1" customHeight="1">
      <c r="A66" s="615"/>
      <c r="B66" s="604"/>
      <c r="C66" s="1002"/>
      <c r="D66" s="617"/>
      <c r="E66" s="625"/>
      <c r="F66" s="1002"/>
      <c r="G66" s="617"/>
      <c r="H66" s="625"/>
      <c r="I66" s="628"/>
      <c r="J66" s="619"/>
    </row>
    <row r="67" spans="1:20" s="620" customFormat="1" ht="19.5" hidden="1" customHeight="1">
      <c r="A67" s="615"/>
      <c r="B67" s="604"/>
      <c r="C67" s="1002"/>
      <c r="D67" s="617"/>
      <c r="E67" s="625"/>
      <c r="F67" s="1002"/>
      <c r="G67" s="617"/>
      <c r="H67" s="625"/>
      <c r="I67" s="628"/>
      <c r="J67" s="619"/>
    </row>
    <row r="68" spans="1:20" s="620" customFormat="1" ht="19.5" hidden="1" customHeight="1">
      <c r="A68" s="615"/>
      <c r="B68" s="604"/>
      <c r="C68" s="1002"/>
      <c r="D68" s="617"/>
      <c r="E68" s="625"/>
      <c r="F68" s="1002"/>
      <c r="G68" s="617"/>
      <c r="H68" s="625"/>
      <c r="I68" s="628"/>
      <c r="J68" s="619"/>
    </row>
    <row r="69" spans="1:20" s="620" customFormat="1" ht="19.5" hidden="1" customHeight="1">
      <c r="A69" s="615"/>
      <c r="B69" s="604"/>
      <c r="C69" s="1002"/>
      <c r="D69" s="617"/>
      <c r="E69" s="625"/>
      <c r="F69" s="1002"/>
      <c r="G69" s="617"/>
      <c r="H69" s="625"/>
      <c r="I69" s="628"/>
      <c r="J69" s="619"/>
    </row>
    <row r="70" spans="1:20" s="620" customFormat="1" ht="19.5" hidden="1" customHeight="1">
      <c r="A70" s="615"/>
      <c r="B70" s="604"/>
      <c r="C70" s="1002"/>
      <c r="D70" s="617"/>
      <c r="E70" s="625"/>
      <c r="F70" s="1002"/>
      <c r="G70" s="617"/>
      <c r="H70" s="625"/>
      <c r="I70" s="628"/>
      <c r="J70" s="619"/>
    </row>
    <row r="71" spans="1:20" s="620" customFormat="1" ht="19.5" hidden="1" customHeight="1">
      <c r="A71" s="615"/>
      <c r="B71" s="604"/>
      <c r="C71" s="1002"/>
      <c r="D71" s="617"/>
      <c r="E71" s="625"/>
      <c r="F71" s="1002"/>
      <c r="G71" s="617"/>
      <c r="H71" s="625"/>
      <c r="I71" s="628"/>
      <c r="J71" s="619"/>
    </row>
    <row r="72" spans="1:20" s="620" customFormat="1" ht="19.5" hidden="1" customHeight="1">
      <c r="A72" s="615"/>
      <c r="B72" s="604"/>
      <c r="C72" s="1002"/>
      <c r="D72" s="617"/>
      <c r="E72" s="625"/>
      <c r="F72" s="1002"/>
      <c r="G72" s="617"/>
      <c r="H72" s="625"/>
      <c r="I72" s="628"/>
      <c r="J72" s="619"/>
    </row>
    <row r="73" spans="1:20" s="620" customFormat="1" ht="19.5" hidden="1" customHeight="1">
      <c r="A73" s="615"/>
      <c r="B73" s="604"/>
      <c r="C73" s="1002"/>
      <c r="D73" s="617"/>
      <c r="E73" s="625"/>
      <c r="F73" s="1002"/>
      <c r="G73" s="617"/>
      <c r="H73" s="625"/>
      <c r="I73" s="628"/>
      <c r="J73" s="619"/>
    </row>
    <row r="74" spans="1:20" s="620" customFormat="1" ht="19.5" hidden="1" customHeight="1">
      <c r="A74" s="615"/>
      <c r="B74" s="604"/>
      <c r="C74" s="1002"/>
      <c r="D74" s="617"/>
      <c r="E74" s="625"/>
      <c r="F74" s="1002"/>
      <c r="G74" s="617"/>
      <c r="H74" s="625"/>
      <c r="I74" s="628"/>
      <c r="J74" s="619"/>
    </row>
    <row r="75" spans="1:20" s="620" customFormat="1" ht="19.5" hidden="1" customHeight="1">
      <c r="A75" s="615"/>
      <c r="B75" s="604"/>
      <c r="C75" s="1002"/>
      <c r="D75" s="617"/>
      <c r="E75" s="625"/>
      <c r="F75" s="1002"/>
      <c r="G75" s="617"/>
      <c r="H75" s="625"/>
      <c r="I75" s="628"/>
      <c r="J75" s="619"/>
    </row>
    <row r="76" spans="1:20">
      <c r="A76" s="622" t="s">
        <v>419</v>
      </c>
      <c r="B76" s="624"/>
      <c r="C76" s="616"/>
      <c r="D76" s="621"/>
      <c r="E76" s="627">
        <v>432350.04</v>
      </c>
      <c r="F76" s="629"/>
      <c r="G76" s="629"/>
      <c r="H76" s="627">
        <v>467774.38</v>
      </c>
      <c r="I76" s="614"/>
      <c r="J76" s="85"/>
    </row>
    <row r="77" spans="1:20" ht="36" customHeight="1">
      <c r="A77" s="1239" t="s">
        <v>1607</v>
      </c>
      <c r="B77" s="630"/>
      <c r="C77" s="631"/>
      <c r="D77" s="632"/>
      <c r="E77" s="633"/>
      <c r="F77" s="80"/>
      <c r="G77" s="80"/>
      <c r="H77" s="633"/>
      <c r="I77" s="614"/>
      <c r="J77" s="85"/>
    </row>
    <row r="78" spans="1:20" s="172" customFormat="1">
      <c r="A78" s="551" t="s">
        <v>1979</v>
      </c>
      <c r="J78" s="1005">
        <v>538.43256497175139</v>
      </c>
    </row>
    <row r="79" spans="1:20">
      <c r="A79" s="80" t="s">
        <v>1981</v>
      </c>
      <c r="B79" s="80"/>
      <c r="C79" s="80"/>
      <c r="D79" s="38"/>
      <c r="E79" s="869"/>
      <c r="F79" s="869"/>
      <c r="G79" s="869"/>
      <c r="H79" s="869"/>
      <c r="I79" s="869"/>
      <c r="J79" s="870"/>
      <c r="K79" s="869"/>
      <c r="L79" s="869"/>
      <c r="M79" s="869"/>
      <c r="N79" s="869"/>
      <c r="S79" s="145"/>
      <c r="T79" s="635"/>
    </row>
    <row r="80" spans="1:20">
      <c r="A80" s="80"/>
      <c r="B80" s="1241" t="s">
        <v>1608</v>
      </c>
      <c r="D80" s="328" t="s">
        <v>1429</v>
      </c>
      <c r="E80" s="949" t="s">
        <v>1302</v>
      </c>
      <c r="F80" s="80"/>
      <c r="G80" s="80"/>
      <c r="H80" s="38"/>
      <c r="I80" s="26"/>
      <c r="J80" s="870"/>
      <c r="K80" s="869"/>
      <c r="L80" s="38"/>
      <c r="M80" s="869"/>
      <c r="N80" s="869"/>
      <c r="P80" s="145"/>
      <c r="S80" s="146"/>
      <c r="T80" s="635"/>
    </row>
    <row r="81" spans="1:20">
      <c r="C81" s="99" t="s">
        <v>1978</v>
      </c>
      <c r="D81" s="26">
        <v>404.79700000000003</v>
      </c>
      <c r="E81" s="1007">
        <v>17.307915137568589</v>
      </c>
      <c r="F81" s="99"/>
      <c r="I81" s="26"/>
      <c r="J81" s="276">
        <v>6486.5829999999987</v>
      </c>
      <c r="K81" s="10"/>
      <c r="L81" s="10"/>
      <c r="M81" s="10"/>
      <c r="N81" s="10"/>
      <c r="S81" s="947" t="e">
        <v>#DIV/0!</v>
      </c>
      <c r="T81" s="635"/>
    </row>
    <row r="82" spans="1:20" hidden="1">
      <c r="B82" s="106"/>
      <c r="C82" s="106" t="s">
        <v>1611</v>
      </c>
      <c r="D82" s="106"/>
      <c r="F82" s="99"/>
      <c r="I82" s="26"/>
      <c r="J82" s="276"/>
      <c r="K82" s="10"/>
      <c r="L82" s="10"/>
      <c r="M82" s="10"/>
      <c r="N82" s="10"/>
      <c r="S82" s="947"/>
      <c r="T82" s="635"/>
    </row>
    <row r="83" spans="1:20" hidden="1">
      <c r="B83" s="106"/>
      <c r="C83" s="655" t="s">
        <v>1609</v>
      </c>
      <c r="D83" s="106">
        <v>531.55799999999999</v>
      </c>
      <c r="F83" s="99"/>
      <c r="I83" s="26"/>
      <c r="J83" s="276"/>
      <c r="K83" s="10"/>
      <c r="L83" s="10"/>
      <c r="M83" s="10"/>
      <c r="N83" s="10"/>
      <c r="S83" s="947"/>
      <c r="T83" s="635"/>
    </row>
    <row r="84" spans="1:20" hidden="1">
      <c r="B84" s="655"/>
      <c r="C84" s="655" t="s">
        <v>1612</v>
      </c>
      <c r="D84" s="948">
        <v>56.5</v>
      </c>
      <c r="F84" s="99"/>
      <c r="I84" s="26"/>
      <c r="J84" s="276"/>
      <c r="K84" s="10"/>
      <c r="L84" s="10"/>
      <c r="M84" s="10"/>
      <c r="N84" s="10"/>
      <c r="S84" s="947"/>
      <c r="T84" s="635"/>
    </row>
    <row r="85" spans="1:20">
      <c r="B85" s="99" t="s">
        <v>1431</v>
      </c>
      <c r="D85" s="715">
        <v>1934</v>
      </c>
      <c r="E85" s="1007">
        <v>82.692084862431415</v>
      </c>
      <c r="I85" s="26">
        <v>1632</v>
      </c>
      <c r="J85" s="276">
        <v>0</v>
      </c>
      <c r="K85" s="10"/>
      <c r="L85" s="10"/>
      <c r="M85" s="10"/>
      <c r="N85" s="10"/>
      <c r="S85" s="947" t="e">
        <v>#DIV/0!</v>
      </c>
      <c r="T85" s="635"/>
    </row>
    <row r="86" spans="1:20">
      <c r="B86" s="99" t="s">
        <v>419</v>
      </c>
      <c r="D86" s="715">
        <v>2338.797</v>
      </c>
      <c r="E86" s="1008">
        <v>100</v>
      </c>
      <c r="I86" s="26"/>
      <c r="J86" s="276">
        <v>6486.5829999999987</v>
      </c>
      <c r="K86" s="10"/>
      <c r="L86" s="10"/>
      <c r="M86" s="10"/>
      <c r="N86" s="10"/>
      <c r="S86" s="947" t="e">
        <v>#DIV/0!</v>
      </c>
      <c r="T86" s="635"/>
    </row>
    <row r="87" spans="1:20" s="172" customFormat="1">
      <c r="A87" s="551" t="s">
        <v>1980</v>
      </c>
      <c r="J87" s="1005">
        <v>0</v>
      </c>
    </row>
    <row r="88" spans="1:20" s="172" customFormat="1">
      <c r="A88" s="172" t="s">
        <v>1614</v>
      </c>
      <c r="E88" s="1004" t="s">
        <v>1982</v>
      </c>
      <c r="F88" s="873">
        <v>67.918443440589286</v>
      </c>
      <c r="G88" s="186" t="s">
        <v>1422</v>
      </c>
      <c r="J88" s="1005"/>
    </row>
    <row r="89" spans="1:20" s="172" customFormat="1">
      <c r="A89" s="172" t="s">
        <v>2014</v>
      </c>
      <c r="I89" s="250"/>
    </row>
    <row r="90" spans="1:20" s="172" customFormat="1">
      <c r="D90" s="1004" t="s">
        <v>2015</v>
      </c>
      <c r="E90" s="873">
        <v>71.586039386381117</v>
      </c>
      <c r="F90" s="186" t="s">
        <v>1620</v>
      </c>
      <c r="I90" s="250"/>
    </row>
    <row r="91" spans="1:20" s="172" customFormat="1">
      <c r="C91" s="1006"/>
      <c r="I91" s="250"/>
    </row>
    <row r="92" spans="1:20" s="172" customFormat="1">
      <c r="A92" s="186" t="s">
        <v>1618</v>
      </c>
      <c r="I92" s="250"/>
    </row>
    <row r="93" spans="1:20">
      <c r="A93" s="26" t="s">
        <v>1619</v>
      </c>
    </row>
    <row r="94" spans="1:20">
      <c r="B94" s="1247"/>
      <c r="C94" s="1247"/>
      <c r="D94" s="1268" t="s">
        <v>1983</v>
      </c>
      <c r="E94" s="1249">
        <v>500.41440125414863</v>
      </c>
      <c r="F94" s="1250" t="s">
        <v>238</v>
      </c>
    </row>
    <row r="95" spans="1:20">
      <c r="B95" s="1247"/>
      <c r="C95" s="1247"/>
      <c r="D95" s="1268" t="s">
        <v>1984</v>
      </c>
      <c r="E95" s="1249">
        <v>527.4367789218727</v>
      </c>
      <c r="F95" s="1250" t="s">
        <v>238</v>
      </c>
    </row>
    <row r="97" spans="1:1" ht="13.5" customHeight="1"/>
    <row r="98" spans="1:1">
      <c r="A98" s="98" t="s">
        <v>614</v>
      </c>
    </row>
    <row r="99" spans="1:1">
      <c r="A99" s="98" t="s">
        <v>627</v>
      </c>
    </row>
  </sheetData>
  <mergeCells count="14">
    <mergeCell ref="B52:B55"/>
    <mergeCell ref="F41:F42"/>
    <mergeCell ref="G41:G42"/>
    <mergeCell ref="H41:H42"/>
    <mergeCell ref="B50:B51"/>
    <mergeCell ref="F50:F51"/>
    <mergeCell ref="G50:G51"/>
    <mergeCell ref="H50:H51"/>
    <mergeCell ref="B37:B49"/>
    <mergeCell ref="B7:B11"/>
    <mergeCell ref="B12:B14"/>
    <mergeCell ref="F12:F14"/>
    <mergeCell ref="G12:G14"/>
    <mergeCell ref="H12:H14"/>
  </mergeCells>
  <printOptions horizontalCentered="1"/>
  <pageMargins left="0.78740157480314965" right="0.59055118110236227" top="0.78740157480314965" bottom="0.11811023622047245" header="0.51181102362204722" footer="3.937007874015748E-2"/>
  <pageSetup paperSize="9" scale="81" orientation="portrait" r:id="rId1"/>
  <headerFooter alignWithMargins="0">
    <oddFooter>&amp;R&amp;P</oddFooter>
  </headerFooter>
  <rowBreaks count="1" manualBreakCount="1">
    <brk id="33" max="16383" man="1"/>
  </rowBreaks>
  <colBreaks count="1" manualBreakCount="1">
    <brk id="8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>
    <tabColor rgb="FFFF0000"/>
  </sheetPr>
  <dimension ref="A1:J16"/>
  <sheetViews>
    <sheetView workbookViewId="0">
      <selection activeCell="C28" sqref="C28"/>
    </sheetView>
  </sheetViews>
  <sheetFormatPr defaultRowHeight="13.2"/>
  <cols>
    <col min="1" max="1" width="31.5546875" style="2231" customWidth="1"/>
    <col min="2" max="6" width="15.5546875" style="2231" customWidth="1"/>
    <col min="7" max="8" width="9.109375" style="2231"/>
    <col min="9" max="9" width="10.109375" style="2229" bestFit="1" customWidth="1"/>
    <col min="10" max="259" width="9.109375" style="2231"/>
    <col min="260" max="260" width="45.109375" style="2231" customWidth="1"/>
    <col min="261" max="262" width="15.5546875" style="2231" customWidth="1"/>
    <col min="263" max="264" width="9.109375" style="2231"/>
    <col min="265" max="265" width="10.109375" style="2231" bestFit="1" customWidth="1"/>
    <col min="266" max="515" width="9.109375" style="2231"/>
    <col min="516" max="516" width="45.109375" style="2231" customWidth="1"/>
    <col min="517" max="518" width="15.5546875" style="2231" customWidth="1"/>
    <col min="519" max="520" width="9.109375" style="2231"/>
    <col min="521" max="521" width="10.109375" style="2231" bestFit="1" customWidth="1"/>
    <col min="522" max="771" width="9.109375" style="2231"/>
    <col min="772" max="772" width="45.109375" style="2231" customWidth="1"/>
    <col min="773" max="774" width="15.5546875" style="2231" customWidth="1"/>
    <col min="775" max="776" width="9.109375" style="2231"/>
    <col min="777" max="777" width="10.109375" style="2231" bestFit="1" customWidth="1"/>
    <col min="778" max="1027" width="9.109375" style="2231"/>
    <col min="1028" max="1028" width="45.109375" style="2231" customWidth="1"/>
    <col min="1029" max="1030" width="15.5546875" style="2231" customWidth="1"/>
    <col min="1031" max="1032" width="9.109375" style="2231"/>
    <col min="1033" max="1033" width="10.109375" style="2231" bestFit="1" customWidth="1"/>
    <col min="1034" max="1283" width="9.109375" style="2231"/>
    <col min="1284" max="1284" width="45.109375" style="2231" customWidth="1"/>
    <col min="1285" max="1286" width="15.5546875" style="2231" customWidth="1"/>
    <col min="1287" max="1288" width="9.109375" style="2231"/>
    <col min="1289" max="1289" width="10.109375" style="2231" bestFit="1" customWidth="1"/>
    <col min="1290" max="1539" width="9.109375" style="2231"/>
    <col min="1540" max="1540" width="45.109375" style="2231" customWidth="1"/>
    <col min="1541" max="1542" width="15.5546875" style="2231" customWidth="1"/>
    <col min="1543" max="1544" width="9.109375" style="2231"/>
    <col min="1545" max="1545" width="10.109375" style="2231" bestFit="1" customWidth="1"/>
    <col min="1546" max="1795" width="9.109375" style="2231"/>
    <col min="1796" max="1796" width="45.109375" style="2231" customWidth="1"/>
    <col min="1797" max="1798" width="15.5546875" style="2231" customWidth="1"/>
    <col min="1799" max="1800" width="9.109375" style="2231"/>
    <col min="1801" max="1801" width="10.109375" style="2231" bestFit="1" customWidth="1"/>
    <col min="1802" max="2051" width="9.109375" style="2231"/>
    <col min="2052" max="2052" width="45.109375" style="2231" customWidth="1"/>
    <col min="2053" max="2054" width="15.5546875" style="2231" customWidth="1"/>
    <col min="2055" max="2056" width="9.109375" style="2231"/>
    <col min="2057" max="2057" width="10.109375" style="2231" bestFit="1" customWidth="1"/>
    <col min="2058" max="2307" width="9.109375" style="2231"/>
    <col min="2308" max="2308" width="45.109375" style="2231" customWidth="1"/>
    <col min="2309" max="2310" width="15.5546875" style="2231" customWidth="1"/>
    <col min="2311" max="2312" width="9.109375" style="2231"/>
    <col min="2313" max="2313" width="10.109375" style="2231" bestFit="1" customWidth="1"/>
    <col min="2314" max="2563" width="9.109375" style="2231"/>
    <col min="2564" max="2564" width="45.109375" style="2231" customWidth="1"/>
    <col min="2565" max="2566" width="15.5546875" style="2231" customWidth="1"/>
    <col min="2567" max="2568" width="9.109375" style="2231"/>
    <col min="2569" max="2569" width="10.109375" style="2231" bestFit="1" customWidth="1"/>
    <col min="2570" max="2819" width="9.109375" style="2231"/>
    <col min="2820" max="2820" width="45.109375" style="2231" customWidth="1"/>
    <col min="2821" max="2822" width="15.5546875" style="2231" customWidth="1"/>
    <col min="2823" max="2824" width="9.109375" style="2231"/>
    <col min="2825" max="2825" width="10.109375" style="2231" bestFit="1" customWidth="1"/>
    <col min="2826" max="3075" width="9.109375" style="2231"/>
    <col min="3076" max="3076" width="45.109375" style="2231" customWidth="1"/>
    <col min="3077" max="3078" width="15.5546875" style="2231" customWidth="1"/>
    <col min="3079" max="3080" width="9.109375" style="2231"/>
    <col min="3081" max="3081" width="10.109375" style="2231" bestFit="1" customWidth="1"/>
    <col min="3082" max="3331" width="9.109375" style="2231"/>
    <col min="3332" max="3332" width="45.109375" style="2231" customWidth="1"/>
    <col min="3333" max="3334" width="15.5546875" style="2231" customWidth="1"/>
    <col min="3335" max="3336" width="9.109375" style="2231"/>
    <col min="3337" max="3337" width="10.109375" style="2231" bestFit="1" customWidth="1"/>
    <col min="3338" max="3587" width="9.109375" style="2231"/>
    <col min="3588" max="3588" width="45.109375" style="2231" customWidth="1"/>
    <col min="3589" max="3590" width="15.5546875" style="2231" customWidth="1"/>
    <col min="3591" max="3592" width="9.109375" style="2231"/>
    <col min="3593" max="3593" width="10.109375" style="2231" bestFit="1" customWidth="1"/>
    <col min="3594" max="3843" width="9.109375" style="2231"/>
    <col min="3844" max="3844" width="45.109375" style="2231" customWidth="1"/>
    <col min="3845" max="3846" width="15.5546875" style="2231" customWidth="1"/>
    <col min="3847" max="3848" width="9.109375" style="2231"/>
    <col min="3849" max="3849" width="10.109375" style="2231" bestFit="1" customWidth="1"/>
    <col min="3850" max="4099" width="9.109375" style="2231"/>
    <col min="4100" max="4100" width="45.109375" style="2231" customWidth="1"/>
    <col min="4101" max="4102" width="15.5546875" style="2231" customWidth="1"/>
    <col min="4103" max="4104" width="9.109375" style="2231"/>
    <col min="4105" max="4105" width="10.109375" style="2231" bestFit="1" customWidth="1"/>
    <col min="4106" max="4355" width="9.109375" style="2231"/>
    <col min="4356" max="4356" width="45.109375" style="2231" customWidth="1"/>
    <col min="4357" max="4358" width="15.5546875" style="2231" customWidth="1"/>
    <col min="4359" max="4360" width="9.109375" style="2231"/>
    <col min="4361" max="4361" width="10.109375" style="2231" bestFit="1" customWidth="1"/>
    <col min="4362" max="4611" width="9.109375" style="2231"/>
    <col min="4612" max="4612" width="45.109375" style="2231" customWidth="1"/>
    <col min="4613" max="4614" width="15.5546875" style="2231" customWidth="1"/>
    <col min="4615" max="4616" width="9.109375" style="2231"/>
    <col min="4617" max="4617" width="10.109375" style="2231" bestFit="1" customWidth="1"/>
    <col min="4618" max="4867" width="9.109375" style="2231"/>
    <col min="4868" max="4868" width="45.109375" style="2231" customWidth="1"/>
    <col min="4869" max="4870" width="15.5546875" style="2231" customWidth="1"/>
    <col min="4871" max="4872" width="9.109375" style="2231"/>
    <col min="4873" max="4873" width="10.109375" style="2231" bestFit="1" customWidth="1"/>
    <col min="4874" max="5123" width="9.109375" style="2231"/>
    <col min="5124" max="5124" width="45.109375" style="2231" customWidth="1"/>
    <col min="5125" max="5126" width="15.5546875" style="2231" customWidth="1"/>
    <col min="5127" max="5128" width="9.109375" style="2231"/>
    <col min="5129" max="5129" width="10.109375" style="2231" bestFit="1" customWidth="1"/>
    <col min="5130" max="5379" width="9.109375" style="2231"/>
    <col min="5380" max="5380" width="45.109375" style="2231" customWidth="1"/>
    <col min="5381" max="5382" width="15.5546875" style="2231" customWidth="1"/>
    <col min="5383" max="5384" width="9.109375" style="2231"/>
    <col min="5385" max="5385" width="10.109375" style="2231" bestFit="1" customWidth="1"/>
    <col min="5386" max="5635" width="9.109375" style="2231"/>
    <col min="5636" max="5636" width="45.109375" style="2231" customWidth="1"/>
    <col min="5637" max="5638" width="15.5546875" style="2231" customWidth="1"/>
    <col min="5639" max="5640" width="9.109375" style="2231"/>
    <col min="5641" max="5641" width="10.109375" style="2231" bestFit="1" customWidth="1"/>
    <col min="5642" max="5891" width="9.109375" style="2231"/>
    <col min="5892" max="5892" width="45.109375" style="2231" customWidth="1"/>
    <col min="5893" max="5894" width="15.5546875" style="2231" customWidth="1"/>
    <col min="5895" max="5896" width="9.109375" style="2231"/>
    <col min="5897" max="5897" width="10.109375" style="2231" bestFit="1" customWidth="1"/>
    <col min="5898" max="6147" width="9.109375" style="2231"/>
    <col min="6148" max="6148" width="45.109375" style="2231" customWidth="1"/>
    <col min="6149" max="6150" width="15.5546875" style="2231" customWidth="1"/>
    <col min="6151" max="6152" width="9.109375" style="2231"/>
    <col min="6153" max="6153" width="10.109375" style="2231" bestFit="1" customWidth="1"/>
    <col min="6154" max="6403" width="9.109375" style="2231"/>
    <col min="6404" max="6404" width="45.109375" style="2231" customWidth="1"/>
    <col min="6405" max="6406" width="15.5546875" style="2231" customWidth="1"/>
    <col min="6407" max="6408" width="9.109375" style="2231"/>
    <col min="6409" max="6409" width="10.109375" style="2231" bestFit="1" customWidth="1"/>
    <col min="6410" max="6659" width="9.109375" style="2231"/>
    <col min="6660" max="6660" width="45.109375" style="2231" customWidth="1"/>
    <col min="6661" max="6662" width="15.5546875" style="2231" customWidth="1"/>
    <col min="6663" max="6664" width="9.109375" style="2231"/>
    <col min="6665" max="6665" width="10.109375" style="2231" bestFit="1" customWidth="1"/>
    <col min="6666" max="6915" width="9.109375" style="2231"/>
    <col min="6916" max="6916" width="45.109375" style="2231" customWidth="1"/>
    <col min="6917" max="6918" width="15.5546875" style="2231" customWidth="1"/>
    <col min="6919" max="6920" width="9.109375" style="2231"/>
    <col min="6921" max="6921" width="10.109375" style="2231" bestFit="1" customWidth="1"/>
    <col min="6922" max="7171" width="9.109375" style="2231"/>
    <col min="7172" max="7172" width="45.109375" style="2231" customWidth="1"/>
    <col min="7173" max="7174" width="15.5546875" style="2231" customWidth="1"/>
    <col min="7175" max="7176" width="9.109375" style="2231"/>
    <col min="7177" max="7177" width="10.109375" style="2231" bestFit="1" customWidth="1"/>
    <col min="7178" max="7427" width="9.109375" style="2231"/>
    <col min="7428" max="7428" width="45.109375" style="2231" customWidth="1"/>
    <col min="7429" max="7430" width="15.5546875" style="2231" customWidth="1"/>
    <col min="7431" max="7432" width="9.109375" style="2231"/>
    <col min="7433" max="7433" width="10.109375" style="2231" bestFit="1" customWidth="1"/>
    <col min="7434" max="7683" width="9.109375" style="2231"/>
    <col min="7684" max="7684" width="45.109375" style="2231" customWidth="1"/>
    <col min="7685" max="7686" width="15.5546875" style="2231" customWidth="1"/>
    <col min="7687" max="7688" width="9.109375" style="2231"/>
    <col min="7689" max="7689" width="10.109375" style="2231" bestFit="1" customWidth="1"/>
    <col min="7690" max="7939" width="9.109375" style="2231"/>
    <col min="7940" max="7940" width="45.109375" style="2231" customWidth="1"/>
    <col min="7941" max="7942" width="15.5546875" style="2231" customWidth="1"/>
    <col min="7943" max="7944" width="9.109375" style="2231"/>
    <col min="7945" max="7945" width="10.109375" style="2231" bestFit="1" customWidth="1"/>
    <col min="7946" max="8195" width="9.109375" style="2231"/>
    <col min="8196" max="8196" width="45.109375" style="2231" customWidth="1"/>
    <col min="8197" max="8198" width="15.5546875" style="2231" customWidth="1"/>
    <col min="8199" max="8200" width="9.109375" style="2231"/>
    <col min="8201" max="8201" width="10.109375" style="2231" bestFit="1" customWidth="1"/>
    <col min="8202" max="8451" width="9.109375" style="2231"/>
    <col min="8452" max="8452" width="45.109375" style="2231" customWidth="1"/>
    <col min="8453" max="8454" width="15.5546875" style="2231" customWidth="1"/>
    <col min="8455" max="8456" width="9.109375" style="2231"/>
    <col min="8457" max="8457" width="10.109375" style="2231" bestFit="1" customWidth="1"/>
    <col min="8458" max="8707" width="9.109375" style="2231"/>
    <col min="8708" max="8708" width="45.109375" style="2231" customWidth="1"/>
    <col min="8709" max="8710" width="15.5546875" style="2231" customWidth="1"/>
    <col min="8711" max="8712" width="9.109375" style="2231"/>
    <col min="8713" max="8713" width="10.109375" style="2231" bestFit="1" customWidth="1"/>
    <col min="8714" max="8963" width="9.109375" style="2231"/>
    <col min="8964" max="8964" width="45.109375" style="2231" customWidth="1"/>
    <col min="8965" max="8966" width="15.5546875" style="2231" customWidth="1"/>
    <col min="8967" max="8968" width="9.109375" style="2231"/>
    <col min="8969" max="8969" width="10.109375" style="2231" bestFit="1" customWidth="1"/>
    <col min="8970" max="9219" width="9.109375" style="2231"/>
    <col min="9220" max="9220" width="45.109375" style="2231" customWidth="1"/>
    <col min="9221" max="9222" width="15.5546875" style="2231" customWidth="1"/>
    <col min="9223" max="9224" width="9.109375" style="2231"/>
    <col min="9225" max="9225" width="10.109375" style="2231" bestFit="1" customWidth="1"/>
    <col min="9226" max="9475" width="9.109375" style="2231"/>
    <col min="9476" max="9476" width="45.109375" style="2231" customWidth="1"/>
    <col min="9477" max="9478" width="15.5546875" style="2231" customWidth="1"/>
    <col min="9479" max="9480" width="9.109375" style="2231"/>
    <col min="9481" max="9481" width="10.109375" style="2231" bestFit="1" customWidth="1"/>
    <col min="9482" max="9731" width="9.109375" style="2231"/>
    <col min="9732" max="9732" width="45.109375" style="2231" customWidth="1"/>
    <col min="9733" max="9734" width="15.5546875" style="2231" customWidth="1"/>
    <col min="9735" max="9736" width="9.109375" style="2231"/>
    <col min="9737" max="9737" width="10.109375" style="2231" bestFit="1" customWidth="1"/>
    <col min="9738" max="9987" width="9.109375" style="2231"/>
    <col min="9988" max="9988" width="45.109375" style="2231" customWidth="1"/>
    <col min="9989" max="9990" width="15.5546875" style="2231" customWidth="1"/>
    <col min="9991" max="9992" width="9.109375" style="2231"/>
    <col min="9993" max="9993" width="10.109375" style="2231" bestFit="1" customWidth="1"/>
    <col min="9994" max="10243" width="9.109375" style="2231"/>
    <col min="10244" max="10244" width="45.109375" style="2231" customWidth="1"/>
    <col min="10245" max="10246" width="15.5546875" style="2231" customWidth="1"/>
    <col min="10247" max="10248" width="9.109375" style="2231"/>
    <col min="10249" max="10249" width="10.109375" style="2231" bestFit="1" customWidth="1"/>
    <col min="10250" max="10499" width="9.109375" style="2231"/>
    <col min="10500" max="10500" width="45.109375" style="2231" customWidth="1"/>
    <col min="10501" max="10502" width="15.5546875" style="2231" customWidth="1"/>
    <col min="10503" max="10504" width="9.109375" style="2231"/>
    <col min="10505" max="10505" width="10.109375" style="2231" bestFit="1" customWidth="1"/>
    <col min="10506" max="10755" width="9.109375" style="2231"/>
    <col min="10756" max="10756" width="45.109375" style="2231" customWidth="1"/>
    <col min="10757" max="10758" width="15.5546875" style="2231" customWidth="1"/>
    <col min="10759" max="10760" width="9.109375" style="2231"/>
    <col min="10761" max="10761" width="10.109375" style="2231" bestFit="1" customWidth="1"/>
    <col min="10762" max="11011" width="9.109375" style="2231"/>
    <col min="11012" max="11012" width="45.109375" style="2231" customWidth="1"/>
    <col min="11013" max="11014" width="15.5546875" style="2231" customWidth="1"/>
    <col min="11015" max="11016" width="9.109375" style="2231"/>
    <col min="11017" max="11017" width="10.109375" style="2231" bestFit="1" customWidth="1"/>
    <col min="11018" max="11267" width="9.109375" style="2231"/>
    <col min="11268" max="11268" width="45.109375" style="2231" customWidth="1"/>
    <col min="11269" max="11270" width="15.5546875" style="2231" customWidth="1"/>
    <col min="11271" max="11272" width="9.109375" style="2231"/>
    <col min="11273" max="11273" width="10.109375" style="2231" bestFit="1" customWidth="1"/>
    <col min="11274" max="11523" width="9.109375" style="2231"/>
    <col min="11524" max="11524" width="45.109375" style="2231" customWidth="1"/>
    <col min="11525" max="11526" width="15.5546875" style="2231" customWidth="1"/>
    <col min="11527" max="11528" width="9.109375" style="2231"/>
    <col min="11529" max="11529" width="10.109375" style="2231" bestFit="1" customWidth="1"/>
    <col min="11530" max="11779" width="9.109375" style="2231"/>
    <col min="11780" max="11780" width="45.109375" style="2231" customWidth="1"/>
    <col min="11781" max="11782" width="15.5546875" style="2231" customWidth="1"/>
    <col min="11783" max="11784" width="9.109375" style="2231"/>
    <col min="11785" max="11785" width="10.109375" style="2231" bestFit="1" customWidth="1"/>
    <col min="11786" max="12035" width="9.109375" style="2231"/>
    <col min="12036" max="12036" width="45.109375" style="2231" customWidth="1"/>
    <col min="12037" max="12038" width="15.5546875" style="2231" customWidth="1"/>
    <col min="12039" max="12040" width="9.109375" style="2231"/>
    <col min="12041" max="12041" width="10.109375" style="2231" bestFit="1" customWidth="1"/>
    <col min="12042" max="12291" width="9.109375" style="2231"/>
    <col min="12292" max="12292" width="45.109375" style="2231" customWidth="1"/>
    <col min="12293" max="12294" width="15.5546875" style="2231" customWidth="1"/>
    <col min="12295" max="12296" width="9.109375" style="2231"/>
    <col min="12297" max="12297" width="10.109375" style="2231" bestFit="1" customWidth="1"/>
    <col min="12298" max="12547" width="9.109375" style="2231"/>
    <col min="12548" max="12548" width="45.109375" style="2231" customWidth="1"/>
    <col min="12549" max="12550" width="15.5546875" style="2231" customWidth="1"/>
    <col min="12551" max="12552" width="9.109375" style="2231"/>
    <col min="12553" max="12553" width="10.109375" style="2231" bestFit="1" customWidth="1"/>
    <col min="12554" max="12803" width="9.109375" style="2231"/>
    <col min="12804" max="12804" width="45.109375" style="2231" customWidth="1"/>
    <col min="12805" max="12806" width="15.5546875" style="2231" customWidth="1"/>
    <col min="12807" max="12808" width="9.109375" style="2231"/>
    <col min="12809" max="12809" width="10.109375" style="2231" bestFit="1" customWidth="1"/>
    <col min="12810" max="13059" width="9.109375" style="2231"/>
    <col min="13060" max="13060" width="45.109375" style="2231" customWidth="1"/>
    <col min="13061" max="13062" width="15.5546875" style="2231" customWidth="1"/>
    <col min="13063" max="13064" width="9.109375" style="2231"/>
    <col min="13065" max="13065" width="10.109375" style="2231" bestFit="1" customWidth="1"/>
    <col min="13066" max="13315" width="9.109375" style="2231"/>
    <col min="13316" max="13316" width="45.109375" style="2231" customWidth="1"/>
    <col min="13317" max="13318" width="15.5546875" style="2231" customWidth="1"/>
    <col min="13319" max="13320" width="9.109375" style="2231"/>
    <col min="13321" max="13321" width="10.109375" style="2231" bestFit="1" customWidth="1"/>
    <col min="13322" max="13571" width="9.109375" style="2231"/>
    <col min="13572" max="13572" width="45.109375" style="2231" customWidth="1"/>
    <col min="13573" max="13574" width="15.5546875" style="2231" customWidth="1"/>
    <col min="13575" max="13576" width="9.109375" style="2231"/>
    <col min="13577" max="13577" width="10.109375" style="2231" bestFit="1" customWidth="1"/>
    <col min="13578" max="13827" width="9.109375" style="2231"/>
    <col min="13828" max="13828" width="45.109375" style="2231" customWidth="1"/>
    <col min="13829" max="13830" width="15.5546875" style="2231" customWidth="1"/>
    <col min="13831" max="13832" width="9.109375" style="2231"/>
    <col min="13833" max="13833" width="10.109375" style="2231" bestFit="1" customWidth="1"/>
    <col min="13834" max="14083" width="9.109375" style="2231"/>
    <col min="14084" max="14084" width="45.109375" style="2231" customWidth="1"/>
    <col min="14085" max="14086" width="15.5546875" style="2231" customWidth="1"/>
    <col min="14087" max="14088" width="9.109375" style="2231"/>
    <col min="14089" max="14089" width="10.109375" style="2231" bestFit="1" customWidth="1"/>
    <col min="14090" max="14339" width="9.109375" style="2231"/>
    <col min="14340" max="14340" width="45.109375" style="2231" customWidth="1"/>
    <col min="14341" max="14342" width="15.5546875" style="2231" customWidth="1"/>
    <col min="14343" max="14344" width="9.109375" style="2231"/>
    <col min="14345" max="14345" width="10.109375" style="2231" bestFit="1" customWidth="1"/>
    <col min="14346" max="14595" width="9.109375" style="2231"/>
    <col min="14596" max="14596" width="45.109375" style="2231" customWidth="1"/>
    <col min="14597" max="14598" width="15.5546875" style="2231" customWidth="1"/>
    <col min="14599" max="14600" width="9.109375" style="2231"/>
    <col min="14601" max="14601" width="10.109375" style="2231" bestFit="1" customWidth="1"/>
    <col min="14602" max="14851" width="9.109375" style="2231"/>
    <col min="14852" max="14852" width="45.109375" style="2231" customWidth="1"/>
    <col min="14853" max="14854" width="15.5546875" style="2231" customWidth="1"/>
    <col min="14855" max="14856" width="9.109375" style="2231"/>
    <col min="14857" max="14857" width="10.109375" style="2231" bestFit="1" customWidth="1"/>
    <col min="14858" max="15107" width="9.109375" style="2231"/>
    <col min="15108" max="15108" width="45.109375" style="2231" customWidth="1"/>
    <col min="15109" max="15110" width="15.5546875" style="2231" customWidth="1"/>
    <col min="15111" max="15112" width="9.109375" style="2231"/>
    <col min="15113" max="15113" width="10.109375" style="2231" bestFit="1" customWidth="1"/>
    <col min="15114" max="15363" width="9.109375" style="2231"/>
    <col min="15364" max="15364" width="45.109375" style="2231" customWidth="1"/>
    <col min="15365" max="15366" width="15.5546875" style="2231" customWidth="1"/>
    <col min="15367" max="15368" width="9.109375" style="2231"/>
    <col min="15369" max="15369" width="10.109375" style="2231" bestFit="1" customWidth="1"/>
    <col min="15370" max="15619" width="9.109375" style="2231"/>
    <col min="15620" max="15620" width="45.109375" style="2231" customWidth="1"/>
    <col min="15621" max="15622" width="15.5546875" style="2231" customWidth="1"/>
    <col min="15623" max="15624" width="9.109375" style="2231"/>
    <col min="15625" max="15625" width="10.109375" style="2231" bestFit="1" customWidth="1"/>
    <col min="15626" max="15875" width="9.109375" style="2231"/>
    <col min="15876" max="15876" width="45.109375" style="2231" customWidth="1"/>
    <col min="15877" max="15878" width="15.5546875" style="2231" customWidth="1"/>
    <col min="15879" max="15880" width="9.109375" style="2231"/>
    <col min="15881" max="15881" width="10.109375" style="2231" bestFit="1" customWidth="1"/>
    <col min="15882" max="16131" width="9.109375" style="2231"/>
    <col min="16132" max="16132" width="45.109375" style="2231" customWidth="1"/>
    <col min="16133" max="16134" width="15.5546875" style="2231" customWidth="1"/>
    <col min="16135" max="16136" width="9.109375" style="2231"/>
    <col min="16137" max="16137" width="10.109375" style="2231" bestFit="1" customWidth="1"/>
    <col min="16138" max="16384" width="9.109375" style="2231"/>
  </cols>
  <sheetData>
    <row r="1" spans="1:10" ht="26.4">
      <c r="A1" s="2696" t="s">
        <v>2517</v>
      </c>
      <c r="B1" s="2697"/>
      <c r="C1" s="2697"/>
      <c r="D1" s="2697"/>
      <c r="E1" s="2697"/>
      <c r="F1" s="2697"/>
    </row>
    <row r="2" spans="1:10">
      <c r="A2" s="2690" t="s">
        <v>2815</v>
      </c>
      <c r="B2" s="2228"/>
      <c r="C2" s="2228"/>
      <c r="D2" s="2228"/>
      <c r="E2" s="2228"/>
      <c r="F2" s="2228"/>
    </row>
    <row r="3" spans="1:10">
      <c r="A3" s="2690"/>
      <c r="B3" s="2228"/>
      <c r="C3" s="2228"/>
      <c r="D3" s="2228"/>
      <c r="E3" s="2228"/>
      <c r="F3" s="2228"/>
    </row>
    <row r="5" spans="1:10" s="2692" customFormat="1">
      <c r="A5" s="4128" t="s">
        <v>2518</v>
      </c>
      <c r="B5" s="2691" t="s">
        <v>2515</v>
      </c>
      <c r="C5" s="2691"/>
      <c r="D5" s="2691"/>
      <c r="E5" s="2691"/>
      <c r="F5" s="2691"/>
      <c r="I5" s="3031"/>
    </row>
    <row r="6" spans="1:10" s="2692" customFormat="1" ht="27" customHeight="1">
      <c r="A6" s="4129"/>
      <c r="B6" s="2937" t="s">
        <v>2816</v>
      </c>
      <c r="C6" s="2937"/>
      <c r="D6" s="2937"/>
      <c r="E6" s="4130" t="s">
        <v>2817</v>
      </c>
      <c r="F6" s="4131"/>
      <c r="I6" s="3031"/>
    </row>
    <row r="7" spans="1:10" s="2692" customFormat="1" ht="79.2">
      <c r="A7" s="2907"/>
      <c r="B7" s="2938" t="s">
        <v>2630</v>
      </c>
      <c r="C7" s="2938" t="s">
        <v>2629</v>
      </c>
      <c r="D7" s="2938" t="s">
        <v>2631</v>
      </c>
      <c r="E7" s="2938" t="s">
        <v>2629</v>
      </c>
      <c r="F7" s="2938" t="s">
        <v>2818</v>
      </c>
      <c r="I7" s="3031"/>
    </row>
    <row r="8" spans="1:10" ht="35.25" customHeight="1">
      <c r="A8" s="2693" t="s">
        <v>2167</v>
      </c>
      <c r="B8" s="2941">
        <f>'[11]НВВ на содержание'!$H$17</f>
        <v>2906.612406378471</v>
      </c>
      <c r="C8" s="2939">
        <f>'[11]НВВ на содержание'!$H$117+'[11]НВВ на содержание'!$H$122</f>
        <v>21335.048999999999</v>
      </c>
      <c r="D8" s="2940">
        <f>B8/C8</f>
        <v>0.13623650015420499</v>
      </c>
      <c r="E8" s="2698">
        <f>'П1.30 -2022г., 1 и 2 п-е'!G20</f>
        <v>23344.686391399999</v>
      </c>
      <c r="F8" s="2698">
        <f>D8*E8*1.0355*1.0237</f>
        <v>3371.3537829041911</v>
      </c>
      <c r="I8" s="3032">
        <f>'Расчет НВВ 2022г.'!K26</f>
        <v>61.360438460908846</v>
      </c>
    </row>
    <row r="9" spans="1:10" hidden="1">
      <c r="A9" s="2693"/>
      <c r="B9" s="2694"/>
      <c r="C9" s="2694"/>
      <c r="D9" s="2694"/>
      <c r="E9" s="2694"/>
      <c r="F9" s="2694"/>
    </row>
    <row r="10" spans="1:10" ht="29.25" hidden="1" customHeight="1">
      <c r="A10" s="2695" t="s">
        <v>2516</v>
      </c>
      <c r="B10" s="2694">
        <f>SUM(B8:B9)</f>
        <v>2906.612406378471</v>
      </c>
      <c r="C10" s="2694"/>
      <c r="D10" s="2694"/>
      <c r="E10" s="2694"/>
      <c r="F10" s="2694"/>
      <c r="I10" s="3033"/>
    </row>
    <row r="11" spans="1:10">
      <c r="A11" s="2232"/>
      <c r="I11" s="2249"/>
      <c r="J11" s="2263"/>
    </row>
    <row r="15" spans="1:10">
      <c r="A15" s="2231" t="s">
        <v>1266</v>
      </c>
      <c r="D15" s="2231" t="s">
        <v>2610</v>
      </c>
    </row>
    <row r="16" spans="1:10">
      <c r="A16" s="2231" t="s">
        <v>1304</v>
      </c>
    </row>
  </sheetData>
  <mergeCells count="2">
    <mergeCell ref="A5:A6"/>
    <mergeCell ref="E6:F6"/>
  </mergeCells>
  <printOptions horizontalCentered="1"/>
  <pageMargins left="1.1811023622047245" right="0.70866141732283472" top="0.74803149606299213" bottom="0.74803149606299213" header="0.31496062992125984" footer="0.31496062992125984"/>
  <pageSetup paperSize="9" orientation="landscape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H15"/>
  <sheetViews>
    <sheetView workbookViewId="0">
      <selection activeCell="B32" sqref="A1:XFD1048576"/>
    </sheetView>
  </sheetViews>
  <sheetFormatPr defaultRowHeight="13.2"/>
  <cols>
    <col min="1" max="1" width="31.5546875" style="2890" customWidth="1"/>
    <col min="2" max="4" width="23.109375" style="2890" customWidth="1"/>
    <col min="5" max="6" width="9.109375" style="2890"/>
    <col min="7" max="7" width="10.109375" style="3274" bestFit="1" customWidth="1"/>
    <col min="8" max="257" width="9.109375" style="2890"/>
    <col min="258" max="258" width="45.109375" style="2890" customWidth="1"/>
    <col min="259" max="260" width="15.5546875" style="2890" customWidth="1"/>
    <col min="261" max="262" width="9.109375" style="2890"/>
    <col min="263" max="263" width="10.109375" style="2890" bestFit="1" customWidth="1"/>
    <col min="264" max="513" width="9.109375" style="2890"/>
    <col min="514" max="514" width="45.109375" style="2890" customWidth="1"/>
    <col min="515" max="516" width="15.5546875" style="2890" customWidth="1"/>
    <col min="517" max="518" width="9.109375" style="2890"/>
    <col min="519" max="519" width="10.109375" style="2890" bestFit="1" customWidth="1"/>
    <col min="520" max="769" width="9.109375" style="2890"/>
    <col min="770" max="770" width="45.109375" style="2890" customWidth="1"/>
    <col min="771" max="772" width="15.5546875" style="2890" customWidth="1"/>
    <col min="773" max="774" width="9.109375" style="2890"/>
    <col min="775" max="775" width="10.109375" style="2890" bestFit="1" customWidth="1"/>
    <col min="776" max="1025" width="9.109375" style="2890"/>
    <col min="1026" max="1026" width="45.109375" style="2890" customWidth="1"/>
    <col min="1027" max="1028" width="15.5546875" style="2890" customWidth="1"/>
    <col min="1029" max="1030" width="9.109375" style="2890"/>
    <col min="1031" max="1031" width="10.109375" style="2890" bestFit="1" customWidth="1"/>
    <col min="1032" max="1281" width="9.109375" style="2890"/>
    <col min="1282" max="1282" width="45.109375" style="2890" customWidth="1"/>
    <col min="1283" max="1284" width="15.5546875" style="2890" customWidth="1"/>
    <col min="1285" max="1286" width="9.109375" style="2890"/>
    <col min="1287" max="1287" width="10.109375" style="2890" bestFit="1" customWidth="1"/>
    <col min="1288" max="1537" width="9.109375" style="2890"/>
    <col min="1538" max="1538" width="45.109375" style="2890" customWidth="1"/>
    <col min="1539" max="1540" width="15.5546875" style="2890" customWidth="1"/>
    <col min="1541" max="1542" width="9.109375" style="2890"/>
    <col min="1543" max="1543" width="10.109375" style="2890" bestFit="1" customWidth="1"/>
    <col min="1544" max="1793" width="9.109375" style="2890"/>
    <col min="1794" max="1794" width="45.109375" style="2890" customWidth="1"/>
    <col min="1795" max="1796" width="15.5546875" style="2890" customWidth="1"/>
    <col min="1797" max="1798" width="9.109375" style="2890"/>
    <col min="1799" max="1799" width="10.109375" style="2890" bestFit="1" customWidth="1"/>
    <col min="1800" max="2049" width="9.109375" style="2890"/>
    <col min="2050" max="2050" width="45.109375" style="2890" customWidth="1"/>
    <col min="2051" max="2052" width="15.5546875" style="2890" customWidth="1"/>
    <col min="2053" max="2054" width="9.109375" style="2890"/>
    <col min="2055" max="2055" width="10.109375" style="2890" bestFit="1" customWidth="1"/>
    <col min="2056" max="2305" width="9.109375" style="2890"/>
    <col min="2306" max="2306" width="45.109375" style="2890" customWidth="1"/>
    <col min="2307" max="2308" width="15.5546875" style="2890" customWidth="1"/>
    <col min="2309" max="2310" width="9.109375" style="2890"/>
    <col min="2311" max="2311" width="10.109375" style="2890" bestFit="1" customWidth="1"/>
    <col min="2312" max="2561" width="9.109375" style="2890"/>
    <col min="2562" max="2562" width="45.109375" style="2890" customWidth="1"/>
    <col min="2563" max="2564" width="15.5546875" style="2890" customWidth="1"/>
    <col min="2565" max="2566" width="9.109375" style="2890"/>
    <col min="2567" max="2567" width="10.109375" style="2890" bestFit="1" customWidth="1"/>
    <col min="2568" max="2817" width="9.109375" style="2890"/>
    <col min="2818" max="2818" width="45.109375" style="2890" customWidth="1"/>
    <col min="2819" max="2820" width="15.5546875" style="2890" customWidth="1"/>
    <col min="2821" max="2822" width="9.109375" style="2890"/>
    <col min="2823" max="2823" width="10.109375" style="2890" bestFit="1" customWidth="1"/>
    <col min="2824" max="3073" width="9.109375" style="2890"/>
    <col min="3074" max="3074" width="45.109375" style="2890" customWidth="1"/>
    <col min="3075" max="3076" width="15.5546875" style="2890" customWidth="1"/>
    <col min="3077" max="3078" width="9.109375" style="2890"/>
    <col min="3079" max="3079" width="10.109375" style="2890" bestFit="1" customWidth="1"/>
    <col min="3080" max="3329" width="9.109375" style="2890"/>
    <col min="3330" max="3330" width="45.109375" style="2890" customWidth="1"/>
    <col min="3331" max="3332" width="15.5546875" style="2890" customWidth="1"/>
    <col min="3333" max="3334" width="9.109375" style="2890"/>
    <col min="3335" max="3335" width="10.109375" style="2890" bestFit="1" customWidth="1"/>
    <col min="3336" max="3585" width="9.109375" style="2890"/>
    <col min="3586" max="3586" width="45.109375" style="2890" customWidth="1"/>
    <col min="3587" max="3588" width="15.5546875" style="2890" customWidth="1"/>
    <col min="3589" max="3590" width="9.109375" style="2890"/>
    <col min="3591" max="3591" width="10.109375" style="2890" bestFit="1" customWidth="1"/>
    <col min="3592" max="3841" width="9.109375" style="2890"/>
    <col min="3842" max="3842" width="45.109375" style="2890" customWidth="1"/>
    <col min="3843" max="3844" width="15.5546875" style="2890" customWidth="1"/>
    <col min="3845" max="3846" width="9.109375" style="2890"/>
    <col min="3847" max="3847" width="10.109375" style="2890" bestFit="1" customWidth="1"/>
    <col min="3848" max="4097" width="9.109375" style="2890"/>
    <col min="4098" max="4098" width="45.109375" style="2890" customWidth="1"/>
    <col min="4099" max="4100" width="15.5546875" style="2890" customWidth="1"/>
    <col min="4101" max="4102" width="9.109375" style="2890"/>
    <col min="4103" max="4103" width="10.109375" style="2890" bestFit="1" customWidth="1"/>
    <col min="4104" max="4353" width="9.109375" style="2890"/>
    <col min="4354" max="4354" width="45.109375" style="2890" customWidth="1"/>
    <col min="4355" max="4356" width="15.5546875" style="2890" customWidth="1"/>
    <col min="4357" max="4358" width="9.109375" style="2890"/>
    <col min="4359" max="4359" width="10.109375" style="2890" bestFit="1" customWidth="1"/>
    <col min="4360" max="4609" width="9.109375" style="2890"/>
    <col min="4610" max="4610" width="45.109375" style="2890" customWidth="1"/>
    <col min="4611" max="4612" width="15.5546875" style="2890" customWidth="1"/>
    <col min="4613" max="4614" width="9.109375" style="2890"/>
    <col min="4615" max="4615" width="10.109375" style="2890" bestFit="1" customWidth="1"/>
    <col min="4616" max="4865" width="9.109375" style="2890"/>
    <col min="4866" max="4866" width="45.109375" style="2890" customWidth="1"/>
    <col min="4867" max="4868" width="15.5546875" style="2890" customWidth="1"/>
    <col min="4869" max="4870" width="9.109375" style="2890"/>
    <col min="4871" max="4871" width="10.109375" style="2890" bestFit="1" customWidth="1"/>
    <col min="4872" max="5121" width="9.109375" style="2890"/>
    <col min="5122" max="5122" width="45.109375" style="2890" customWidth="1"/>
    <col min="5123" max="5124" width="15.5546875" style="2890" customWidth="1"/>
    <col min="5125" max="5126" width="9.109375" style="2890"/>
    <col min="5127" max="5127" width="10.109375" style="2890" bestFit="1" customWidth="1"/>
    <col min="5128" max="5377" width="9.109375" style="2890"/>
    <col min="5378" max="5378" width="45.109375" style="2890" customWidth="1"/>
    <col min="5379" max="5380" width="15.5546875" style="2890" customWidth="1"/>
    <col min="5381" max="5382" width="9.109375" style="2890"/>
    <col min="5383" max="5383" width="10.109375" style="2890" bestFit="1" customWidth="1"/>
    <col min="5384" max="5633" width="9.109375" style="2890"/>
    <col min="5634" max="5634" width="45.109375" style="2890" customWidth="1"/>
    <col min="5635" max="5636" width="15.5546875" style="2890" customWidth="1"/>
    <col min="5637" max="5638" width="9.109375" style="2890"/>
    <col min="5639" max="5639" width="10.109375" style="2890" bestFit="1" customWidth="1"/>
    <col min="5640" max="5889" width="9.109375" style="2890"/>
    <col min="5890" max="5890" width="45.109375" style="2890" customWidth="1"/>
    <col min="5891" max="5892" width="15.5546875" style="2890" customWidth="1"/>
    <col min="5893" max="5894" width="9.109375" style="2890"/>
    <col min="5895" max="5895" width="10.109375" style="2890" bestFit="1" customWidth="1"/>
    <col min="5896" max="6145" width="9.109375" style="2890"/>
    <col min="6146" max="6146" width="45.109375" style="2890" customWidth="1"/>
    <col min="6147" max="6148" width="15.5546875" style="2890" customWidth="1"/>
    <col min="6149" max="6150" width="9.109375" style="2890"/>
    <col min="6151" max="6151" width="10.109375" style="2890" bestFit="1" customWidth="1"/>
    <col min="6152" max="6401" width="9.109375" style="2890"/>
    <col min="6402" max="6402" width="45.109375" style="2890" customWidth="1"/>
    <col min="6403" max="6404" width="15.5546875" style="2890" customWidth="1"/>
    <col min="6405" max="6406" width="9.109375" style="2890"/>
    <col min="6407" max="6407" width="10.109375" style="2890" bestFit="1" customWidth="1"/>
    <col min="6408" max="6657" width="9.109375" style="2890"/>
    <col min="6658" max="6658" width="45.109375" style="2890" customWidth="1"/>
    <col min="6659" max="6660" width="15.5546875" style="2890" customWidth="1"/>
    <col min="6661" max="6662" width="9.109375" style="2890"/>
    <col min="6663" max="6663" width="10.109375" style="2890" bestFit="1" customWidth="1"/>
    <col min="6664" max="6913" width="9.109375" style="2890"/>
    <col min="6914" max="6914" width="45.109375" style="2890" customWidth="1"/>
    <col min="6915" max="6916" width="15.5546875" style="2890" customWidth="1"/>
    <col min="6917" max="6918" width="9.109375" style="2890"/>
    <col min="6919" max="6919" width="10.109375" style="2890" bestFit="1" customWidth="1"/>
    <col min="6920" max="7169" width="9.109375" style="2890"/>
    <col min="7170" max="7170" width="45.109375" style="2890" customWidth="1"/>
    <col min="7171" max="7172" width="15.5546875" style="2890" customWidth="1"/>
    <col min="7173" max="7174" width="9.109375" style="2890"/>
    <col min="7175" max="7175" width="10.109375" style="2890" bestFit="1" customWidth="1"/>
    <col min="7176" max="7425" width="9.109375" style="2890"/>
    <col min="7426" max="7426" width="45.109375" style="2890" customWidth="1"/>
    <col min="7427" max="7428" width="15.5546875" style="2890" customWidth="1"/>
    <col min="7429" max="7430" width="9.109375" style="2890"/>
    <col min="7431" max="7431" width="10.109375" style="2890" bestFit="1" customWidth="1"/>
    <col min="7432" max="7681" width="9.109375" style="2890"/>
    <col min="7682" max="7682" width="45.109375" style="2890" customWidth="1"/>
    <col min="7683" max="7684" width="15.5546875" style="2890" customWidth="1"/>
    <col min="7685" max="7686" width="9.109375" style="2890"/>
    <col min="7687" max="7687" width="10.109375" style="2890" bestFit="1" customWidth="1"/>
    <col min="7688" max="7937" width="9.109375" style="2890"/>
    <col min="7938" max="7938" width="45.109375" style="2890" customWidth="1"/>
    <col min="7939" max="7940" width="15.5546875" style="2890" customWidth="1"/>
    <col min="7941" max="7942" width="9.109375" style="2890"/>
    <col min="7943" max="7943" width="10.109375" style="2890" bestFit="1" customWidth="1"/>
    <col min="7944" max="8193" width="9.109375" style="2890"/>
    <col min="8194" max="8194" width="45.109375" style="2890" customWidth="1"/>
    <col min="8195" max="8196" width="15.5546875" style="2890" customWidth="1"/>
    <col min="8197" max="8198" width="9.109375" style="2890"/>
    <col min="8199" max="8199" width="10.109375" style="2890" bestFit="1" customWidth="1"/>
    <col min="8200" max="8449" width="9.109375" style="2890"/>
    <col min="8450" max="8450" width="45.109375" style="2890" customWidth="1"/>
    <col min="8451" max="8452" width="15.5546875" style="2890" customWidth="1"/>
    <col min="8453" max="8454" width="9.109375" style="2890"/>
    <col min="8455" max="8455" width="10.109375" style="2890" bestFit="1" customWidth="1"/>
    <col min="8456" max="8705" width="9.109375" style="2890"/>
    <col min="8706" max="8706" width="45.109375" style="2890" customWidth="1"/>
    <col min="8707" max="8708" width="15.5546875" style="2890" customWidth="1"/>
    <col min="8709" max="8710" width="9.109375" style="2890"/>
    <col min="8711" max="8711" width="10.109375" style="2890" bestFit="1" customWidth="1"/>
    <col min="8712" max="8961" width="9.109375" style="2890"/>
    <col min="8962" max="8962" width="45.109375" style="2890" customWidth="1"/>
    <col min="8963" max="8964" width="15.5546875" style="2890" customWidth="1"/>
    <col min="8965" max="8966" width="9.109375" style="2890"/>
    <col min="8967" max="8967" width="10.109375" style="2890" bestFit="1" customWidth="1"/>
    <col min="8968" max="9217" width="9.109375" style="2890"/>
    <col min="9218" max="9218" width="45.109375" style="2890" customWidth="1"/>
    <col min="9219" max="9220" width="15.5546875" style="2890" customWidth="1"/>
    <col min="9221" max="9222" width="9.109375" style="2890"/>
    <col min="9223" max="9223" width="10.109375" style="2890" bestFit="1" customWidth="1"/>
    <col min="9224" max="9473" width="9.109375" style="2890"/>
    <col min="9474" max="9474" width="45.109375" style="2890" customWidth="1"/>
    <col min="9475" max="9476" width="15.5546875" style="2890" customWidth="1"/>
    <col min="9477" max="9478" width="9.109375" style="2890"/>
    <col min="9479" max="9479" width="10.109375" style="2890" bestFit="1" customWidth="1"/>
    <col min="9480" max="9729" width="9.109375" style="2890"/>
    <col min="9730" max="9730" width="45.109375" style="2890" customWidth="1"/>
    <col min="9731" max="9732" width="15.5546875" style="2890" customWidth="1"/>
    <col min="9733" max="9734" width="9.109375" style="2890"/>
    <col min="9735" max="9735" width="10.109375" style="2890" bestFit="1" customWidth="1"/>
    <col min="9736" max="9985" width="9.109375" style="2890"/>
    <col min="9986" max="9986" width="45.109375" style="2890" customWidth="1"/>
    <col min="9987" max="9988" width="15.5546875" style="2890" customWidth="1"/>
    <col min="9989" max="9990" width="9.109375" style="2890"/>
    <col min="9991" max="9991" width="10.109375" style="2890" bestFit="1" customWidth="1"/>
    <col min="9992" max="10241" width="9.109375" style="2890"/>
    <col min="10242" max="10242" width="45.109375" style="2890" customWidth="1"/>
    <col min="10243" max="10244" width="15.5546875" style="2890" customWidth="1"/>
    <col min="10245" max="10246" width="9.109375" style="2890"/>
    <col min="10247" max="10247" width="10.109375" style="2890" bestFit="1" customWidth="1"/>
    <col min="10248" max="10497" width="9.109375" style="2890"/>
    <col min="10498" max="10498" width="45.109375" style="2890" customWidth="1"/>
    <col min="10499" max="10500" width="15.5546875" style="2890" customWidth="1"/>
    <col min="10501" max="10502" width="9.109375" style="2890"/>
    <col min="10503" max="10503" width="10.109375" style="2890" bestFit="1" customWidth="1"/>
    <col min="10504" max="10753" width="9.109375" style="2890"/>
    <col min="10754" max="10754" width="45.109375" style="2890" customWidth="1"/>
    <col min="10755" max="10756" width="15.5546875" style="2890" customWidth="1"/>
    <col min="10757" max="10758" width="9.109375" style="2890"/>
    <col min="10759" max="10759" width="10.109375" style="2890" bestFit="1" customWidth="1"/>
    <col min="10760" max="11009" width="9.109375" style="2890"/>
    <col min="11010" max="11010" width="45.109375" style="2890" customWidth="1"/>
    <col min="11011" max="11012" width="15.5546875" style="2890" customWidth="1"/>
    <col min="11013" max="11014" width="9.109375" style="2890"/>
    <col min="11015" max="11015" width="10.109375" style="2890" bestFit="1" customWidth="1"/>
    <col min="11016" max="11265" width="9.109375" style="2890"/>
    <col min="11266" max="11266" width="45.109375" style="2890" customWidth="1"/>
    <col min="11267" max="11268" width="15.5546875" style="2890" customWidth="1"/>
    <col min="11269" max="11270" width="9.109375" style="2890"/>
    <col min="11271" max="11271" width="10.109375" style="2890" bestFit="1" customWidth="1"/>
    <col min="11272" max="11521" width="9.109375" style="2890"/>
    <col min="11522" max="11522" width="45.109375" style="2890" customWidth="1"/>
    <col min="11523" max="11524" width="15.5546875" style="2890" customWidth="1"/>
    <col min="11525" max="11526" width="9.109375" style="2890"/>
    <col min="11527" max="11527" width="10.109375" style="2890" bestFit="1" customWidth="1"/>
    <col min="11528" max="11777" width="9.109375" style="2890"/>
    <col min="11778" max="11778" width="45.109375" style="2890" customWidth="1"/>
    <col min="11779" max="11780" width="15.5546875" style="2890" customWidth="1"/>
    <col min="11781" max="11782" width="9.109375" style="2890"/>
    <col min="11783" max="11783" width="10.109375" style="2890" bestFit="1" customWidth="1"/>
    <col min="11784" max="12033" width="9.109375" style="2890"/>
    <col min="12034" max="12034" width="45.109375" style="2890" customWidth="1"/>
    <col min="12035" max="12036" width="15.5546875" style="2890" customWidth="1"/>
    <col min="12037" max="12038" width="9.109375" style="2890"/>
    <col min="12039" max="12039" width="10.109375" style="2890" bestFit="1" customWidth="1"/>
    <col min="12040" max="12289" width="9.109375" style="2890"/>
    <col min="12290" max="12290" width="45.109375" style="2890" customWidth="1"/>
    <col min="12291" max="12292" width="15.5546875" style="2890" customWidth="1"/>
    <col min="12293" max="12294" width="9.109375" style="2890"/>
    <col min="12295" max="12295" width="10.109375" style="2890" bestFit="1" customWidth="1"/>
    <col min="12296" max="12545" width="9.109375" style="2890"/>
    <col min="12546" max="12546" width="45.109375" style="2890" customWidth="1"/>
    <col min="12547" max="12548" width="15.5546875" style="2890" customWidth="1"/>
    <col min="12549" max="12550" width="9.109375" style="2890"/>
    <col min="12551" max="12551" width="10.109375" style="2890" bestFit="1" customWidth="1"/>
    <col min="12552" max="12801" width="9.109375" style="2890"/>
    <col min="12802" max="12802" width="45.109375" style="2890" customWidth="1"/>
    <col min="12803" max="12804" width="15.5546875" style="2890" customWidth="1"/>
    <col min="12805" max="12806" width="9.109375" style="2890"/>
    <col min="12807" max="12807" width="10.109375" style="2890" bestFit="1" customWidth="1"/>
    <col min="12808" max="13057" width="9.109375" style="2890"/>
    <col min="13058" max="13058" width="45.109375" style="2890" customWidth="1"/>
    <col min="13059" max="13060" width="15.5546875" style="2890" customWidth="1"/>
    <col min="13061" max="13062" width="9.109375" style="2890"/>
    <col min="13063" max="13063" width="10.109375" style="2890" bestFit="1" customWidth="1"/>
    <col min="13064" max="13313" width="9.109375" style="2890"/>
    <col min="13314" max="13314" width="45.109375" style="2890" customWidth="1"/>
    <col min="13315" max="13316" width="15.5546875" style="2890" customWidth="1"/>
    <col min="13317" max="13318" width="9.109375" style="2890"/>
    <col min="13319" max="13319" width="10.109375" style="2890" bestFit="1" customWidth="1"/>
    <col min="13320" max="13569" width="9.109375" style="2890"/>
    <col min="13570" max="13570" width="45.109375" style="2890" customWidth="1"/>
    <col min="13571" max="13572" width="15.5546875" style="2890" customWidth="1"/>
    <col min="13573" max="13574" width="9.109375" style="2890"/>
    <col min="13575" max="13575" width="10.109375" style="2890" bestFit="1" customWidth="1"/>
    <col min="13576" max="13825" width="9.109375" style="2890"/>
    <col min="13826" max="13826" width="45.109375" style="2890" customWidth="1"/>
    <col min="13827" max="13828" width="15.5546875" style="2890" customWidth="1"/>
    <col min="13829" max="13830" width="9.109375" style="2890"/>
    <col min="13831" max="13831" width="10.109375" style="2890" bestFit="1" customWidth="1"/>
    <col min="13832" max="14081" width="9.109375" style="2890"/>
    <col min="14082" max="14082" width="45.109375" style="2890" customWidth="1"/>
    <col min="14083" max="14084" width="15.5546875" style="2890" customWidth="1"/>
    <col min="14085" max="14086" width="9.109375" style="2890"/>
    <col min="14087" max="14087" width="10.109375" style="2890" bestFit="1" customWidth="1"/>
    <col min="14088" max="14337" width="9.109375" style="2890"/>
    <col min="14338" max="14338" width="45.109375" style="2890" customWidth="1"/>
    <col min="14339" max="14340" width="15.5546875" style="2890" customWidth="1"/>
    <col min="14341" max="14342" width="9.109375" style="2890"/>
    <col min="14343" max="14343" width="10.109375" style="2890" bestFit="1" customWidth="1"/>
    <col min="14344" max="14593" width="9.109375" style="2890"/>
    <col min="14594" max="14594" width="45.109375" style="2890" customWidth="1"/>
    <col min="14595" max="14596" width="15.5546875" style="2890" customWidth="1"/>
    <col min="14597" max="14598" width="9.109375" style="2890"/>
    <col min="14599" max="14599" width="10.109375" style="2890" bestFit="1" customWidth="1"/>
    <col min="14600" max="14849" width="9.109375" style="2890"/>
    <col min="14850" max="14850" width="45.109375" style="2890" customWidth="1"/>
    <col min="14851" max="14852" width="15.5546875" style="2890" customWidth="1"/>
    <col min="14853" max="14854" width="9.109375" style="2890"/>
    <col min="14855" max="14855" width="10.109375" style="2890" bestFit="1" customWidth="1"/>
    <col min="14856" max="15105" width="9.109375" style="2890"/>
    <col min="15106" max="15106" width="45.109375" style="2890" customWidth="1"/>
    <col min="15107" max="15108" width="15.5546875" style="2890" customWidth="1"/>
    <col min="15109" max="15110" width="9.109375" style="2890"/>
    <col min="15111" max="15111" width="10.109375" style="2890" bestFit="1" customWidth="1"/>
    <col min="15112" max="15361" width="9.109375" style="2890"/>
    <col min="15362" max="15362" width="45.109375" style="2890" customWidth="1"/>
    <col min="15363" max="15364" width="15.5546875" style="2890" customWidth="1"/>
    <col min="15365" max="15366" width="9.109375" style="2890"/>
    <col min="15367" max="15367" width="10.109375" style="2890" bestFit="1" customWidth="1"/>
    <col min="15368" max="15617" width="9.109375" style="2890"/>
    <col min="15618" max="15618" width="45.109375" style="2890" customWidth="1"/>
    <col min="15619" max="15620" width="15.5546875" style="2890" customWidth="1"/>
    <col min="15621" max="15622" width="9.109375" style="2890"/>
    <col min="15623" max="15623" width="10.109375" style="2890" bestFit="1" customWidth="1"/>
    <col min="15624" max="15873" width="9.109375" style="2890"/>
    <col min="15874" max="15874" width="45.109375" style="2890" customWidth="1"/>
    <col min="15875" max="15876" width="15.5546875" style="2890" customWidth="1"/>
    <col min="15877" max="15878" width="9.109375" style="2890"/>
    <col min="15879" max="15879" width="10.109375" style="2890" bestFit="1" customWidth="1"/>
    <col min="15880" max="16129" width="9.109375" style="2890"/>
    <col min="16130" max="16130" width="45.109375" style="2890" customWidth="1"/>
    <col min="16131" max="16132" width="15.5546875" style="2890" customWidth="1"/>
    <col min="16133" max="16134" width="9.109375" style="2890"/>
    <col min="16135" max="16135" width="10.109375" style="2890" bestFit="1" customWidth="1"/>
    <col min="16136" max="16384" width="9.109375" style="2890"/>
  </cols>
  <sheetData>
    <row r="1" spans="1:8" ht="26.4">
      <c r="A1" s="3272" t="s">
        <v>2820</v>
      </c>
      <c r="B1" s="3273"/>
      <c r="C1" s="3273"/>
      <c r="D1" s="3273"/>
    </row>
    <row r="2" spans="1:8">
      <c r="A2" s="3275" t="s">
        <v>2815</v>
      </c>
      <c r="B2" s="3276"/>
      <c r="C2" s="3276"/>
      <c r="D2" s="3276"/>
    </row>
    <row r="3" spans="1:8">
      <c r="A3" s="3275"/>
      <c r="B3" s="3276"/>
      <c r="C3" s="3276"/>
      <c r="D3" s="3276"/>
    </row>
    <row r="5" spans="1:8" s="3278" customFormat="1">
      <c r="A5" s="4132" t="s">
        <v>2518</v>
      </c>
      <c r="B5" s="3277" t="s">
        <v>2515</v>
      </c>
      <c r="C5" s="3277"/>
      <c r="D5" s="3277"/>
      <c r="G5" s="3279"/>
    </row>
    <row r="6" spans="1:8" s="3278" customFormat="1" ht="27" customHeight="1">
      <c r="A6" s="4133"/>
      <c r="B6" s="3280" t="s">
        <v>2816</v>
      </c>
      <c r="C6" s="3281" t="s">
        <v>2822</v>
      </c>
      <c r="D6" s="3282" t="s">
        <v>2823</v>
      </c>
      <c r="G6" s="3279"/>
    </row>
    <row r="7" spans="1:8" s="3278" customFormat="1" ht="66">
      <c r="A7" s="3283"/>
      <c r="B7" s="3282" t="s">
        <v>2821</v>
      </c>
      <c r="C7" s="3282" t="s">
        <v>2824</v>
      </c>
      <c r="D7" s="3282" t="s">
        <v>2825</v>
      </c>
      <c r="G7" s="3279"/>
    </row>
    <row r="8" spans="1:8" ht="35.25" customHeight="1">
      <c r="A8" s="3284" t="s">
        <v>2867</v>
      </c>
      <c r="B8" s="3285">
        <v>916.84342000000004</v>
      </c>
      <c r="C8" s="3286">
        <v>949.39136141000017</v>
      </c>
      <c r="D8" s="3286">
        <v>971.89193667541724</v>
      </c>
      <c r="G8" s="3287">
        <v>292.26894829742503</v>
      </c>
    </row>
    <row r="9" spans="1:8" hidden="1">
      <c r="A9" s="3284"/>
      <c r="B9" s="3288"/>
      <c r="C9" s="3288"/>
      <c r="D9" s="3288"/>
    </row>
    <row r="10" spans="1:8" ht="29.25" hidden="1" customHeight="1">
      <c r="A10" s="3289" t="s">
        <v>2516</v>
      </c>
      <c r="B10" s="3288">
        <v>916.84342000000004</v>
      </c>
      <c r="C10" s="3288"/>
      <c r="D10" s="3288"/>
      <c r="G10" s="3290"/>
    </row>
    <row r="11" spans="1:8">
      <c r="A11" s="2891"/>
      <c r="G11" s="2484"/>
      <c r="H11" s="2892"/>
    </row>
    <row r="14" spans="1:8">
      <c r="A14" s="2890" t="s">
        <v>1266</v>
      </c>
      <c r="D14" s="2890" t="s">
        <v>2876</v>
      </c>
    </row>
    <row r="15" spans="1:8">
      <c r="A15" s="2890" t="s">
        <v>1304</v>
      </c>
    </row>
  </sheetData>
  <mergeCells count="1">
    <mergeCell ref="A5:A6"/>
  </mergeCells>
  <printOptions horizontalCentered="1"/>
  <pageMargins left="1.1811023622047245" right="0.70866141732283472" top="0.74803149606299213" bottom="0.74803149606299213" header="0.31496062992125984" footer="0.31496062992125984"/>
  <pageSetup paperSize="9" orientation="landscape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>
    <tabColor rgb="FF7030A0"/>
  </sheetPr>
  <dimension ref="A1:M43"/>
  <sheetViews>
    <sheetView workbookViewId="0">
      <selection activeCell="B32" sqref="A1:XFD1048576"/>
    </sheetView>
  </sheetViews>
  <sheetFormatPr defaultColWidth="9.109375" defaultRowHeight="15"/>
  <cols>
    <col min="1" max="1" width="4.5546875" style="2018" customWidth="1"/>
    <col min="2" max="2" width="80.33203125" style="2018" customWidth="1"/>
    <col min="3" max="3" width="24.109375" style="2018" customWidth="1"/>
    <col min="4" max="4" width="50.44140625" style="2018" hidden="1" customWidth="1"/>
    <col min="5" max="5" width="15.6640625" style="2018" hidden="1" customWidth="1"/>
    <col min="6" max="6" width="19.5546875" style="2018" customWidth="1"/>
    <col min="7" max="7" width="19.5546875" style="2018" hidden="1" customWidth="1"/>
    <col min="8" max="16384" width="9.109375" style="2018"/>
  </cols>
  <sheetData>
    <row r="1" spans="1:13">
      <c r="A1" s="3295" t="s">
        <v>2927</v>
      </c>
      <c r="B1" s="2042"/>
      <c r="C1" s="2042"/>
      <c r="D1" s="2042"/>
      <c r="E1" s="2042"/>
      <c r="F1" s="2042"/>
      <c r="L1" s="2018" t="s">
        <v>2704</v>
      </c>
    </row>
    <row r="2" spans="1:13" ht="25.5" customHeight="1">
      <c r="A2" s="3295" t="s">
        <v>2928</v>
      </c>
      <c r="B2" s="2042"/>
      <c r="C2" s="2042"/>
      <c r="D2" s="2042"/>
      <c r="E2" s="2042"/>
      <c r="F2" s="2042"/>
    </row>
    <row r="3" spans="1:13" ht="11.25" customHeight="1">
      <c r="A3" s="2042"/>
      <c r="B3" s="2042"/>
      <c r="C3" s="2042"/>
      <c r="D3" s="2042"/>
      <c r="E3" s="2042"/>
      <c r="F3" s="2042"/>
    </row>
    <row r="4" spans="1:13">
      <c r="A4" s="2019"/>
      <c r="B4" s="2019"/>
      <c r="C4" s="2019"/>
      <c r="D4" s="2019"/>
      <c r="E4" s="2019"/>
      <c r="F4" s="3292" t="s">
        <v>238</v>
      </c>
    </row>
    <row r="5" spans="1:13" s="1910" customFormat="1" ht="31.5" customHeight="1">
      <c r="A5" s="2043" t="s">
        <v>616</v>
      </c>
      <c r="B5" s="2044" t="s">
        <v>1162</v>
      </c>
      <c r="C5" s="2044" t="s">
        <v>614</v>
      </c>
      <c r="D5" s="2044" t="s">
        <v>615</v>
      </c>
      <c r="E5" s="2045" t="s">
        <v>1823</v>
      </c>
      <c r="F5" s="2104" t="s">
        <v>2929</v>
      </c>
      <c r="G5" s="2104" t="s">
        <v>2730</v>
      </c>
      <c r="H5" s="2029"/>
      <c r="I5" s="2030"/>
      <c r="J5" s="2031"/>
      <c r="K5" s="2031"/>
      <c r="L5" s="2027"/>
      <c r="M5" s="2027"/>
    </row>
    <row r="6" spans="1:13" s="1910" customFormat="1" ht="13.8" hidden="1">
      <c r="A6" s="2047" t="s">
        <v>2219</v>
      </c>
      <c r="B6" s="2048"/>
      <c r="C6" s="2048"/>
      <c r="D6" s="2049"/>
      <c r="E6" s="2049"/>
      <c r="F6" s="2049"/>
      <c r="G6" s="2049"/>
      <c r="H6" s="2029"/>
      <c r="I6" s="2030"/>
      <c r="J6" s="2031"/>
      <c r="K6" s="2031"/>
      <c r="L6" s="2027"/>
      <c r="M6" s="2027"/>
    </row>
    <row r="7" spans="1:13" s="2143" customFormat="1" ht="39.6" hidden="1">
      <c r="A7" s="3025">
        <v>1</v>
      </c>
      <c r="B7" s="3026" t="s">
        <v>2699</v>
      </c>
      <c r="C7" s="3027" t="s">
        <v>2700</v>
      </c>
      <c r="D7" s="3028" t="s">
        <v>2701</v>
      </c>
      <c r="E7" s="3029"/>
      <c r="F7" s="3029">
        <v>67.989180000000005</v>
      </c>
      <c r="G7" s="3029">
        <v>11.401662252709476</v>
      </c>
      <c r="K7" s="2144"/>
    </row>
    <row r="8" spans="1:13" s="2143" customFormat="1" ht="52.5" hidden="1" customHeight="1">
      <c r="A8" s="3025">
        <v>2</v>
      </c>
      <c r="B8" s="3026" t="s">
        <v>2702</v>
      </c>
      <c r="C8" s="3030" t="s">
        <v>2703</v>
      </c>
      <c r="D8" s="3028" t="s">
        <v>2705</v>
      </c>
      <c r="E8" s="3029"/>
      <c r="F8" s="3029">
        <v>195.52994915254237</v>
      </c>
      <c r="G8" s="3029">
        <v>32.790018066503315</v>
      </c>
      <c r="K8" s="2144"/>
    </row>
    <row r="9" spans="1:13" s="2143" customFormat="1" ht="52.8" hidden="1">
      <c r="A9" s="3025">
        <v>3</v>
      </c>
      <c r="B9" s="3026" t="s">
        <v>2709</v>
      </c>
      <c r="C9" s="3027" t="s">
        <v>2700</v>
      </c>
      <c r="D9" s="3028" t="s">
        <v>2710</v>
      </c>
      <c r="E9" s="3029"/>
      <c r="F9" s="3029">
        <v>609.63891999999998</v>
      </c>
      <c r="G9" s="3029">
        <v>102.23534188743815</v>
      </c>
      <c r="K9" s="2144"/>
    </row>
    <row r="10" spans="1:13" s="2143" customFormat="1" ht="66" hidden="1">
      <c r="A10" s="3025">
        <v>4</v>
      </c>
      <c r="B10" s="3026" t="s">
        <v>2722</v>
      </c>
      <c r="C10" s="3027" t="s">
        <v>2700</v>
      </c>
      <c r="D10" s="3028" t="s">
        <v>2728</v>
      </c>
      <c r="E10" s="3029"/>
      <c r="F10" s="3029">
        <v>68.528480000000002</v>
      </c>
      <c r="G10" s="3029">
        <v>11.49210188520521</v>
      </c>
      <c r="K10" s="2144"/>
    </row>
    <row r="11" spans="1:13" s="2143" customFormat="1" ht="66" hidden="1">
      <c r="A11" s="3025">
        <v>5</v>
      </c>
      <c r="B11" s="3026" t="s">
        <v>2727</v>
      </c>
      <c r="C11" s="3027" t="s">
        <v>2700</v>
      </c>
      <c r="D11" s="3028" t="s">
        <v>2729</v>
      </c>
      <c r="E11" s="3029"/>
      <c r="F11" s="3029">
        <v>54.303008474576274</v>
      </c>
      <c r="G11" s="3029">
        <v>9.1065160946659329</v>
      </c>
      <c r="K11" s="2144"/>
    </row>
    <row r="12" spans="1:13" s="2143" customFormat="1" ht="26.4" hidden="1">
      <c r="A12" s="3025">
        <v>6</v>
      </c>
      <c r="B12" s="3026" t="s">
        <v>2711</v>
      </c>
      <c r="C12" s="3027" t="s">
        <v>2712</v>
      </c>
      <c r="D12" s="3028" t="s">
        <v>2713</v>
      </c>
      <c r="E12" s="3029"/>
      <c r="F12" s="3029">
        <v>135.59322033898306</v>
      </c>
      <c r="G12" s="3029">
        <v>22.738737282348485</v>
      </c>
      <c r="K12" s="2144"/>
    </row>
    <row r="13" spans="1:13" s="2143" customFormat="1" ht="39.6" hidden="1">
      <c r="A13" s="3025">
        <v>7</v>
      </c>
      <c r="B13" s="3026" t="s">
        <v>2714</v>
      </c>
      <c r="C13" s="3027" t="s">
        <v>2225</v>
      </c>
      <c r="D13" s="3028" t="s">
        <v>2715</v>
      </c>
      <c r="E13" s="3029"/>
      <c r="F13" s="3029">
        <v>148.4</v>
      </c>
      <c r="G13" s="3029">
        <v>24.886411018666298</v>
      </c>
      <c r="K13" s="2144"/>
    </row>
    <row r="14" spans="1:13" s="2143" customFormat="1" ht="42" hidden="1" customHeight="1">
      <c r="A14" s="3025">
        <v>8</v>
      </c>
      <c r="B14" s="3026" t="s">
        <v>2716</v>
      </c>
      <c r="C14" s="3027" t="s">
        <v>2717</v>
      </c>
      <c r="D14" s="3028" t="s">
        <v>2718</v>
      </c>
      <c r="E14" s="3029"/>
      <c r="F14" s="3029">
        <v>19.027999999999999</v>
      </c>
      <c r="G14" s="3029">
        <v>3.1909611109378861</v>
      </c>
      <c r="K14" s="2144"/>
    </row>
    <row r="15" spans="1:13" s="2143" customFormat="1" ht="25.5" hidden="1" customHeight="1">
      <c r="A15" s="3025">
        <v>9</v>
      </c>
      <c r="B15" s="3026" t="s">
        <v>2719</v>
      </c>
      <c r="C15" s="3027" t="s">
        <v>2720</v>
      </c>
      <c r="D15" s="3028" t="s">
        <v>2721</v>
      </c>
      <c r="E15" s="3029"/>
      <c r="F15" s="3029">
        <v>1560</v>
      </c>
      <c r="G15" s="3029">
        <v>261.6091724334193</v>
      </c>
      <c r="K15" s="2144"/>
    </row>
    <row r="16" spans="1:13" s="2143" customFormat="1" ht="26.4" hidden="1">
      <c r="A16" s="3025">
        <v>10</v>
      </c>
      <c r="B16" s="3026" t="s">
        <v>2725</v>
      </c>
      <c r="C16" s="3027" t="s">
        <v>2235</v>
      </c>
      <c r="D16" s="3028" t="s">
        <v>2726</v>
      </c>
      <c r="E16" s="3029"/>
      <c r="F16" s="3029">
        <v>167.76893999999999</v>
      </c>
      <c r="G16" s="3029">
        <v>28.134547149635882</v>
      </c>
      <c r="K16" s="2144"/>
    </row>
    <row r="17" spans="1:13" s="1910" customFormat="1" ht="13.8" hidden="1">
      <c r="A17" s="2047" t="s">
        <v>2228</v>
      </c>
      <c r="B17" s="2048"/>
      <c r="C17" s="2048"/>
      <c r="D17" s="2049"/>
      <c r="E17" s="2049"/>
      <c r="F17" s="2049"/>
      <c r="G17" s="2049"/>
      <c r="H17" s="2029"/>
      <c r="I17" s="2030"/>
      <c r="J17" s="2031"/>
      <c r="K17" s="2031"/>
      <c r="L17" s="2027"/>
      <c r="M17" s="2027"/>
    </row>
    <row r="18" spans="1:13" s="2021" customFormat="1" ht="42.75" customHeight="1">
      <c r="A18" s="2138">
        <v>1</v>
      </c>
      <c r="B18" s="2139" t="s">
        <v>2706</v>
      </c>
      <c r="C18" s="4142" t="s">
        <v>2161</v>
      </c>
      <c r="D18" s="2141" t="s">
        <v>2707</v>
      </c>
      <c r="E18" s="2142"/>
      <c r="F18" s="2142">
        <v>171.882948297425</v>
      </c>
      <c r="G18" s="2142">
        <v>28.82445888429843</v>
      </c>
      <c r="K18" s="2022"/>
    </row>
    <row r="19" spans="1:13" s="2021" customFormat="1" ht="42.75" customHeight="1">
      <c r="A19" s="2138">
        <v>2</v>
      </c>
      <c r="B19" s="2139" t="s">
        <v>2731</v>
      </c>
      <c r="C19" s="4143"/>
      <c r="D19" s="2141" t="s">
        <v>2732</v>
      </c>
      <c r="E19" s="2142"/>
      <c r="F19" s="2142">
        <v>112.836</v>
      </c>
      <c r="G19" s="2142">
        <v>18.922392679934166</v>
      </c>
      <c r="K19" s="2022"/>
    </row>
    <row r="20" spans="1:13" s="2143" customFormat="1" ht="68.25" customHeight="1">
      <c r="A20" s="2138">
        <v>3</v>
      </c>
      <c r="B20" s="2139" t="s">
        <v>2925</v>
      </c>
      <c r="C20" s="3291" t="s">
        <v>2926</v>
      </c>
      <c r="D20" s="2141" t="s">
        <v>2708</v>
      </c>
      <c r="E20" s="2142"/>
      <c r="F20" s="2142">
        <v>7.5500000000000007</v>
      </c>
      <c r="G20" s="2142">
        <v>1.2661213153027666</v>
      </c>
      <c r="H20" s="2931"/>
      <c r="I20" s="2931"/>
      <c r="J20" s="2931"/>
      <c r="K20" s="2931"/>
      <c r="L20" s="2437"/>
      <c r="M20" s="2437"/>
    </row>
    <row r="21" spans="1:13" s="2143" customFormat="1" ht="24.75" hidden="1" customHeight="1">
      <c r="A21" s="2138">
        <v>4</v>
      </c>
      <c r="B21" s="2139" t="s">
        <v>2158</v>
      </c>
      <c r="C21" s="2928" t="s">
        <v>2157</v>
      </c>
      <c r="D21" s="2141" t="s">
        <v>2521</v>
      </c>
      <c r="E21" s="2142"/>
      <c r="F21" s="2142"/>
      <c r="G21" s="2142">
        <v>0</v>
      </c>
      <c r="K21" s="2144"/>
    </row>
    <row r="22" spans="1:13" s="2143" customFormat="1" ht="28.5" hidden="1" customHeight="1">
      <c r="A22" s="2138">
        <v>5</v>
      </c>
      <c r="B22" s="2139" t="s">
        <v>2159</v>
      </c>
      <c r="C22" s="2932"/>
      <c r="D22" s="2141" t="s">
        <v>2522</v>
      </c>
      <c r="E22" s="2142"/>
      <c r="F22" s="2142"/>
      <c r="G22" s="2142">
        <v>0</v>
      </c>
      <c r="I22" s="2929"/>
      <c r="K22" s="2144"/>
    </row>
    <row r="23" spans="1:13" s="2143" customFormat="1" ht="20.25" hidden="1" customHeight="1">
      <c r="A23" s="4140">
        <v>2</v>
      </c>
      <c r="B23" s="4136" t="s">
        <v>2524</v>
      </c>
      <c r="C23" s="4138" t="s">
        <v>2525</v>
      </c>
      <c r="D23" s="4134" t="s">
        <v>2526</v>
      </c>
      <c r="E23" s="2105">
        <v>73.745762711864401</v>
      </c>
      <c r="F23" s="2105"/>
      <c r="G23" s="2142">
        <v>0</v>
      </c>
      <c r="K23" s="2144"/>
    </row>
    <row r="24" spans="1:13" s="2143" customFormat="1" ht="19.5" hidden="1" customHeight="1">
      <c r="A24" s="4141"/>
      <c r="B24" s="4137"/>
      <c r="C24" s="4139"/>
      <c r="D24" s="4135"/>
      <c r="E24" s="2109" t="s">
        <v>2163</v>
      </c>
      <c r="F24" s="2109"/>
      <c r="G24" s="2142">
        <v>0</v>
      </c>
      <c r="K24" s="2144"/>
    </row>
    <row r="25" spans="1:13" s="2143" customFormat="1" ht="20.25" hidden="1" customHeight="1">
      <c r="A25" s="2138">
        <v>3</v>
      </c>
      <c r="B25" s="2139" t="s">
        <v>1180</v>
      </c>
      <c r="C25" s="2140"/>
      <c r="D25" s="2141"/>
      <c r="E25" s="2142">
        <v>143.80702000000002</v>
      </c>
      <c r="F25" s="2142"/>
      <c r="G25" s="2142">
        <v>0</v>
      </c>
      <c r="J25" s="2929">
        <v>7.5500000000000007</v>
      </c>
      <c r="K25" s="2144"/>
    </row>
    <row r="26" spans="1:13" s="2143" customFormat="1" ht="34.5" hidden="1" customHeight="1">
      <c r="A26" s="2138" t="s">
        <v>218</v>
      </c>
      <c r="B26" s="2139" t="s">
        <v>1165</v>
      </c>
      <c r="C26" s="2140"/>
      <c r="D26" s="2930"/>
      <c r="E26" s="2142"/>
      <c r="F26" s="2142"/>
      <c r="G26" s="2142">
        <v>0</v>
      </c>
      <c r="K26" s="2144">
        <v>180.00000000000003</v>
      </c>
    </row>
    <row r="27" spans="1:13" s="2143" customFormat="1" ht="28.5" hidden="1" customHeight="1">
      <c r="A27" s="2138" t="s">
        <v>226</v>
      </c>
      <c r="B27" s="2139" t="s">
        <v>2154</v>
      </c>
      <c r="C27" s="2140"/>
      <c r="D27" s="2140"/>
      <c r="E27" s="2142"/>
      <c r="F27" s="2142"/>
      <c r="G27" s="2142">
        <v>0</v>
      </c>
      <c r="K27" s="2144"/>
    </row>
    <row r="28" spans="1:13" s="2143" customFormat="1" ht="39.75" hidden="1" customHeight="1">
      <c r="A28" s="2138">
        <v>13</v>
      </c>
      <c r="B28" s="2139" t="s">
        <v>2723</v>
      </c>
      <c r="C28" s="2140" t="s">
        <v>619</v>
      </c>
      <c r="D28" s="2140" t="s">
        <v>2724</v>
      </c>
      <c r="E28" s="2142">
        <v>109.32203389830509</v>
      </c>
      <c r="F28" s="2142"/>
      <c r="G28" s="2142"/>
    </row>
    <row r="29" spans="1:13" s="1669" customFormat="1" ht="39" hidden="1" customHeight="1">
      <c r="A29" s="2020">
        <v>14</v>
      </c>
      <c r="B29" s="2040" t="s">
        <v>2155</v>
      </c>
      <c r="C29" s="2039" t="s">
        <v>1188</v>
      </c>
      <c r="D29" s="2033" t="s">
        <v>1995</v>
      </c>
      <c r="E29" s="2034">
        <v>30</v>
      </c>
      <c r="F29" s="2034"/>
      <c r="G29" s="2034">
        <v>30</v>
      </c>
    </row>
    <row r="30" spans="1:13" s="1879" customFormat="1" ht="26.25" customHeight="1">
      <c r="A30" s="2025"/>
      <c r="B30" s="2026" t="s">
        <v>1157</v>
      </c>
      <c r="C30" s="2026"/>
      <c r="D30" s="2026"/>
      <c r="E30" s="2050">
        <v>356.87481661016955</v>
      </c>
      <c r="F30" s="2050">
        <v>292.26894829742503</v>
      </c>
      <c r="G30" s="2050">
        <v>556.59844206106527</v>
      </c>
      <c r="I30" s="2935">
        <v>292.26894829742503</v>
      </c>
      <c r="J30" s="2935"/>
    </row>
    <row r="31" spans="1:13" s="1879" customFormat="1" ht="12.75" hidden="1" customHeight="1">
      <c r="A31" s="2025"/>
      <c r="B31" s="651" t="s">
        <v>2428</v>
      </c>
      <c r="C31" s="2026"/>
      <c r="D31" s="2026"/>
      <c r="E31" s="2050">
        <v>713.74963322033909</v>
      </c>
      <c r="F31" s="2050">
        <v>1299.0107579661017</v>
      </c>
      <c r="G31" s="2050">
        <v>217.84174959847476</v>
      </c>
    </row>
    <row r="32" spans="1:13" ht="20.25" hidden="1" customHeight="1">
      <c r="A32" s="2019" t="s">
        <v>663</v>
      </c>
      <c r="I32" s="1879"/>
      <c r="J32" s="1879"/>
    </row>
    <row r="33" spans="1:11" hidden="1">
      <c r="A33" s="2019" t="s">
        <v>2675</v>
      </c>
      <c r="I33" s="1879"/>
      <c r="J33" s="1879"/>
    </row>
    <row r="34" spans="1:11" s="2438" customFormat="1" hidden="1">
      <c r="A34" s="2437" t="s">
        <v>2810</v>
      </c>
      <c r="I34" s="2439"/>
    </row>
    <row r="35" spans="1:11" s="2438" customFormat="1" hidden="1">
      <c r="A35" s="2437" t="s">
        <v>2811</v>
      </c>
      <c r="I35" s="2439"/>
    </row>
    <row r="36" spans="1:11" s="2438" customFormat="1" hidden="1">
      <c r="B36" s="2933" t="s">
        <v>2812</v>
      </c>
      <c r="C36" s="2934">
        <v>0.14248798501781809</v>
      </c>
      <c r="I36" s="2439"/>
    </row>
    <row r="37" spans="1:11" s="2438" customFormat="1" hidden="1">
      <c r="B37" s="2933" t="s">
        <v>2813</v>
      </c>
      <c r="C37" s="2934">
        <v>0.16769818745732007</v>
      </c>
      <c r="I37" s="2439"/>
    </row>
    <row r="38" spans="1:11" s="2437" customFormat="1" ht="17.25" hidden="1" customHeight="1">
      <c r="A38" s="2437" t="s">
        <v>2814</v>
      </c>
      <c r="F38" s="2936"/>
      <c r="K38" s="2437">
        <v>971.78548732305023</v>
      </c>
    </row>
    <row r="40" spans="1:11" s="26" customFormat="1" ht="15.6">
      <c r="A40" s="98"/>
      <c r="J40" s="207"/>
    </row>
    <row r="41" spans="1:11" s="1910" customFormat="1" ht="13.8">
      <c r="A41" s="1669"/>
      <c r="B41" s="1910" t="s">
        <v>1266</v>
      </c>
      <c r="J41" s="3293"/>
    </row>
    <row r="42" spans="1:11" s="1910" customFormat="1" ht="13.8">
      <c r="B42" s="1910" t="s">
        <v>1304</v>
      </c>
      <c r="C42" s="3294" t="s">
        <v>2876</v>
      </c>
    </row>
    <row r="43" spans="1:11">
      <c r="I43" s="2135"/>
    </row>
  </sheetData>
  <mergeCells count="5">
    <mergeCell ref="D23:D24"/>
    <mergeCell ref="B23:B24"/>
    <mergeCell ref="C23:C24"/>
    <mergeCell ref="A23:A24"/>
    <mergeCell ref="C18:C19"/>
  </mergeCells>
  <printOptions horizontalCentered="1"/>
  <pageMargins left="3.937007874015748E-2" right="3.937007874015748E-2" top="0.39370078740157483" bottom="0.11811023622047245" header="0.31496062992125984" footer="3.937007874015748E-2"/>
  <pageSetup paperSize="9" scale="67" orientation="landscape" r:id="rId1"/>
  <rowBreaks count="1" manualBreakCount="1">
    <brk id="41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>
    <tabColor rgb="FF7030A0"/>
  </sheetPr>
  <dimension ref="A1:M38"/>
  <sheetViews>
    <sheetView workbookViewId="0">
      <selection activeCell="A18" sqref="A18:F20"/>
    </sheetView>
  </sheetViews>
  <sheetFormatPr defaultColWidth="9.109375" defaultRowHeight="15"/>
  <cols>
    <col min="1" max="1" width="4.5546875" style="2018" customWidth="1"/>
    <col min="2" max="2" width="76.44140625" style="2018" customWidth="1"/>
    <col min="3" max="3" width="24.109375" style="2018" customWidth="1"/>
    <col min="4" max="4" width="50.44140625" style="2018" customWidth="1"/>
    <col min="5" max="5" width="15.6640625" style="2018" hidden="1" customWidth="1"/>
    <col min="6" max="6" width="19.5546875" style="2018" customWidth="1"/>
    <col min="7" max="7" width="19.5546875" style="2018" hidden="1" customWidth="1"/>
    <col min="8" max="16384" width="9.109375" style="2018"/>
  </cols>
  <sheetData>
    <row r="1" spans="1:13" ht="27.75" customHeight="1">
      <c r="A1" s="2042" t="s">
        <v>2678</v>
      </c>
      <c r="B1" s="2042"/>
      <c r="C1" s="2042"/>
      <c r="D1" s="2042"/>
      <c r="E1" s="2042"/>
      <c r="F1" s="2042"/>
    </row>
    <row r="2" spans="1:13" ht="25.5" customHeight="1">
      <c r="A2" s="2042" t="s">
        <v>2679</v>
      </c>
      <c r="B2" s="2042"/>
      <c r="C2" s="2042"/>
      <c r="D2" s="2042"/>
      <c r="E2" s="2042"/>
      <c r="F2" s="2042"/>
    </row>
    <row r="3" spans="1:13">
      <c r="A3" s="2019"/>
      <c r="B3" s="2019"/>
      <c r="C3" s="2019"/>
      <c r="D3" s="2019"/>
      <c r="E3" s="2019"/>
      <c r="F3" s="2441" t="s">
        <v>238</v>
      </c>
    </row>
    <row r="4" spans="1:13" s="1910" customFormat="1" ht="31.5" customHeight="1">
      <c r="A4" s="2043" t="s">
        <v>616</v>
      </c>
      <c r="B4" s="2044" t="s">
        <v>1162</v>
      </c>
      <c r="C4" s="2044" t="s">
        <v>614</v>
      </c>
      <c r="D4" s="2044" t="s">
        <v>615</v>
      </c>
      <c r="E4" s="2045" t="s">
        <v>1823</v>
      </c>
      <c r="F4" s="2104" t="s">
        <v>2519</v>
      </c>
      <c r="G4" s="2104" t="s">
        <v>2429</v>
      </c>
      <c r="H4" s="2029">
        <v>2014</v>
      </c>
      <c r="I4" s="2030">
        <f>21287.15/172043.17</f>
        <v>0.12373144484608137</v>
      </c>
      <c r="J4" s="2031"/>
      <c r="K4" s="2031"/>
      <c r="L4" s="2027"/>
      <c r="M4" s="2027"/>
    </row>
    <row r="5" spans="1:13" s="1910" customFormat="1" ht="13.8" hidden="1">
      <c r="A5" s="2047" t="s">
        <v>2219</v>
      </c>
      <c r="B5" s="2048"/>
      <c r="C5" s="2048"/>
      <c r="D5" s="2049"/>
      <c r="E5" s="2049"/>
      <c r="F5" s="2049"/>
      <c r="G5" s="2049"/>
      <c r="H5" s="2029" t="s">
        <v>2503</v>
      </c>
      <c r="I5" s="2030">
        <f>'П1.30 -2022г., 1 и 2 п-е'!G9/('2016 тсо НК Энергосб'!B60+'2016 тсо кроме мрск'!B60+'П1.30 -2022г., 1 и 2 п-е'!G9)</f>
        <v>0.94614635412254477</v>
      </c>
      <c r="J5" s="2031"/>
      <c r="K5" s="2031"/>
      <c r="L5" s="2027"/>
      <c r="M5" s="2027"/>
    </row>
    <row r="6" spans="1:13" s="2143" customFormat="1" ht="26.4" hidden="1">
      <c r="A6" s="2138">
        <v>1</v>
      </c>
      <c r="B6" s="2139" t="s">
        <v>2230</v>
      </c>
      <c r="C6" s="2140" t="s">
        <v>2215</v>
      </c>
      <c r="D6" s="2141" t="s">
        <v>2216</v>
      </c>
      <c r="E6" s="2142"/>
      <c r="F6" s="2142">
        <f>44.17697/1.18</f>
        <v>37.438110169491523</v>
      </c>
      <c r="G6" s="2142">
        <f>F6</f>
        <v>37.438110169491523</v>
      </c>
      <c r="K6" s="2144"/>
    </row>
    <row r="7" spans="1:13" s="2143" customFormat="1" ht="52.5" hidden="1" customHeight="1">
      <c r="A7" s="2138">
        <f>A6+1</f>
        <v>2</v>
      </c>
      <c r="B7" s="2139" t="s">
        <v>2217</v>
      </c>
      <c r="C7" s="2145" t="s">
        <v>2218</v>
      </c>
      <c r="D7" s="2141" t="s">
        <v>2220</v>
      </c>
      <c r="E7" s="2142"/>
      <c r="F7" s="2142">
        <f>490/1.18</f>
        <v>415.25423728813564</v>
      </c>
      <c r="G7" s="2142">
        <f>F7</f>
        <v>415.25423728813564</v>
      </c>
      <c r="K7" s="2144"/>
    </row>
    <row r="8" spans="1:13" s="2143" customFormat="1" ht="26.4" hidden="1">
      <c r="A8" s="2138">
        <f>A7+1</f>
        <v>3</v>
      </c>
      <c r="B8" s="2139" t="s">
        <v>2224</v>
      </c>
      <c r="C8" s="2140" t="s">
        <v>2225</v>
      </c>
      <c r="D8" s="2141" t="s">
        <v>2226</v>
      </c>
      <c r="E8" s="2142"/>
      <c r="F8" s="2142">
        <f>96.76/1.18</f>
        <v>82.000000000000014</v>
      </c>
      <c r="G8" s="2142">
        <f>F8</f>
        <v>82.000000000000014</v>
      </c>
      <c r="K8" s="2144"/>
    </row>
    <row r="9" spans="1:13" s="2143" customFormat="1" ht="39.6" hidden="1">
      <c r="A9" s="2138">
        <f>A8+1</f>
        <v>4</v>
      </c>
      <c r="B9" s="2434" t="s">
        <v>2432</v>
      </c>
      <c r="C9" s="2429" t="s">
        <v>2427</v>
      </c>
      <c r="D9" s="2435" t="s">
        <v>2430</v>
      </c>
      <c r="E9" s="2430"/>
      <c r="F9" s="2430">
        <f>1254.23765</f>
        <v>1254.23765</v>
      </c>
      <c r="G9" s="2430">
        <f>F9*$I$5</f>
        <v>1186.6923797507284</v>
      </c>
      <c r="K9" s="2144"/>
    </row>
    <row r="10" spans="1:13" s="2143" customFormat="1" ht="42" hidden="1" customHeight="1">
      <c r="A10" s="2138">
        <f>A9+1</f>
        <v>5</v>
      </c>
      <c r="B10" s="2434" t="s">
        <v>2433</v>
      </c>
      <c r="C10" s="2429" t="s">
        <v>2427</v>
      </c>
      <c r="D10" s="2435" t="s">
        <v>2431</v>
      </c>
      <c r="E10" s="2430"/>
      <c r="F10" s="2430">
        <f>192.59149</f>
        <v>192.59148999999999</v>
      </c>
      <c r="G10" s="2430">
        <f>F10*$I$5</f>
        <v>182.21973609852853</v>
      </c>
      <c r="K10" s="2144"/>
    </row>
    <row r="11" spans="1:13" s="2143" customFormat="1" ht="18" hidden="1" customHeight="1">
      <c r="A11" s="2138"/>
      <c r="B11" s="2139"/>
      <c r="C11" s="2140"/>
      <c r="D11" s="2141"/>
      <c r="E11" s="2142"/>
      <c r="F11" s="2142"/>
      <c r="G11" s="2142"/>
      <c r="K11" s="2144"/>
    </row>
    <row r="12" spans="1:13" s="2143" customFormat="1" ht="18" hidden="1" customHeight="1">
      <c r="A12" s="2138"/>
      <c r="B12" s="2139"/>
      <c r="C12" s="2140"/>
      <c r="D12" s="2141"/>
      <c r="E12" s="2142"/>
      <c r="F12" s="2142"/>
      <c r="G12" s="2142"/>
      <c r="K12" s="2144"/>
    </row>
    <row r="13" spans="1:13" s="1910" customFormat="1" ht="13.8" hidden="1">
      <c r="A13" s="2047" t="s">
        <v>2228</v>
      </c>
      <c r="B13" s="2048"/>
      <c r="C13" s="2048"/>
      <c r="D13" s="2049"/>
      <c r="E13" s="2049"/>
      <c r="F13" s="2049"/>
      <c r="G13" s="2049"/>
      <c r="H13" s="2029" t="s">
        <v>2151</v>
      </c>
      <c r="I13" s="2030">
        <f>'П1.30 -2022г., 1 и 2 п-е'!AG10</f>
        <v>0</v>
      </c>
      <c r="J13" s="2031"/>
      <c r="K13" s="2031"/>
      <c r="L13" s="2027"/>
      <c r="M13" s="2027"/>
    </row>
    <row r="14" spans="1:13" s="1669" customFormat="1" ht="24" customHeight="1">
      <c r="A14" s="2020">
        <v>1</v>
      </c>
      <c r="B14" s="2040" t="s">
        <v>2156</v>
      </c>
      <c r="C14" s="4107" t="s">
        <v>2157</v>
      </c>
      <c r="D14" s="2033" t="s">
        <v>2520</v>
      </c>
      <c r="E14" s="2034"/>
      <c r="F14" s="2034">
        <f>72.8046</f>
        <v>72.804599999999994</v>
      </c>
      <c r="G14" s="2034">
        <f>72.8046</f>
        <v>72.804599999999994</v>
      </c>
      <c r="H14" s="2032"/>
      <c r="I14" s="2032"/>
      <c r="J14" s="2032"/>
      <c r="K14" s="2032"/>
      <c r="L14" s="2028"/>
      <c r="M14" s="2028"/>
    </row>
    <row r="15" spans="1:13" s="2021" customFormat="1" ht="24.75" customHeight="1">
      <c r="A15" s="2020">
        <f>A14+1</f>
        <v>2</v>
      </c>
      <c r="B15" s="2040" t="s">
        <v>2158</v>
      </c>
      <c r="C15" s="4108"/>
      <c r="D15" s="2033" t="s">
        <v>2521</v>
      </c>
      <c r="E15" s="2034"/>
      <c r="F15" s="2034">
        <v>40</v>
      </c>
      <c r="G15" s="2034">
        <v>40</v>
      </c>
      <c r="K15" s="2022"/>
    </row>
    <row r="16" spans="1:13" s="2021" customFormat="1" ht="28.5" customHeight="1">
      <c r="A16" s="2020">
        <f>A15+1</f>
        <v>3</v>
      </c>
      <c r="B16" s="2040" t="s">
        <v>2159</v>
      </c>
      <c r="C16" s="4109"/>
      <c r="D16" s="2033" t="s">
        <v>2522</v>
      </c>
      <c r="E16" s="2034"/>
      <c r="F16" s="2034">
        <v>384.13099999999997</v>
      </c>
      <c r="G16" s="2034">
        <v>384.13099999999997</v>
      </c>
      <c r="I16" s="2023"/>
      <c r="K16" s="2022"/>
    </row>
    <row r="17" spans="1:11" s="2021" customFormat="1" ht="42.75" customHeight="1">
      <c r="A17" s="2020">
        <f>A16+1</f>
        <v>4</v>
      </c>
      <c r="B17" s="2040" t="s">
        <v>2160</v>
      </c>
      <c r="C17" s="2038" t="s">
        <v>2161</v>
      </c>
      <c r="D17" s="2033" t="s">
        <v>2523</v>
      </c>
      <c r="E17" s="2034"/>
      <c r="F17" s="2034">
        <v>152.77305000000001</v>
      </c>
      <c r="G17" s="2034">
        <v>152.77305000000001</v>
      </c>
      <c r="K17" s="2022"/>
    </row>
    <row r="18" spans="1:11" s="2021" customFormat="1" ht="20.25" hidden="1" customHeight="1">
      <c r="A18" s="4144">
        <f>A17+1</f>
        <v>5</v>
      </c>
      <c r="B18" s="4146" t="s">
        <v>2524</v>
      </c>
      <c r="C18" s="4148" t="s">
        <v>2525</v>
      </c>
      <c r="D18" s="4150" t="s">
        <v>2526</v>
      </c>
      <c r="E18" s="2431">
        <f>'РСЭО факт за 2012г.'!E22</f>
        <v>73.745762711864401</v>
      </c>
      <c r="F18" s="2431">
        <f>16+1.7+8.5+1.7+1.7+1.7+1.7</f>
        <v>33</v>
      </c>
      <c r="G18" s="2431">
        <f>F18*$I$5</f>
        <v>31.222829686043976</v>
      </c>
      <c r="K18" s="2022"/>
    </row>
    <row r="19" spans="1:11" s="2021" customFormat="1" ht="19.5" hidden="1" customHeight="1">
      <c r="A19" s="4145"/>
      <c r="B19" s="4147"/>
      <c r="C19" s="4149"/>
      <c r="D19" s="4100"/>
      <c r="E19" s="2432" t="s">
        <v>2163</v>
      </c>
      <c r="F19" s="2432"/>
      <c r="G19" s="2433"/>
      <c r="K19" s="2022"/>
    </row>
    <row r="20" spans="1:11" s="2021" customFormat="1" ht="20.25" hidden="1" customHeight="1">
      <c r="A20" s="2020">
        <f>A18+1</f>
        <v>6</v>
      </c>
      <c r="B20" s="2427" t="s">
        <v>1180</v>
      </c>
      <c r="C20" s="2425"/>
      <c r="D20" s="2428"/>
      <c r="E20" s="2426">
        <f>'РСЭО факт за 2012г.'!E23</f>
        <v>143.80702000000002</v>
      </c>
      <c r="F20" s="2426"/>
      <c r="G20" s="2426">
        <f>F20*$I$5</f>
        <v>0</v>
      </c>
      <c r="J20" s="2023">
        <f>SUM(F19:F20)+F14</f>
        <v>72.804599999999994</v>
      </c>
      <c r="K20" s="2022"/>
    </row>
    <row r="21" spans="1:11" s="2021" customFormat="1" ht="34.5" hidden="1" customHeight="1">
      <c r="A21" s="2020" t="s">
        <v>218</v>
      </c>
      <c r="B21" s="2040" t="s">
        <v>1165</v>
      </c>
      <c r="C21" s="2038"/>
      <c r="D21" s="2035"/>
      <c r="E21" s="2034"/>
      <c r="F21" s="2034"/>
      <c r="G21" s="2034"/>
      <c r="K21" s="2022">
        <f>(71.4+71+40+30)/1.18</f>
        <v>180.00000000000003</v>
      </c>
    </row>
    <row r="22" spans="1:11" s="1901" customFormat="1" ht="28.5" hidden="1" customHeight="1">
      <c r="A22" s="2020" t="s">
        <v>226</v>
      </c>
      <c r="B22" s="2041" t="s">
        <v>2154</v>
      </c>
      <c r="C22" s="2038"/>
      <c r="D22" s="2036"/>
      <c r="E22" s="2037"/>
      <c r="F22" s="2037"/>
      <c r="G22" s="2037"/>
      <c r="K22" s="2024"/>
    </row>
    <row r="23" spans="1:11" s="1669" customFormat="1" ht="39.75" hidden="1" customHeight="1">
      <c r="A23" s="2020">
        <v>6</v>
      </c>
      <c r="B23" s="2040" t="s">
        <v>2528</v>
      </c>
      <c r="C23" s="2038" t="s">
        <v>619</v>
      </c>
      <c r="D23" s="2140" t="s">
        <v>2529</v>
      </c>
      <c r="E23" s="2142">
        <f>(59+70)/1.18</f>
        <v>109.32203389830509</v>
      </c>
      <c r="F23" s="2146">
        <f>(63.72+75.6+40+40)/1.18</f>
        <v>185.86440677966101</v>
      </c>
      <c r="G23" s="2146">
        <f>F23</f>
        <v>185.86440677966101</v>
      </c>
    </row>
    <row r="24" spans="1:11" s="1669" customFormat="1" ht="39" hidden="1" customHeight="1">
      <c r="A24" s="2020">
        <f>A23+1</f>
        <v>7</v>
      </c>
      <c r="B24" s="2040" t="s">
        <v>2155</v>
      </c>
      <c r="C24" s="2039" t="s">
        <v>1188</v>
      </c>
      <c r="D24" s="2033" t="s">
        <v>1995</v>
      </c>
      <c r="E24" s="2034">
        <v>30</v>
      </c>
      <c r="F24" s="2034"/>
      <c r="G24" s="2034">
        <v>30</v>
      </c>
    </row>
    <row r="25" spans="1:11" s="1879" customFormat="1" ht="26.25" customHeight="1">
      <c r="A25" s="2025"/>
      <c r="B25" s="2026" t="s">
        <v>1157</v>
      </c>
      <c r="C25" s="2026"/>
      <c r="D25" s="2026"/>
      <c r="E25" s="2050">
        <f>SUM(E6:E24)</f>
        <v>356.87481661016955</v>
      </c>
      <c r="F25" s="2050">
        <f>F14+F15+F16+F17</f>
        <v>649.70865000000003</v>
      </c>
      <c r="G25" s="2050">
        <f>G14+G15+G16+G17+G18+G23</f>
        <v>866.79588646570505</v>
      </c>
      <c r="K25" s="1879">
        <f>F25/3</f>
        <v>216.56955000000002</v>
      </c>
    </row>
    <row r="26" spans="1:11" s="1879" customFormat="1" ht="12.75" hidden="1" customHeight="1">
      <c r="A26" s="2025"/>
      <c r="B26" s="651" t="s">
        <v>2428</v>
      </c>
      <c r="C26" s="2026"/>
      <c r="D26" s="2026"/>
      <c r="E26" s="2050">
        <f>SUM(E7:E25)</f>
        <v>713.74963322033909</v>
      </c>
      <c r="F26" s="2050">
        <f>SUM(F6:F10)</f>
        <v>1981.5214874576272</v>
      </c>
      <c r="G26" s="2050">
        <f>SUM(G6:G10)</f>
        <v>1903.6044633068841</v>
      </c>
    </row>
    <row r="27" spans="1:11">
      <c r="A27" s="2019" t="s">
        <v>663</v>
      </c>
      <c r="I27" s="1879" t="s">
        <v>2164</v>
      </c>
      <c r="J27" s="1879"/>
    </row>
    <row r="28" spans="1:11">
      <c r="A28" s="2019" t="s">
        <v>2675</v>
      </c>
      <c r="I28" s="1879" t="s">
        <v>2164</v>
      </c>
      <c r="J28" s="1879"/>
    </row>
    <row r="29" spans="1:11" s="2438" customFormat="1" hidden="1">
      <c r="A29" s="2437" t="s">
        <v>2527</v>
      </c>
      <c r="I29" s="2439" t="s">
        <v>2165</v>
      </c>
    </row>
    <row r="30" spans="1:11" s="2438" customFormat="1" hidden="1">
      <c r="A30" s="2437" t="s">
        <v>2450</v>
      </c>
      <c r="I30" s="2440">
        <f>22941.249/170235.739</f>
        <v>0.13476164954998079</v>
      </c>
    </row>
    <row r="31" spans="1:11" s="2438" customFormat="1" hidden="1">
      <c r="A31" s="2437" t="s">
        <v>2451</v>
      </c>
      <c r="I31" s="2440"/>
    </row>
    <row r="32" spans="1:11" s="2438" customFormat="1" hidden="1">
      <c r="A32" s="2437" t="s">
        <v>2452</v>
      </c>
    </row>
    <row r="33" spans="1:10" s="2437" customFormat="1" ht="17.25" hidden="1" customHeight="1">
      <c r="A33" s="2437" t="s">
        <v>2434</v>
      </c>
    </row>
    <row r="35" spans="1:10" s="26" customFormat="1" ht="15.6">
      <c r="A35" s="98"/>
      <c r="J35" s="207"/>
    </row>
    <row r="36" spans="1:10" s="26" customFormat="1" ht="15.6">
      <c r="A36" s="98"/>
      <c r="J36" s="207"/>
    </row>
    <row r="38" spans="1:10">
      <c r="I38" s="2135">
        <f>G25*1.049</f>
        <v>909.26888490252452</v>
      </c>
    </row>
  </sheetData>
  <mergeCells count="5">
    <mergeCell ref="C14:C16"/>
    <mergeCell ref="A18:A19"/>
    <mergeCell ref="B18:B19"/>
    <mergeCell ref="C18:C19"/>
    <mergeCell ref="D18:D19"/>
  </mergeCells>
  <printOptions horizontalCentered="1"/>
  <pageMargins left="3.937007874015748E-2" right="3.937007874015748E-2" top="1.1811023622047245" bottom="0.11811023622047245" header="0.31496062992125984" footer="3.937007874015748E-2"/>
  <pageSetup paperSize="9" scale="75" orientation="landscape" r:id="rId1"/>
  <rowBreaks count="1" manualBreakCount="1">
    <brk id="36" max="1638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>
    <tabColor rgb="FF7030A0"/>
  </sheetPr>
  <dimension ref="A1:M67"/>
  <sheetViews>
    <sheetView workbookViewId="0">
      <pane ySplit="6" topLeftCell="A48" activePane="bottomLeft" state="frozenSplit"/>
      <selection activeCell="B32" sqref="A1:XFD1048576"/>
      <selection pane="bottomLeft" activeCell="B32" sqref="A1:XFD1048576"/>
    </sheetView>
  </sheetViews>
  <sheetFormatPr defaultColWidth="17.6640625" defaultRowHeight="13.2"/>
  <cols>
    <col min="1" max="1" width="5.44140625" style="3192" customWidth="1"/>
    <col min="2" max="2" width="49.44140625" style="3040" customWidth="1"/>
    <col min="3" max="3" width="14.6640625" style="3040" customWidth="1"/>
    <col min="4" max="4" width="13.88671875" style="3040" customWidth="1"/>
    <col min="5" max="5" width="86.109375" style="3040" customWidth="1"/>
    <col min="6" max="6" width="84.109375" style="3040" customWidth="1"/>
    <col min="7" max="16384" width="17.6640625" style="3040"/>
  </cols>
  <sheetData>
    <row r="1" spans="1:12" ht="18" customHeight="1">
      <c r="A1" s="3185" t="s">
        <v>2666</v>
      </c>
      <c r="B1" s="3186"/>
      <c r="C1" s="3186"/>
      <c r="D1" s="3186"/>
      <c r="E1" s="3186"/>
      <c r="F1" s="3187"/>
    </row>
    <row r="2" spans="1:12" ht="18" customHeight="1">
      <c r="A2" s="3185" t="s">
        <v>2632</v>
      </c>
      <c r="B2" s="3185"/>
      <c r="C2" s="3185"/>
      <c r="D2" s="3185"/>
      <c r="E2" s="3185"/>
      <c r="F2" s="3188"/>
    </row>
    <row r="3" spans="1:12" ht="18.75" hidden="1" customHeight="1">
      <c r="A3" s="3189"/>
      <c r="B3" s="3190"/>
      <c r="C3" s="3190"/>
      <c r="D3" s="3190"/>
      <c r="E3" s="3190"/>
      <c r="F3" s="3187"/>
      <c r="G3" s="3191"/>
      <c r="H3" s="3191"/>
      <c r="I3" s="3191"/>
      <c r="J3" s="3191"/>
      <c r="K3" s="3191"/>
      <c r="L3" s="3191"/>
    </row>
    <row r="4" spans="1:12" ht="15.6">
      <c r="B4" s="3193"/>
      <c r="C4" s="3193"/>
      <c r="E4" s="3189" t="s">
        <v>24</v>
      </c>
    </row>
    <row r="5" spans="1:12" s="3196" customFormat="1" ht="63.75" customHeight="1">
      <c r="A5" s="3194" t="s">
        <v>673</v>
      </c>
      <c r="B5" s="3194" t="s">
        <v>732</v>
      </c>
      <c r="C5" s="3194" t="s">
        <v>2650</v>
      </c>
      <c r="D5" s="3194" t="s">
        <v>2639</v>
      </c>
      <c r="E5" s="3194" t="s">
        <v>2633</v>
      </c>
      <c r="F5" s="3195"/>
    </row>
    <row r="6" spans="1:12" s="3198" customFormat="1" ht="16.5" customHeight="1">
      <c r="A6" s="2983">
        <v>1</v>
      </c>
      <c r="B6" s="2983">
        <v>2</v>
      </c>
      <c r="C6" s="2983">
        <v>3</v>
      </c>
      <c r="D6" s="2983">
        <v>4</v>
      </c>
      <c r="E6" s="2983">
        <v>5</v>
      </c>
      <c r="F6" s="3197"/>
    </row>
    <row r="7" spans="1:12" ht="19.5" customHeight="1">
      <c r="A7" s="3194"/>
      <c r="B7" s="3199" t="s">
        <v>1899</v>
      </c>
      <c r="C7" s="2919"/>
      <c r="D7" s="2919"/>
      <c r="E7" s="3200"/>
      <c r="F7" s="3188"/>
    </row>
    <row r="8" spans="1:12" ht="50.25" customHeight="1">
      <c r="A8" s="4151" t="s">
        <v>200</v>
      </c>
      <c r="B8" s="4152" t="s">
        <v>1330</v>
      </c>
      <c r="C8" s="4159">
        <v>63.5</v>
      </c>
      <c r="D8" s="4159">
        <v>61.360438460908846</v>
      </c>
      <c r="E8" s="3201" t="s">
        <v>2642</v>
      </c>
      <c r="F8" s="3187"/>
    </row>
    <row r="9" spans="1:12" ht="17.25" customHeight="1">
      <c r="A9" s="4151"/>
      <c r="B9" s="4152"/>
      <c r="C9" s="4159"/>
      <c r="D9" s="4159"/>
      <c r="E9" s="3201" t="s">
        <v>2643</v>
      </c>
    </row>
    <row r="10" spans="1:12" ht="17.25" customHeight="1">
      <c r="A10" s="4151"/>
      <c r="B10" s="4152"/>
      <c r="C10" s="4159"/>
      <c r="D10" s="4159"/>
      <c r="E10" s="3201" t="s">
        <v>2644</v>
      </c>
    </row>
    <row r="11" spans="1:12" ht="27.75" customHeight="1">
      <c r="A11" s="4151"/>
      <c r="B11" s="4152"/>
      <c r="C11" s="4159"/>
      <c r="D11" s="4159"/>
      <c r="E11" s="3201" t="s">
        <v>2645</v>
      </c>
    </row>
    <row r="12" spans="1:12" ht="18" customHeight="1">
      <c r="A12" s="4151"/>
      <c r="B12" s="4152"/>
      <c r="C12" s="4159"/>
      <c r="D12" s="4159"/>
      <c r="E12" s="3201" t="s">
        <v>2646</v>
      </c>
    </row>
    <row r="13" spans="1:12" ht="25.5" customHeight="1">
      <c r="A13" s="4151"/>
      <c r="B13" s="4152"/>
      <c r="C13" s="4159"/>
      <c r="D13" s="4159"/>
      <c r="E13" s="3201" t="s">
        <v>2688</v>
      </c>
    </row>
    <row r="14" spans="1:12" ht="42" customHeight="1">
      <c r="A14" s="4151"/>
      <c r="B14" s="4152"/>
      <c r="C14" s="4159"/>
      <c r="D14" s="4159"/>
      <c r="E14" s="3201" t="s">
        <v>2641</v>
      </c>
      <c r="F14" s="3202"/>
    </row>
    <row r="15" spans="1:12" ht="28.5" customHeight="1">
      <c r="A15" s="4157" t="s">
        <v>207</v>
      </c>
      <c r="B15" s="4152" t="s">
        <v>1332</v>
      </c>
      <c r="C15" s="4160">
        <v>302.45999999999998</v>
      </c>
      <c r="D15" s="4160">
        <v>292.26894829742503</v>
      </c>
      <c r="E15" s="3201" t="s">
        <v>2673</v>
      </c>
      <c r="F15" s="3203"/>
    </row>
    <row r="16" spans="1:12" ht="79.2">
      <c r="A16" s="4157"/>
      <c r="B16" s="4152"/>
      <c r="C16" s="4160"/>
      <c r="D16" s="4160"/>
      <c r="E16" s="3201" t="s">
        <v>2687</v>
      </c>
      <c r="F16" s="3203"/>
    </row>
    <row r="17" spans="1:6">
      <c r="A17" s="4157"/>
      <c r="B17" s="4152"/>
      <c r="C17" s="4160"/>
      <c r="D17" s="4160"/>
      <c r="E17" s="3204" t="s">
        <v>2681</v>
      </c>
      <c r="F17" s="3203"/>
    </row>
    <row r="18" spans="1:6">
      <c r="A18" s="4157"/>
      <c r="B18" s="4152"/>
      <c r="C18" s="4160"/>
      <c r="D18" s="4160"/>
      <c r="E18" s="3201" t="s">
        <v>2674</v>
      </c>
      <c r="F18" s="3203"/>
    </row>
    <row r="19" spans="1:6" ht="26.4">
      <c r="A19" s="4157"/>
      <c r="B19" s="4152"/>
      <c r="C19" s="4160"/>
      <c r="D19" s="4160"/>
      <c r="E19" s="3201" t="s">
        <v>2676</v>
      </c>
      <c r="F19" s="3203"/>
    </row>
    <row r="20" spans="1:6" ht="26.4">
      <c r="A20" s="4157"/>
      <c r="B20" s="4152"/>
      <c r="C20" s="4160"/>
      <c r="D20" s="4160"/>
      <c r="E20" s="3201" t="s">
        <v>2677</v>
      </c>
      <c r="F20" s="3203"/>
    </row>
    <row r="21" spans="1:6" ht="26.4">
      <c r="A21" s="4157"/>
      <c r="B21" s="4152"/>
      <c r="C21" s="4160"/>
      <c r="D21" s="4160"/>
      <c r="E21" s="3201" t="s">
        <v>2680</v>
      </c>
      <c r="F21" s="3203"/>
    </row>
    <row r="22" spans="1:6" ht="18.75" customHeight="1">
      <c r="A22" s="4157"/>
      <c r="B22" s="4152"/>
      <c r="C22" s="4160"/>
      <c r="D22" s="4160"/>
      <c r="E22" s="3201" t="s">
        <v>2685</v>
      </c>
      <c r="F22" s="3203"/>
    </row>
    <row r="23" spans="1:6" ht="18" hidden="1" customHeight="1">
      <c r="A23" s="4157"/>
      <c r="B23" s="4156"/>
      <c r="C23" s="4160"/>
      <c r="D23" s="4160"/>
      <c r="E23" s="3201" t="s">
        <v>2682</v>
      </c>
      <c r="F23" s="3203"/>
    </row>
    <row r="24" spans="1:6" ht="24" customHeight="1">
      <c r="A24" s="4157"/>
      <c r="B24" s="4156"/>
      <c r="C24" s="4160"/>
      <c r="D24" s="4160"/>
      <c r="E24" s="3201" t="s">
        <v>2684</v>
      </c>
      <c r="F24" s="3203"/>
    </row>
    <row r="25" spans="1:6" ht="28.5" customHeight="1">
      <c r="A25" s="4157"/>
      <c r="B25" s="4156"/>
      <c r="C25" s="4160"/>
      <c r="D25" s="4160"/>
      <c r="E25" s="3201" t="s">
        <v>2683</v>
      </c>
    </row>
    <row r="26" spans="1:6" ht="51" customHeight="1">
      <c r="A26" s="4157" t="s">
        <v>208</v>
      </c>
      <c r="B26" s="4164" t="s">
        <v>748</v>
      </c>
      <c r="C26" s="4158">
        <v>6145.55</v>
      </c>
      <c r="D26" s="4158">
        <v>12877.195773456002</v>
      </c>
      <c r="E26" s="3205" t="s">
        <v>2667</v>
      </c>
      <c r="F26" s="3206"/>
    </row>
    <row r="27" spans="1:6" ht="55.5" customHeight="1">
      <c r="A27" s="4157"/>
      <c r="B27" s="4164" t="s">
        <v>738</v>
      </c>
      <c r="C27" s="4158" t="s">
        <v>425</v>
      </c>
      <c r="D27" s="4158">
        <v>0</v>
      </c>
      <c r="E27" s="3205" t="s">
        <v>2668</v>
      </c>
    </row>
    <row r="28" spans="1:6" ht="12.75" customHeight="1">
      <c r="A28" s="4157"/>
      <c r="B28" s="4164"/>
      <c r="C28" s="4158"/>
      <c r="D28" s="4158"/>
      <c r="E28" s="3207" t="s">
        <v>2669</v>
      </c>
      <c r="F28" s="3206"/>
    </row>
    <row r="29" spans="1:6" ht="12.75" customHeight="1">
      <c r="A29" s="4157"/>
      <c r="B29" s="4164"/>
      <c r="C29" s="4158"/>
      <c r="D29" s="4158"/>
      <c r="E29" s="3208" t="s">
        <v>2670</v>
      </c>
      <c r="F29" s="3206"/>
    </row>
    <row r="30" spans="1:6" ht="26.4">
      <c r="A30" s="4157"/>
      <c r="B30" s="4164"/>
      <c r="C30" s="4158"/>
      <c r="D30" s="4158"/>
      <c r="E30" s="3209" t="s">
        <v>2672</v>
      </c>
      <c r="F30" s="3206"/>
    </row>
    <row r="31" spans="1:6" ht="27" customHeight="1">
      <c r="A31" s="4157"/>
      <c r="B31" s="4164"/>
      <c r="C31" s="4158"/>
      <c r="D31" s="4158"/>
      <c r="E31" s="3209" t="s">
        <v>2671</v>
      </c>
      <c r="F31" s="3206"/>
    </row>
    <row r="32" spans="1:6" ht="19.5" customHeight="1">
      <c r="A32" s="3210" t="s">
        <v>210</v>
      </c>
      <c r="B32" s="3211" t="s">
        <v>1915</v>
      </c>
      <c r="C32" s="3039">
        <v>53.47</v>
      </c>
      <c r="D32" s="3039">
        <v>51.668388102437731</v>
      </c>
      <c r="E32" s="3212"/>
      <c r="F32" s="3213"/>
    </row>
    <row r="33" spans="1:8" ht="12.75" customHeight="1">
      <c r="A33" s="3214"/>
      <c r="B33" s="3215" t="s">
        <v>643</v>
      </c>
      <c r="C33" s="3216"/>
      <c r="D33" s="3216"/>
      <c r="E33" s="3212"/>
      <c r="F33" s="3213"/>
      <c r="G33" s="3217"/>
      <c r="H33" s="3217"/>
    </row>
    <row r="34" spans="1:8" ht="15.6" hidden="1">
      <c r="A34" s="3194" t="s">
        <v>644</v>
      </c>
      <c r="B34" s="3218" t="s">
        <v>174</v>
      </c>
      <c r="C34" s="3219"/>
      <c r="D34" s="3219"/>
      <c r="E34" s="3212"/>
      <c r="G34" s="3217"/>
      <c r="H34" s="3217"/>
    </row>
    <row r="35" spans="1:8" ht="28.2" hidden="1">
      <c r="A35" s="3194" t="s">
        <v>644</v>
      </c>
      <c r="B35" s="3218" t="s">
        <v>1720</v>
      </c>
      <c r="C35" s="3219"/>
      <c r="D35" s="3219"/>
      <c r="E35" s="3212" t="s">
        <v>1721</v>
      </c>
      <c r="G35" s="3217"/>
      <c r="H35" s="3217"/>
    </row>
    <row r="36" spans="1:8" ht="15.6" hidden="1">
      <c r="A36" s="3194" t="s">
        <v>646</v>
      </c>
      <c r="B36" s="3220" t="s">
        <v>883</v>
      </c>
      <c r="C36" s="3216"/>
      <c r="D36" s="3216"/>
      <c r="E36" s="3212"/>
      <c r="G36" s="3217"/>
      <c r="H36" s="3217"/>
    </row>
    <row r="37" spans="1:8" ht="15.6" hidden="1">
      <c r="A37" s="3194" t="s">
        <v>645</v>
      </c>
      <c r="B37" s="3218" t="s">
        <v>1234</v>
      </c>
      <c r="C37" s="3219"/>
      <c r="D37" s="3219"/>
      <c r="E37" s="3208"/>
      <c r="G37" s="3217"/>
      <c r="H37" s="3217"/>
    </row>
    <row r="38" spans="1:8" ht="63" customHeight="1">
      <c r="A38" s="4151" t="s">
        <v>703</v>
      </c>
      <c r="B38" s="4162" t="s">
        <v>1719</v>
      </c>
      <c r="C38" s="4154">
        <v>53.47</v>
      </c>
      <c r="D38" s="4154">
        <v>51.668388102437731</v>
      </c>
      <c r="E38" s="3209" t="s">
        <v>2647</v>
      </c>
      <c r="G38" s="3217"/>
      <c r="H38" s="3217"/>
    </row>
    <row r="39" spans="1:8" ht="27" customHeight="1">
      <c r="A39" s="4151"/>
      <c r="B39" s="4163"/>
      <c r="C39" s="4154"/>
      <c r="D39" s="4154"/>
      <c r="E39" s="3209" t="s">
        <v>2648</v>
      </c>
      <c r="G39" s="3217"/>
      <c r="H39" s="3217"/>
    </row>
    <row r="40" spans="1:8" ht="40.200000000000003">
      <c r="A40" s="3221" t="s">
        <v>212</v>
      </c>
      <c r="B40" s="3222" t="s">
        <v>2634</v>
      </c>
      <c r="C40" s="3223">
        <v>0</v>
      </c>
      <c r="D40" s="3223">
        <v>107</v>
      </c>
      <c r="E40" s="3205" t="s">
        <v>2649</v>
      </c>
      <c r="F40" s="3224"/>
    </row>
    <row r="41" spans="1:8" ht="22.5" customHeight="1">
      <c r="A41" s="3194"/>
      <c r="B41" s="3199" t="s">
        <v>2686</v>
      </c>
      <c r="C41" s="3225">
        <v>6564.9800000000005</v>
      </c>
      <c r="D41" s="3226">
        <v>13389.493548316774</v>
      </c>
      <c r="E41" s="3200"/>
      <c r="F41" s="3188"/>
    </row>
    <row r="42" spans="1:8" ht="27">
      <c r="A42" s="3227" t="s">
        <v>215</v>
      </c>
      <c r="B42" s="3228" t="s">
        <v>2628</v>
      </c>
      <c r="C42" s="3216">
        <v>8497.11</v>
      </c>
      <c r="D42" s="3216">
        <v>9744.8184141090387</v>
      </c>
      <c r="E42" s="3201" t="s">
        <v>2653</v>
      </c>
    </row>
    <row r="43" spans="1:8" ht="27">
      <c r="A43" s="3227" t="s">
        <v>218</v>
      </c>
      <c r="B43" s="3228" t="s">
        <v>2635</v>
      </c>
      <c r="C43" s="3216">
        <v>1948.1393500000001</v>
      </c>
      <c r="D43" s="3216">
        <v>4082.1</v>
      </c>
      <c r="E43" s="3205" t="s">
        <v>2652</v>
      </c>
      <c r="F43" s="3217">
        <v>1948.1393500000001</v>
      </c>
      <c r="G43" s="3217">
        <v>4082.0710601855526</v>
      </c>
      <c r="H43" s="3217">
        <v>1828.5617998307521</v>
      </c>
    </row>
    <row r="44" spans="1:8" ht="65.25" customHeight="1">
      <c r="A44" s="4157" t="s">
        <v>226</v>
      </c>
      <c r="B44" s="4161" t="s">
        <v>751</v>
      </c>
      <c r="C44" s="4158">
        <v>113.98</v>
      </c>
      <c r="D44" s="4158">
        <v>110.98691922805301</v>
      </c>
      <c r="E44" s="3205" t="s">
        <v>2654</v>
      </c>
      <c r="F44" s="3206"/>
    </row>
    <row r="45" spans="1:8" ht="26.4">
      <c r="A45" s="4157"/>
      <c r="B45" s="4161"/>
      <c r="C45" s="4158"/>
      <c r="D45" s="4158"/>
      <c r="E45" s="3205" t="s">
        <v>2656</v>
      </c>
      <c r="F45" s="3206"/>
    </row>
    <row r="46" spans="1:8" ht="26.25" customHeight="1">
      <c r="A46" s="4157"/>
      <c r="B46" s="4161"/>
      <c r="C46" s="4158"/>
      <c r="D46" s="4158"/>
      <c r="E46" s="3205" t="s">
        <v>2655</v>
      </c>
      <c r="F46" s="3224"/>
    </row>
    <row r="47" spans="1:8" ht="52.8">
      <c r="A47" s="4151" t="s">
        <v>551</v>
      </c>
      <c r="B47" s="4152" t="s">
        <v>1380</v>
      </c>
      <c r="C47" s="4154">
        <v>18.100000000000001</v>
      </c>
      <c r="D47" s="4154">
        <v>17.889823885654664</v>
      </c>
      <c r="E47" s="3201" t="s">
        <v>2663</v>
      </c>
    </row>
    <row r="48" spans="1:8" ht="15.75" customHeight="1">
      <c r="A48" s="4155"/>
      <c r="B48" s="4156"/>
      <c r="C48" s="4153"/>
      <c r="D48" s="4153"/>
      <c r="E48" s="3201" t="s">
        <v>2658</v>
      </c>
    </row>
    <row r="49" spans="1:13" ht="26.4">
      <c r="A49" s="4155"/>
      <c r="B49" s="4156"/>
      <c r="C49" s="4153"/>
      <c r="D49" s="4153"/>
      <c r="E49" s="3201" t="s">
        <v>2659</v>
      </c>
    </row>
    <row r="50" spans="1:13" ht="26.4">
      <c r="A50" s="4155"/>
      <c r="B50" s="4156"/>
      <c r="C50" s="4153"/>
      <c r="D50" s="4153"/>
      <c r="E50" s="3201" t="s">
        <v>2660</v>
      </c>
    </row>
    <row r="51" spans="1:13" ht="26.4">
      <c r="A51" s="4155"/>
      <c r="B51" s="4156"/>
      <c r="C51" s="4153"/>
      <c r="D51" s="4153"/>
      <c r="E51" s="3201" t="s">
        <v>2661</v>
      </c>
    </row>
    <row r="52" spans="1:13" ht="26.4">
      <c r="A52" s="4155"/>
      <c r="B52" s="4156"/>
      <c r="C52" s="4153"/>
      <c r="D52" s="4153"/>
      <c r="E52" s="3201" t="s">
        <v>2662</v>
      </c>
    </row>
    <row r="53" spans="1:13">
      <c r="A53" s="4155"/>
      <c r="B53" s="4156"/>
      <c r="C53" s="4153"/>
      <c r="D53" s="4153"/>
      <c r="E53" s="3204" t="s">
        <v>2664</v>
      </c>
    </row>
    <row r="54" spans="1:13" ht="26.4">
      <c r="A54" s="4155"/>
      <c r="B54" s="4156"/>
      <c r="C54" s="4153"/>
      <c r="D54" s="4153"/>
      <c r="E54" s="3201" t="s">
        <v>2665</v>
      </c>
    </row>
    <row r="55" spans="1:13" ht="27" customHeight="1">
      <c r="A55" s="4151" t="s">
        <v>552</v>
      </c>
      <c r="B55" s="4152" t="s">
        <v>1394</v>
      </c>
      <c r="C55" s="4154">
        <v>0</v>
      </c>
      <c r="D55" s="4154">
        <v>26.75</v>
      </c>
      <c r="E55" s="3205" t="s">
        <v>2651</v>
      </c>
    </row>
    <row r="56" spans="1:13" ht="27" customHeight="1">
      <c r="A56" s="4151"/>
      <c r="B56" s="4153"/>
      <c r="C56" s="4154"/>
      <c r="D56" s="4154"/>
      <c r="E56" s="3205" t="s">
        <v>2657</v>
      </c>
    </row>
    <row r="57" spans="1:13" s="3188" customFormat="1" ht="18" customHeight="1">
      <c r="A57" s="3229"/>
      <c r="B57" s="3230" t="s">
        <v>2636</v>
      </c>
      <c r="C57" s="3231">
        <v>10577.32935</v>
      </c>
      <c r="D57" s="3231">
        <v>13982.545157222747</v>
      </c>
      <c r="E57" s="3232"/>
      <c r="F57" s="3233"/>
    </row>
    <row r="58" spans="1:13" s="3188" customFormat="1" ht="63.75" customHeight="1">
      <c r="A58" s="3221" t="s">
        <v>552</v>
      </c>
      <c r="B58" s="3222" t="s">
        <v>2638</v>
      </c>
      <c r="C58" s="3234">
        <v>142.91394</v>
      </c>
      <c r="D58" s="3234">
        <v>184.30392000000001</v>
      </c>
      <c r="E58" s="3235" t="s">
        <v>2640</v>
      </c>
      <c r="F58" s="3233"/>
    </row>
    <row r="59" spans="1:13" s="3188" customFormat="1" ht="15.6">
      <c r="A59" s="3221" t="s">
        <v>550</v>
      </c>
      <c r="B59" s="3222" t="s">
        <v>2611</v>
      </c>
      <c r="C59" s="3234">
        <v>0</v>
      </c>
      <c r="D59" s="2919">
        <v>0</v>
      </c>
      <c r="E59" s="3235"/>
      <c r="F59" s="3233"/>
    </row>
    <row r="60" spans="1:13" ht="29.25" customHeight="1">
      <c r="A60" s="3236"/>
      <c r="B60" s="3237" t="s">
        <v>2637</v>
      </c>
      <c r="C60" s="3238">
        <v>17285.223289999998</v>
      </c>
      <c r="D60" s="3238">
        <v>27556.342625539517</v>
      </c>
      <c r="E60" s="3239"/>
      <c r="F60" s="3240">
        <v>17285.223289999998</v>
      </c>
      <c r="H60" s="3241"/>
    </row>
    <row r="61" spans="1:13" ht="14.25" customHeight="1">
      <c r="A61" s="3242"/>
      <c r="B61" s="3243"/>
      <c r="C61" s="3243"/>
      <c r="D61" s="3243"/>
      <c r="E61" s="3243"/>
      <c r="F61" s="3240">
        <v>9858.9152900000008</v>
      </c>
    </row>
    <row r="62" spans="1:13" ht="14.25" customHeight="1">
      <c r="A62" s="3242"/>
      <c r="B62" s="3243"/>
      <c r="C62" s="3243"/>
      <c r="D62" s="3243"/>
      <c r="E62" s="3243"/>
      <c r="F62" s="3240">
        <v>33640.075558737677</v>
      </c>
    </row>
    <row r="63" spans="1:13" ht="15.6">
      <c r="B63" s="3244"/>
      <c r="C63" s="3192"/>
      <c r="D63" s="2982"/>
      <c r="E63" s="2982"/>
      <c r="M63" s="3245"/>
    </row>
    <row r="64" spans="1:13">
      <c r="A64" s="3246"/>
      <c r="F64" s="3247"/>
    </row>
    <row r="65" spans="1:1">
      <c r="A65" s="3246"/>
    </row>
    <row r="67" spans="1:1">
      <c r="A67" s="3248"/>
    </row>
  </sheetData>
  <mergeCells count="28">
    <mergeCell ref="A15:A25"/>
    <mergeCell ref="C26:C31"/>
    <mergeCell ref="A8:A14"/>
    <mergeCell ref="C8:C14"/>
    <mergeCell ref="C15:C25"/>
    <mergeCell ref="B15:B25"/>
    <mergeCell ref="B8:B14"/>
    <mergeCell ref="B26:B31"/>
    <mergeCell ref="D8:D14"/>
    <mergeCell ref="D15:D25"/>
    <mergeCell ref="B44:B46"/>
    <mergeCell ref="B38:B39"/>
    <mergeCell ref="C38:C39"/>
    <mergeCell ref="D38:D39"/>
    <mergeCell ref="A44:A46"/>
    <mergeCell ref="D26:D31"/>
    <mergeCell ref="D44:D46"/>
    <mergeCell ref="C44:C46"/>
    <mergeCell ref="A26:A31"/>
    <mergeCell ref="A38:A39"/>
    <mergeCell ref="A55:A56"/>
    <mergeCell ref="B55:B56"/>
    <mergeCell ref="C55:C56"/>
    <mergeCell ref="D55:D56"/>
    <mergeCell ref="A47:A54"/>
    <mergeCell ref="B47:B54"/>
    <mergeCell ref="C47:C54"/>
    <mergeCell ref="D47:D54"/>
  </mergeCells>
  <phoneticPr fontId="27" type="noConversion"/>
  <printOptions horizontalCentered="1"/>
  <pageMargins left="0.19685039370078741" right="0.19685039370078741" top="0.78740157480314965" bottom="0.11811023622047245" header="0.51181102362204722" footer="3.937007874015748E-2"/>
  <pageSetup paperSize="9" scale="85" orientation="landscape" r:id="rId1"/>
  <headerFooter alignWithMargins="0">
    <oddFooter>&amp;L____________________________________________
&amp;8&amp;F&amp;A&amp;R&amp;8&amp;P</oddFooter>
  </headerFooter>
  <rowBreaks count="2" manualBreakCount="2">
    <brk id="25" max="4" man="1"/>
    <brk id="46" max="4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>
    <tabColor rgb="FFFFC000"/>
  </sheetPr>
  <dimension ref="A1:K1984"/>
  <sheetViews>
    <sheetView workbookViewId="0">
      <pane ySplit="7" topLeftCell="A41" activePane="bottomLeft" state="frozenSplit"/>
      <selection activeCell="B32" sqref="A1:XFD1048576"/>
      <selection pane="bottomLeft" activeCell="B6" sqref="B6"/>
    </sheetView>
  </sheetViews>
  <sheetFormatPr defaultColWidth="17.6640625" defaultRowHeight="13.2"/>
  <cols>
    <col min="1" max="1" width="5.44140625" style="2006" customWidth="1"/>
    <col min="2" max="2" width="52.109375" style="2006" customWidth="1"/>
    <col min="3" max="3" width="15" style="2006" customWidth="1"/>
    <col min="4" max="4" width="16.44140625" style="2006" customWidth="1"/>
    <col min="5" max="8" width="0" style="2006" hidden="1" customWidth="1"/>
    <col min="9" max="16384" width="17.6640625" style="2006"/>
  </cols>
  <sheetData>
    <row r="1" spans="1:11">
      <c r="D1" s="3473" t="s">
        <v>731</v>
      </c>
      <c r="E1" s="2077"/>
    </row>
    <row r="2" spans="1:11" ht="18" customHeight="1">
      <c r="A2" s="3488" t="s">
        <v>546</v>
      </c>
      <c r="B2" s="3488"/>
      <c r="C2" s="3488"/>
      <c r="D2" s="3488"/>
    </row>
    <row r="3" spans="1:11" ht="18.75" customHeight="1">
      <c r="A3" s="2007" t="s">
        <v>2487</v>
      </c>
      <c r="B3" s="3488"/>
      <c r="C3" s="3488"/>
      <c r="D3" s="3488"/>
      <c r="E3" s="2152"/>
      <c r="F3" s="2152"/>
      <c r="G3" s="2152"/>
      <c r="H3" s="2152"/>
      <c r="I3" s="2152"/>
      <c r="J3" s="2152"/>
      <c r="K3" s="2152"/>
    </row>
    <row r="4" spans="1:11" ht="9.75" customHeight="1">
      <c r="A4" s="2007"/>
      <c r="B4" s="3488"/>
      <c r="C4" s="3488"/>
      <c r="D4" s="3488"/>
      <c r="E4" s="2152"/>
      <c r="F4" s="2152"/>
      <c r="G4" s="2152"/>
      <c r="H4" s="2152"/>
      <c r="I4" s="2152"/>
      <c r="J4" s="2152"/>
      <c r="K4" s="2152"/>
    </row>
    <row r="5" spans="1:11">
      <c r="B5" s="2327"/>
      <c r="C5" s="3384" t="s">
        <v>1401</v>
      </c>
      <c r="D5" s="3473" t="s">
        <v>24</v>
      </c>
      <c r="E5" s="3742">
        <v>87.894136501099325</v>
      </c>
      <c r="F5" s="3742">
        <v>93.167784691165295</v>
      </c>
    </row>
    <row r="6" spans="1:11" s="2346" customFormat="1" ht="29.4" customHeight="1">
      <c r="A6" s="3743" t="s">
        <v>673</v>
      </c>
      <c r="B6" s="3743" t="s">
        <v>732</v>
      </c>
      <c r="C6" s="3743" t="s">
        <v>799</v>
      </c>
      <c r="D6" s="3743" t="s">
        <v>674</v>
      </c>
      <c r="E6" s="3742">
        <v>-557.63447907627119</v>
      </c>
      <c r="F6" s="3742">
        <v>-608.84366446238766</v>
      </c>
    </row>
    <row r="7" spans="1:11" s="2346" customFormat="1" ht="12" customHeight="1">
      <c r="A7" s="3744">
        <v>1</v>
      </c>
      <c r="B7" s="3544">
        <v>2</v>
      </c>
      <c r="C7" s="3544">
        <v>3</v>
      </c>
      <c r="D7" s="3544">
        <v>4</v>
      </c>
    </row>
    <row r="8" spans="1:11" ht="13.5" customHeight="1">
      <c r="A8" s="3566" t="s">
        <v>682</v>
      </c>
      <c r="B8" s="3549" t="s">
        <v>736</v>
      </c>
      <c r="C8" s="3745"/>
      <c r="D8" s="3745"/>
      <c r="E8" s="3746">
        <v>621.13447907627119</v>
      </c>
      <c r="F8" s="3746">
        <v>670.20410292329655</v>
      </c>
    </row>
    <row r="9" spans="1:11" ht="15" customHeight="1">
      <c r="A9" s="3566" t="s">
        <v>684</v>
      </c>
      <c r="B9" s="3549" t="s">
        <v>737</v>
      </c>
      <c r="C9" s="3011">
        <v>63.5</v>
      </c>
      <c r="D9" s="2090">
        <v>61.360438460908846</v>
      </c>
      <c r="E9" s="3747" t="s">
        <v>828</v>
      </c>
      <c r="G9" s="3748">
        <v>0.96630611749462747</v>
      </c>
      <c r="H9" s="2006">
        <v>0.96630611749462747</v>
      </c>
    </row>
    <row r="10" spans="1:11" ht="14.25" customHeight="1">
      <c r="A10" s="3566"/>
      <c r="B10" s="3549" t="s">
        <v>738</v>
      </c>
      <c r="C10" s="2090"/>
      <c r="D10" s="2090"/>
      <c r="G10" s="3748"/>
      <c r="H10" s="3748"/>
    </row>
    <row r="11" spans="1:11" ht="15" customHeight="1">
      <c r="A11" s="3566" t="s">
        <v>685</v>
      </c>
      <c r="B11" s="3549" t="s">
        <v>800</v>
      </c>
      <c r="C11" s="2090">
        <v>302.45999999999998</v>
      </c>
      <c r="D11" s="2090">
        <v>292.26894829742503</v>
      </c>
      <c r="E11" s="3747" t="s">
        <v>1409</v>
      </c>
      <c r="F11" s="3749">
        <v>365.96</v>
      </c>
      <c r="G11" s="3749">
        <v>353.62938675833385</v>
      </c>
    </row>
    <row r="12" spans="1:11" ht="13.5" customHeight="1">
      <c r="A12" s="3566"/>
      <c r="B12" s="3549" t="s">
        <v>739</v>
      </c>
      <c r="C12" s="2908"/>
      <c r="D12" s="2908">
        <v>0</v>
      </c>
      <c r="E12" s="3746">
        <v>324.59583000000003</v>
      </c>
      <c r="F12" s="3746">
        <v>334.84785000000005</v>
      </c>
      <c r="G12" s="3750"/>
      <c r="H12" s="3748"/>
    </row>
    <row r="13" spans="1:11" ht="14.25" customHeight="1">
      <c r="A13" s="3566" t="s">
        <v>686</v>
      </c>
      <c r="B13" s="3549" t="s">
        <v>740</v>
      </c>
      <c r="C13" s="2090"/>
      <c r="D13" s="2090"/>
      <c r="F13" s="3748"/>
      <c r="G13" s="3750"/>
      <c r="H13" s="3748"/>
    </row>
    <row r="14" spans="1:11">
      <c r="A14" s="3566" t="s">
        <v>741</v>
      </c>
      <c r="B14" s="3549" t="s">
        <v>742</v>
      </c>
      <c r="C14" s="2090"/>
      <c r="D14" s="2090"/>
      <c r="E14" s="3748"/>
      <c r="F14" s="3748"/>
      <c r="G14" s="3750"/>
      <c r="H14" s="3748"/>
    </row>
    <row r="15" spans="1:11" ht="27.75" customHeight="1">
      <c r="A15" s="3566" t="s">
        <v>743</v>
      </c>
      <c r="B15" s="3549" t="s">
        <v>744</v>
      </c>
      <c r="C15" s="2090"/>
      <c r="D15" s="2090"/>
      <c r="F15" s="3748"/>
      <c r="G15" s="3750"/>
      <c r="H15" s="3748"/>
    </row>
    <row r="16" spans="1:11" ht="15.75" customHeight="1">
      <c r="A16" s="3566" t="s">
        <v>745</v>
      </c>
      <c r="B16" s="3549" t="s">
        <v>746</v>
      </c>
      <c r="C16" s="2908">
        <v>0</v>
      </c>
      <c r="D16" s="2908">
        <v>0</v>
      </c>
      <c r="E16" s="3748"/>
      <c r="F16" s="3748" t="s">
        <v>666</v>
      </c>
      <c r="G16" s="3750" t="s">
        <v>1200</v>
      </c>
      <c r="H16" s="3748" t="s">
        <v>667</v>
      </c>
    </row>
    <row r="17" spans="1:9" ht="15.75" customHeight="1">
      <c r="A17" s="3566" t="s">
        <v>747</v>
      </c>
      <c r="B17" s="3549" t="s">
        <v>748</v>
      </c>
      <c r="C17" s="2908">
        <v>12393.837504000003</v>
      </c>
      <c r="D17" s="2908">
        <v>12877.195773456002</v>
      </c>
      <c r="E17" s="3748">
        <v>12877.195773456002</v>
      </c>
      <c r="F17" s="3748">
        <v>7951.9980134400002</v>
      </c>
      <c r="G17" s="3748">
        <v>4925.1977600160008</v>
      </c>
      <c r="H17" s="3748">
        <v>0</v>
      </c>
      <c r="I17" s="3418">
        <v>12687.571452844804</v>
      </c>
    </row>
    <row r="18" spans="1:9" ht="14.25" customHeight="1">
      <c r="A18" s="3566"/>
      <c r="B18" s="3549" t="s">
        <v>738</v>
      </c>
      <c r="C18" s="2090" t="s">
        <v>425</v>
      </c>
      <c r="D18" s="2090"/>
    </row>
    <row r="19" spans="1:9" ht="25.5" customHeight="1">
      <c r="A19" s="3566" t="s">
        <v>749</v>
      </c>
      <c r="B19" s="3549" t="s">
        <v>2554</v>
      </c>
      <c r="C19" s="2090">
        <v>3928.8464887680011</v>
      </c>
      <c r="D19" s="2090">
        <v>4082.0710601855526</v>
      </c>
      <c r="E19" s="3751">
        <v>0.317</v>
      </c>
      <c r="F19" s="3751">
        <v>0.317</v>
      </c>
    </row>
    <row r="20" spans="1:9" ht="15.75" customHeight="1">
      <c r="A20" s="3566"/>
      <c r="B20" s="3549" t="s">
        <v>738</v>
      </c>
      <c r="C20" s="2090"/>
      <c r="D20" s="2090"/>
      <c r="E20" s="3748" t="s">
        <v>1221</v>
      </c>
    </row>
    <row r="21" spans="1:9" ht="15" customHeight="1">
      <c r="A21" s="3566" t="s">
        <v>750</v>
      </c>
      <c r="B21" s="3549" t="s">
        <v>751</v>
      </c>
      <c r="C21" s="2090">
        <v>134.62179867372532</v>
      </c>
      <c r="D21" s="2090">
        <v>110.98691922805301</v>
      </c>
      <c r="E21" s="3748">
        <v>110.98691922805301</v>
      </c>
      <c r="F21" s="3748">
        <v>110.98691922805301</v>
      </c>
      <c r="G21" s="3748">
        <v>0</v>
      </c>
      <c r="H21" s="3748">
        <v>0</v>
      </c>
    </row>
    <row r="22" spans="1:9" ht="15" customHeight="1">
      <c r="A22" s="3566" t="s">
        <v>752</v>
      </c>
      <c r="B22" s="3549" t="s">
        <v>753</v>
      </c>
      <c r="C22" s="2090">
        <v>8550.5807935753182</v>
      </c>
      <c r="D22" s="2090">
        <v>15300.870672211473</v>
      </c>
      <c r="E22" s="2006">
        <v>53.47</v>
      </c>
      <c r="F22" s="2006">
        <v>51.668388102437731</v>
      </c>
    </row>
    <row r="23" spans="1:9" ht="15.75" customHeight="1">
      <c r="A23" s="3566" t="s">
        <v>754</v>
      </c>
      <c r="B23" s="3549" t="s">
        <v>755</v>
      </c>
      <c r="C23" s="2090"/>
      <c r="D23" s="2090"/>
    </row>
    <row r="24" spans="1:9" ht="14.25" customHeight="1">
      <c r="A24" s="3566" t="s">
        <v>756</v>
      </c>
      <c r="B24" s="3549" t="s">
        <v>652</v>
      </c>
      <c r="C24" s="2162">
        <v>0</v>
      </c>
      <c r="D24" s="2162">
        <v>0</v>
      </c>
    </row>
    <row r="25" spans="1:9" ht="26.4">
      <c r="A25" s="2878" t="s">
        <v>757</v>
      </c>
      <c r="B25" s="3752" t="s">
        <v>889</v>
      </c>
      <c r="C25" s="2162">
        <v>0</v>
      </c>
      <c r="D25" s="2162">
        <v>0</v>
      </c>
    </row>
    <row r="26" spans="1:9" ht="82.8" customHeight="1">
      <c r="A26" s="2878" t="s">
        <v>758</v>
      </c>
      <c r="B26" s="2878" t="s">
        <v>801</v>
      </c>
      <c r="C26" s="2879">
        <v>8497.1107935753171</v>
      </c>
      <c r="D26" s="2879">
        <v>9744.8184141090387</v>
      </c>
    </row>
    <row r="27" spans="1:9" ht="18" customHeight="1">
      <c r="A27" s="3566" t="s">
        <v>759</v>
      </c>
      <c r="B27" s="3549" t="s">
        <v>760</v>
      </c>
      <c r="C27" s="2090"/>
      <c r="D27" s="2090"/>
    </row>
    <row r="28" spans="1:9" ht="14.25" customHeight="1">
      <c r="A28" s="3566" t="s">
        <v>761</v>
      </c>
      <c r="B28" s="3549" t="s">
        <v>762</v>
      </c>
      <c r="C28" s="2090"/>
      <c r="D28" s="2090"/>
    </row>
    <row r="29" spans="1:9" ht="26.25" customHeight="1">
      <c r="A29" s="3566" t="s">
        <v>763</v>
      </c>
      <c r="B29" s="3549" t="s">
        <v>172</v>
      </c>
      <c r="C29" s="2908">
        <v>0</v>
      </c>
      <c r="D29" s="2908">
        <v>0</v>
      </c>
      <c r="E29" s="2006" t="s">
        <v>173</v>
      </c>
    </row>
    <row r="30" spans="1:9" ht="14.25" customHeight="1">
      <c r="A30" s="3566" t="s">
        <v>764</v>
      </c>
      <c r="B30" s="3549" t="s">
        <v>765</v>
      </c>
      <c r="C30" s="2908">
        <v>0</v>
      </c>
      <c r="D30" s="2908">
        <v>0</v>
      </c>
    </row>
    <row r="31" spans="1:9" ht="16.5" customHeight="1">
      <c r="A31" s="3566" t="s">
        <v>766</v>
      </c>
      <c r="B31" s="3549" t="s">
        <v>767</v>
      </c>
      <c r="C31" s="2090"/>
      <c r="D31" s="2090"/>
      <c r="F31" s="3748" t="s">
        <v>1709</v>
      </c>
    </row>
    <row r="32" spans="1:9" ht="26.4">
      <c r="A32" s="3566" t="s">
        <v>768</v>
      </c>
      <c r="B32" s="3549" t="s">
        <v>834</v>
      </c>
      <c r="C32" s="2090">
        <v>53.470000000001164</v>
      </c>
      <c r="D32" s="2090">
        <v>5556.0522581024343</v>
      </c>
      <c r="E32" s="3748">
        <v>51.668388102437731</v>
      </c>
      <c r="F32" s="3748" t="s">
        <v>888</v>
      </c>
      <c r="G32" s="2076">
        <v>5504.3838699999969</v>
      </c>
    </row>
    <row r="33" spans="1:7">
      <c r="A33" s="3566"/>
      <c r="B33" s="3549" t="s">
        <v>769</v>
      </c>
      <c r="C33" s="2090"/>
      <c r="D33" s="2090"/>
      <c r="E33" s="2076">
        <v>82.3</v>
      </c>
      <c r="F33" s="2077" t="s">
        <v>1712</v>
      </c>
    </row>
    <row r="34" spans="1:7" ht="14.25" customHeight="1">
      <c r="A34" s="3566" t="s">
        <v>770</v>
      </c>
      <c r="B34" s="3549" t="s">
        <v>771</v>
      </c>
      <c r="C34" s="2090"/>
      <c r="D34" s="2090"/>
    </row>
    <row r="35" spans="1:7" ht="15" customHeight="1">
      <c r="A35" s="3566" t="s">
        <v>772</v>
      </c>
      <c r="B35" s="3549" t="s">
        <v>773</v>
      </c>
      <c r="C35" s="2090">
        <v>25373.846585017047</v>
      </c>
      <c r="D35" s="2090">
        <v>32724.753811839415</v>
      </c>
      <c r="E35" s="3383"/>
    </row>
    <row r="36" spans="1:7" ht="12.75" customHeight="1">
      <c r="A36" s="3566"/>
      <c r="B36" s="3549" t="s">
        <v>738</v>
      </c>
      <c r="C36" s="2090"/>
      <c r="D36" s="2090"/>
    </row>
    <row r="37" spans="1:7" ht="14.25" customHeight="1">
      <c r="A37" s="3566" t="s">
        <v>774</v>
      </c>
      <c r="B37" s="3549" t="s">
        <v>775</v>
      </c>
      <c r="C37" s="2908">
        <v>0</v>
      </c>
      <c r="D37" s="2090">
        <v>5504.48387</v>
      </c>
    </row>
    <row r="38" spans="1:7" ht="27.75" customHeight="1">
      <c r="A38" s="2878" t="s">
        <v>776</v>
      </c>
      <c r="B38" s="3753" t="s">
        <v>777</v>
      </c>
      <c r="C38" s="3754"/>
      <c r="D38" s="3754"/>
    </row>
    <row r="39" spans="1:7" ht="26.25" customHeight="1">
      <c r="A39" s="3566" t="s">
        <v>778</v>
      </c>
      <c r="B39" s="3549" t="s">
        <v>779</v>
      </c>
      <c r="C39" s="3755">
        <v>25373.846585017047</v>
      </c>
      <c r="D39" s="3755">
        <v>32724.753811839415</v>
      </c>
      <c r="E39" s="3749">
        <v>25373.846585017047</v>
      </c>
      <c r="F39" s="3749">
        <v>32724.753811839415</v>
      </c>
      <c r="G39" s="3670">
        <v>0.28970409363013139</v>
      </c>
    </row>
    <row r="40" spans="1:7" ht="15" customHeight="1">
      <c r="A40" s="3566"/>
      <c r="B40" s="3549" t="s">
        <v>780</v>
      </c>
      <c r="C40" s="2090"/>
      <c r="D40" s="2090"/>
    </row>
    <row r="41" spans="1:7" ht="15.75" customHeight="1">
      <c r="A41" s="3566" t="s">
        <v>781</v>
      </c>
      <c r="B41" s="3549" t="s">
        <v>782</v>
      </c>
      <c r="C41" s="2090"/>
      <c r="D41" s="2090"/>
      <c r="E41" s="3389">
        <v>6930.6700345141326</v>
      </c>
      <c r="F41" s="3389">
        <v>7404.8586348971294</v>
      </c>
    </row>
    <row r="42" spans="1:7" ht="15" customHeight="1">
      <c r="A42" s="2878" t="s">
        <v>783</v>
      </c>
      <c r="B42" s="3753" t="s">
        <v>784</v>
      </c>
      <c r="C42" s="3754"/>
      <c r="D42" s="3754"/>
    </row>
    <row r="43" spans="1:7" ht="15" customHeight="1">
      <c r="A43" s="3566" t="s">
        <v>785</v>
      </c>
      <c r="B43" s="3549" t="s">
        <v>786</v>
      </c>
      <c r="C43" s="2090"/>
      <c r="D43" s="2090"/>
    </row>
    <row r="44" spans="1:7" ht="15" customHeight="1">
      <c r="A44" s="3566" t="s">
        <v>787</v>
      </c>
      <c r="B44" s="3549" t="s">
        <v>788</v>
      </c>
      <c r="C44" s="2090">
        <v>25373.846585017047</v>
      </c>
      <c r="D44" s="2090">
        <v>32724.753811839415</v>
      </c>
    </row>
    <row r="45" spans="1:7" ht="15" customHeight="1">
      <c r="A45" s="3566" t="s">
        <v>789</v>
      </c>
      <c r="B45" s="3549" t="s">
        <v>790</v>
      </c>
      <c r="C45" s="2090"/>
      <c r="D45" s="2090"/>
    </row>
    <row r="46" spans="1:7" ht="15.75" customHeight="1">
      <c r="A46" s="3566" t="s">
        <v>791</v>
      </c>
      <c r="B46" s="3549" t="s">
        <v>792</v>
      </c>
      <c r="C46" s="2090"/>
      <c r="D46" s="2090"/>
    </row>
    <row r="47" spans="1:7" ht="17.25" customHeight="1">
      <c r="A47" s="3566" t="s">
        <v>793</v>
      </c>
      <c r="B47" s="3549" t="s">
        <v>794</v>
      </c>
      <c r="C47" s="2090"/>
      <c r="D47" s="2090"/>
    </row>
    <row r="48" spans="1:7" ht="12.75" customHeight="1">
      <c r="A48" s="3566" t="s">
        <v>795</v>
      </c>
      <c r="B48" s="3549" t="s">
        <v>796</v>
      </c>
      <c r="C48" s="2090"/>
      <c r="D48" s="2090"/>
    </row>
    <row r="49" spans="1:8" ht="14.25" customHeight="1">
      <c r="A49" s="3566" t="s">
        <v>797</v>
      </c>
      <c r="B49" s="3549" t="s">
        <v>798</v>
      </c>
      <c r="C49" s="2090"/>
      <c r="D49" s="2090"/>
    </row>
    <row r="50" spans="1:8" ht="22.8" customHeight="1">
      <c r="A50" s="3756"/>
      <c r="B50" s="3756"/>
      <c r="C50" s="3757"/>
      <c r="D50" s="3757"/>
    </row>
    <row r="51" spans="1:8" s="2171" customFormat="1" ht="23.25" customHeight="1">
      <c r="A51" s="3404" t="s">
        <v>1266</v>
      </c>
      <c r="B51" s="3404"/>
      <c r="C51" s="3405"/>
      <c r="H51" s="3406"/>
    </row>
    <row r="52" spans="1:8" s="2171" customFormat="1" ht="15" customHeight="1">
      <c r="A52" s="3404" t="s">
        <v>1304</v>
      </c>
      <c r="B52" s="3407"/>
      <c r="C52" s="3405"/>
      <c r="D52" s="3408" t="s">
        <v>2876</v>
      </c>
      <c r="F52" s="3466"/>
    </row>
    <row r="53" spans="1:8" ht="15.6">
      <c r="A53" s="3486"/>
      <c r="B53" s="3486"/>
      <c r="E53" s="3487"/>
    </row>
    <row r="54" spans="1:8" s="2009" customFormat="1">
      <c r="A54" s="3410"/>
    </row>
    <row r="55" spans="1:8">
      <c r="A55" s="3410"/>
      <c r="C55" s="2009"/>
      <c r="D55" s="2009"/>
    </row>
    <row r="56" spans="1:8">
      <c r="C56" s="2009"/>
      <c r="D56" s="2009"/>
    </row>
    <row r="57" spans="1:8">
      <c r="C57" s="2009"/>
      <c r="D57" s="2009"/>
    </row>
    <row r="58" spans="1:8">
      <c r="C58" s="2009"/>
      <c r="D58" s="2009"/>
    </row>
    <row r="59" spans="1:8">
      <c r="C59" s="2009"/>
      <c r="D59" s="2009"/>
    </row>
    <row r="60" spans="1:8">
      <c r="C60" s="2009"/>
      <c r="D60" s="2009"/>
    </row>
    <row r="61" spans="1:8">
      <c r="C61" s="2009"/>
      <c r="D61" s="2009"/>
    </row>
    <row r="62" spans="1:8">
      <c r="C62" s="2009"/>
      <c r="D62" s="2009"/>
    </row>
    <row r="63" spans="1:8">
      <c r="C63" s="2009"/>
      <c r="D63" s="2009"/>
    </row>
    <row r="64" spans="1:8">
      <c r="C64" s="2009"/>
      <c r="D64" s="2009"/>
    </row>
    <row r="65" spans="3:4">
      <c r="C65" s="2009"/>
      <c r="D65" s="2009"/>
    </row>
    <row r="66" spans="3:4">
      <c r="C66" s="2009"/>
      <c r="D66" s="2009"/>
    </row>
    <row r="67" spans="3:4">
      <c r="C67" s="2009"/>
      <c r="D67" s="2009"/>
    </row>
    <row r="68" spans="3:4">
      <c r="C68" s="2009"/>
      <c r="D68" s="2009"/>
    </row>
    <row r="69" spans="3:4">
      <c r="C69" s="2009"/>
      <c r="D69" s="2009"/>
    </row>
    <row r="70" spans="3:4">
      <c r="C70" s="2009"/>
      <c r="D70" s="2009"/>
    </row>
    <row r="71" spans="3:4">
      <c r="C71" s="2009"/>
      <c r="D71" s="2009"/>
    </row>
    <row r="72" spans="3:4">
      <c r="C72" s="2009"/>
      <c r="D72" s="2009"/>
    </row>
    <row r="73" spans="3:4">
      <c r="C73" s="2009"/>
      <c r="D73" s="2009"/>
    </row>
    <row r="74" spans="3:4">
      <c r="C74" s="2009"/>
      <c r="D74" s="2009"/>
    </row>
    <row r="75" spans="3:4">
      <c r="C75" s="2009"/>
      <c r="D75" s="2009"/>
    </row>
    <row r="76" spans="3:4">
      <c r="C76" s="2009"/>
      <c r="D76" s="2009"/>
    </row>
    <row r="77" spans="3:4">
      <c r="C77" s="2009"/>
      <c r="D77" s="2009"/>
    </row>
    <row r="78" spans="3:4">
      <c r="C78" s="2009"/>
      <c r="D78" s="2009"/>
    </row>
    <row r="79" spans="3:4">
      <c r="C79" s="2009"/>
      <c r="D79" s="2009"/>
    </row>
    <row r="80" spans="3:4">
      <c r="C80" s="2009"/>
      <c r="D80" s="2009"/>
    </row>
    <row r="81" spans="3:4">
      <c r="C81" s="2009"/>
      <c r="D81" s="2009"/>
    </row>
    <row r="82" spans="3:4">
      <c r="C82" s="2009"/>
      <c r="D82" s="2009"/>
    </row>
    <row r="83" spans="3:4">
      <c r="C83" s="2009"/>
      <c r="D83" s="2009"/>
    </row>
    <row r="84" spans="3:4">
      <c r="C84" s="2009"/>
      <c r="D84" s="2009"/>
    </row>
    <row r="85" spans="3:4">
      <c r="C85" s="2009"/>
      <c r="D85" s="2009"/>
    </row>
    <row r="86" spans="3:4">
      <c r="C86" s="2009"/>
      <c r="D86" s="2009"/>
    </row>
    <row r="87" spans="3:4">
      <c r="C87" s="2009"/>
      <c r="D87" s="2009"/>
    </row>
    <row r="88" spans="3:4">
      <c r="C88" s="2009"/>
      <c r="D88" s="2009"/>
    </row>
    <row r="89" spans="3:4">
      <c r="C89" s="2009"/>
      <c r="D89" s="2009"/>
    </row>
    <row r="90" spans="3:4">
      <c r="C90" s="2009"/>
      <c r="D90" s="2009"/>
    </row>
    <row r="91" spans="3:4">
      <c r="C91" s="2009"/>
      <c r="D91" s="2009"/>
    </row>
    <row r="92" spans="3:4">
      <c r="C92" s="2009"/>
      <c r="D92" s="2009"/>
    </row>
    <row r="93" spans="3:4">
      <c r="C93" s="2009"/>
      <c r="D93" s="2009"/>
    </row>
    <row r="94" spans="3:4">
      <c r="C94" s="2009"/>
      <c r="D94" s="2009"/>
    </row>
    <row r="95" spans="3:4">
      <c r="C95" s="2009"/>
      <c r="D95" s="2009"/>
    </row>
    <row r="96" spans="3:4">
      <c r="C96" s="2009"/>
      <c r="D96" s="2009"/>
    </row>
    <row r="97" spans="3:4">
      <c r="C97" s="2009"/>
      <c r="D97" s="2009"/>
    </row>
    <row r="98" spans="3:4">
      <c r="C98" s="2009"/>
      <c r="D98" s="2009"/>
    </row>
    <row r="99" spans="3:4">
      <c r="C99" s="2009"/>
      <c r="D99" s="2009"/>
    </row>
    <row r="100" spans="3:4">
      <c r="C100" s="2009"/>
      <c r="D100" s="2009"/>
    </row>
    <row r="101" spans="3:4">
      <c r="C101" s="2009"/>
      <c r="D101" s="2009"/>
    </row>
    <row r="102" spans="3:4">
      <c r="C102" s="2009"/>
      <c r="D102" s="2009"/>
    </row>
    <row r="103" spans="3:4">
      <c r="C103" s="2009"/>
      <c r="D103" s="2009"/>
    </row>
    <row r="104" spans="3:4">
      <c r="C104" s="2009"/>
      <c r="D104" s="2009"/>
    </row>
    <row r="105" spans="3:4">
      <c r="C105" s="2009"/>
      <c r="D105" s="2009"/>
    </row>
    <row r="106" spans="3:4">
      <c r="C106" s="2009"/>
      <c r="D106" s="2009"/>
    </row>
    <row r="107" spans="3:4">
      <c r="C107" s="2009"/>
      <c r="D107" s="2009"/>
    </row>
    <row r="108" spans="3:4">
      <c r="C108" s="2009"/>
      <c r="D108" s="2009"/>
    </row>
    <row r="109" spans="3:4">
      <c r="C109" s="2009"/>
      <c r="D109" s="2009"/>
    </row>
    <row r="110" spans="3:4">
      <c r="C110" s="2009"/>
      <c r="D110" s="2009"/>
    </row>
    <row r="111" spans="3:4">
      <c r="C111" s="2009"/>
      <c r="D111" s="2009"/>
    </row>
    <row r="112" spans="3:4">
      <c r="C112" s="2009"/>
      <c r="D112" s="2009"/>
    </row>
    <row r="113" spans="3:4">
      <c r="C113" s="2009"/>
      <c r="D113" s="2009"/>
    </row>
    <row r="114" spans="3:4">
      <c r="C114" s="2009"/>
      <c r="D114" s="2009"/>
    </row>
    <row r="115" spans="3:4">
      <c r="C115" s="2009"/>
      <c r="D115" s="2009"/>
    </row>
    <row r="116" spans="3:4">
      <c r="C116" s="2009"/>
      <c r="D116" s="2009"/>
    </row>
    <row r="117" spans="3:4">
      <c r="C117" s="2009"/>
      <c r="D117" s="2009"/>
    </row>
    <row r="118" spans="3:4">
      <c r="C118" s="2009"/>
      <c r="D118" s="2009"/>
    </row>
    <row r="119" spans="3:4">
      <c r="C119" s="2009"/>
      <c r="D119" s="2009"/>
    </row>
    <row r="120" spans="3:4">
      <c r="C120" s="2009"/>
      <c r="D120" s="2009"/>
    </row>
    <row r="121" spans="3:4">
      <c r="C121" s="2009"/>
      <c r="D121" s="2009"/>
    </row>
    <row r="122" spans="3:4">
      <c r="C122" s="2009"/>
      <c r="D122" s="2009"/>
    </row>
    <row r="123" spans="3:4">
      <c r="C123" s="2009"/>
      <c r="D123" s="2009"/>
    </row>
    <row r="124" spans="3:4">
      <c r="C124" s="2009"/>
      <c r="D124" s="2009"/>
    </row>
    <row r="125" spans="3:4">
      <c r="C125" s="2009"/>
      <c r="D125" s="2009"/>
    </row>
    <row r="126" spans="3:4">
      <c r="C126" s="2009"/>
      <c r="D126" s="2009"/>
    </row>
    <row r="127" spans="3:4">
      <c r="C127" s="2009"/>
      <c r="D127" s="2009"/>
    </row>
    <row r="128" spans="3:4">
      <c r="C128" s="2009"/>
      <c r="D128" s="2009"/>
    </row>
    <row r="129" spans="3:4">
      <c r="C129" s="2009"/>
      <c r="D129" s="2009"/>
    </row>
    <row r="130" spans="3:4">
      <c r="C130" s="2009"/>
      <c r="D130" s="2009"/>
    </row>
    <row r="131" spans="3:4">
      <c r="C131" s="2009"/>
      <c r="D131" s="2009"/>
    </row>
    <row r="132" spans="3:4">
      <c r="C132" s="2009"/>
      <c r="D132" s="2009"/>
    </row>
    <row r="133" spans="3:4">
      <c r="C133" s="2009"/>
      <c r="D133" s="2009"/>
    </row>
    <row r="134" spans="3:4">
      <c r="C134" s="2009"/>
      <c r="D134" s="2009"/>
    </row>
    <row r="135" spans="3:4">
      <c r="C135" s="2009"/>
      <c r="D135" s="2009"/>
    </row>
    <row r="136" spans="3:4">
      <c r="C136" s="2009"/>
      <c r="D136" s="2009"/>
    </row>
    <row r="137" spans="3:4">
      <c r="C137" s="2009"/>
      <c r="D137" s="2009"/>
    </row>
    <row r="138" spans="3:4">
      <c r="C138" s="2009"/>
      <c r="D138" s="2009"/>
    </row>
    <row r="139" spans="3:4">
      <c r="C139" s="2009"/>
      <c r="D139" s="2009"/>
    </row>
    <row r="140" spans="3:4">
      <c r="C140" s="2009"/>
      <c r="D140" s="2009"/>
    </row>
    <row r="141" spans="3:4">
      <c r="C141" s="2009"/>
      <c r="D141" s="2009"/>
    </row>
    <row r="142" spans="3:4">
      <c r="C142" s="2009"/>
      <c r="D142" s="2009"/>
    </row>
    <row r="143" spans="3:4">
      <c r="C143" s="2009"/>
      <c r="D143" s="2009"/>
    </row>
    <row r="144" spans="3:4">
      <c r="C144" s="2009"/>
      <c r="D144" s="2009"/>
    </row>
    <row r="145" spans="3:4">
      <c r="C145" s="2009"/>
      <c r="D145" s="2009"/>
    </row>
    <row r="146" spans="3:4">
      <c r="C146" s="2009"/>
      <c r="D146" s="2009"/>
    </row>
    <row r="147" spans="3:4">
      <c r="C147" s="2009"/>
      <c r="D147" s="2009"/>
    </row>
    <row r="148" spans="3:4">
      <c r="C148" s="2009"/>
      <c r="D148" s="2009"/>
    </row>
    <row r="149" spans="3:4">
      <c r="C149" s="2009"/>
      <c r="D149" s="2009"/>
    </row>
    <row r="150" spans="3:4">
      <c r="C150" s="2009"/>
      <c r="D150" s="2009"/>
    </row>
    <row r="151" spans="3:4">
      <c r="C151" s="2009"/>
      <c r="D151" s="2009"/>
    </row>
    <row r="152" spans="3:4">
      <c r="C152" s="2009"/>
      <c r="D152" s="2009"/>
    </row>
    <row r="153" spans="3:4">
      <c r="C153" s="2009"/>
      <c r="D153" s="2009"/>
    </row>
    <row r="154" spans="3:4">
      <c r="C154" s="2009"/>
      <c r="D154" s="2009"/>
    </row>
    <row r="155" spans="3:4">
      <c r="C155" s="2009"/>
      <c r="D155" s="2009"/>
    </row>
    <row r="156" spans="3:4">
      <c r="C156" s="2009"/>
      <c r="D156" s="2009"/>
    </row>
    <row r="157" spans="3:4">
      <c r="C157" s="2009"/>
      <c r="D157" s="2009"/>
    </row>
    <row r="158" spans="3:4">
      <c r="C158" s="2009"/>
      <c r="D158" s="2009"/>
    </row>
    <row r="159" spans="3:4">
      <c r="C159" s="2009"/>
      <c r="D159" s="2009"/>
    </row>
    <row r="160" spans="3:4">
      <c r="C160" s="2009"/>
      <c r="D160" s="2009"/>
    </row>
    <row r="161" spans="3:4">
      <c r="C161" s="2009"/>
      <c r="D161" s="2009"/>
    </row>
    <row r="162" spans="3:4">
      <c r="C162" s="2009"/>
      <c r="D162" s="2009"/>
    </row>
    <row r="163" spans="3:4">
      <c r="C163" s="2009"/>
      <c r="D163" s="2009"/>
    </row>
    <row r="164" spans="3:4">
      <c r="C164" s="2009"/>
      <c r="D164" s="2009"/>
    </row>
    <row r="165" spans="3:4">
      <c r="C165" s="2009"/>
      <c r="D165" s="2009"/>
    </row>
    <row r="166" spans="3:4">
      <c r="C166" s="2009"/>
      <c r="D166" s="2009"/>
    </row>
    <row r="167" spans="3:4">
      <c r="C167" s="2009"/>
      <c r="D167" s="2009"/>
    </row>
    <row r="168" spans="3:4">
      <c r="C168" s="2009"/>
      <c r="D168" s="2009"/>
    </row>
    <row r="169" spans="3:4">
      <c r="C169" s="2009"/>
      <c r="D169" s="2009"/>
    </row>
    <row r="170" spans="3:4">
      <c r="C170" s="2009"/>
      <c r="D170" s="2009"/>
    </row>
    <row r="171" spans="3:4">
      <c r="C171" s="2009"/>
      <c r="D171" s="2009"/>
    </row>
    <row r="172" spans="3:4">
      <c r="C172" s="2009"/>
      <c r="D172" s="2009"/>
    </row>
    <row r="173" spans="3:4">
      <c r="C173" s="2009"/>
      <c r="D173" s="2009"/>
    </row>
    <row r="174" spans="3:4">
      <c r="C174" s="2009"/>
      <c r="D174" s="2009"/>
    </row>
    <row r="175" spans="3:4">
      <c r="C175" s="2009"/>
      <c r="D175" s="2009"/>
    </row>
    <row r="176" spans="3:4">
      <c r="C176" s="2009"/>
      <c r="D176" s="2009"/>
    </row>
    <row r="177" spans="3:4">
      <c r="C177" s="2009"/>
      <c r="D177" s="2009"/>
    </row>
    <row r="178" spans="3:4">
      <c r="C178" s="2009"/>
      <c r="D178" s="2009"/>
    </row>
    <row r="179" spans="3:4">
      <c r="C179" s="2009"/>
      <c r="D179" s="2009"/>
    </row>
    <row r="180" spans="3:4">
      <c r="C180" s="2009"/>
      <c r="D180" s="2009"/>
    </row>
    <row r="181" spans="3:4">
      <c r="C181" s="2009"/>
      <c r="D181" s="2009"/>
    </row>
    <row r="182" spans="3:4">
      <c r="C182" s="2009"/>
      <c r="D182" s="2009"/>
    </row>
    <row r="183" spans="3:4">
      <c r="C183" s="2009"/>
      <c r="D183" s="2009"/>
    </row>
    <row r="184" spans="3:4">
      <c r="C184" s="2009"/>
      <c r="D184" s="2009"/>
    </row>
    <row r="185" spans="3:4">
      <c r="C185" s="2009"/>
      <c r="D185" s="2009"/>
    </row>
    <row r="186" spans="3:4">
      <c r="C186" s="2009"/>
      <c r="D186" s="2009"/>
    </row>
    <row r="187" spans="3:4">
      <c r="C187" s="2009"/>
      <c r="D187" s="2009"/>
    </row>
    <row r="188" spans="3:4">
      <c r="C188" s="2009"/>
      <c r="D188" s="2009"/>
    </row>
    <row r="189" spans="3:4">
      <c r="C189" s="2009"/>
      <c r="D189" s="2009"/>
    </row>
    <row r="190" spans="3:4">
      <c r="C190" s="2009"/>
      <c r="D190" s="2009"/>
    </row>
    <row r="191" spans="3:4">
      <c r="C191" s="2009"/>
      <c r="D191" s="2009"/>
    </row>
    <row r="192" spans="3:4">
      <c r="C192" s="2009"/>
      <c r="D192" s="2009"/>
    </row>
    <row r="193" spans="3:4">
      <c r="C193" s="2009"/>
      <c r="D193" s="2009"/>
    </row>
    <row r="194" spans="3:4">
      <c r="C194" s="2009"/>
      <c r="D194" s="2009"/>
    </row>
    <row r="195" spans="3:4">
      <c r="C195" s="2009"/>
      <c r="D195" s="2009"/>
    </row>
    <row r="196" spans="3:4">
      <c r="C196" s="2009"/>
      <c r="D196" s="2009"/>
    </row>
    <row r="197" spans="3:4">
      <c r="C197" s="2009"/>
      <c r="D197" s="2009"/>
    </row>
    <row r="198" spans="3:4">
      <c r="C198" s="2009"/>
      <c r="D198" s="2009"/>
    </row>
    <row r="199" spans="3:4">
      <c r="C199" s="2009"/>
      <c r="D199" s="2009"/>
    </row>
    <row r="200" spans="3:4">
      <c r="C200" s="2009"/>
      <c r="D200" s="2009"/>
    </row>
    <row r="201" spans="3:4">
      <c r="C201" s="2009"/>
      <c r="D201" s="2009"/>
    </row>
    <row r="202" spans="3:4">
      <c r="C202" s="2009"/>
      <c r="D202" s="2009"/>
    </row>
    <row r="203" spans="3:4">
      <c r="C203" s="2009"/>
      <c r="D203" s="2009"/>
    </row>
    <row r="204" spans="3:4">
      <c r="C204" s="2009"/>
      <c r="D204" s="2009"/>
    </row>
    <row r="205" spans="3:4">
      <c r="C205" s="2009"/>
      <c r="D205" s="2009"/>
    </row>
    <row r="206" spans="3:4">
      <c r="C206" s="2009"/>
      <c r="D206" s="2009"/>
    </row>
    <row r="207" spans="3:4">
      <c r="C207" s="2009"/>
      <c r="D207" s="2009"/>
    </row>
    <row r="208" spans="3:4">
      <c r="C208" s="2009"/>
      <c r="D208" s="2009"/>
    </row>
    <row r="209" spans="3:4">
      <c r="C209" s="2009"/>
      <c r="D209" s="2009"/>
    </row>
    <row r="210" spans="3:4">
      <c r="C210" s="2009"/>
      <c r="D210" s="2009"/>
    </row>
    <row r="211" spans="3:4">
      <c r="C211" s="2009"/>
      <c r="D211" s="2009"/>
    </row>
    <row r="212" spans="3:4">
      <c r="C212" s="2009"/>
      <c r="D212" s="2009"/>
    </row>
    <row r="213" spans="3:4">
      <c r="C213" s="2009"/>
      <c r="D213" s="2009"/>
    </row>
    <row r="214" spans="3:4">
      <c r="C214" s="2009"/>
      <c r="D214" s="2009"/>
    </row>
    <row r="215" spans="3:4">
      <c r="C215" s="2009"/>
      <c r="D215" s="2009"/>
    </row>
    <row r="216" spans="3:4">
      <c r="C216" s="2009"/>
      <c r="D216" s="2009"/>
    </row>
    <row r="217" spans="3:4">
      <c r="C217" s="2009"/>
      <c r="D217" s="2009"/>
    </row>
    <row r="218" spans="3:4">
      <c r="C218" s="2009"/>
      <c r="D218" s="2009"/>
    </row>
    <row r="219" spans="3:4">
      <c r="C219" s="2009"/>
      <c r="D219" s="2009"/>
    </row>
    <row r="220" spans="3:4">
      <c r="C220" s="2009"/>
      <c r="D220" s="2009"/>
    </row>
    <row r="221" spans="3:4">
      <c r="C221" s="2009"/>
      <c r="D221" s="2009"/>
    </row>
    <row r="222" spans="3:4">
      <c r="C222" s="2009"/>
      <c r="D222" s="2009"/>
    </row>
    <row r="223" spans="3:4">
      <c r="C223" s="2009"/>
      <c r="D223" s="2009"/>
    </row>
    <row r="224" spans="3:4">
      <c r="C224" s="2009"/>
      <c r="D224" s="2009"/>
    </row>
    <row r="225" spans="3:4">
      <c r="C225" s="2009"/>
      <c r="D225" s="2009"/>
    </row>
    <row r="226" spans="3:4">
      <c r="C226" s="2009"/>
      <c r="D226" s="2009"/>
    </row>
    <row r="227" spans="3:4">
      <c r="C227" s="2009"/>
      <c r="D227" s="2009"/>
    </row>
    <row r="228" spans="3:4">
      <c r="C228" s="2009"/>
      <c r="D228" s="2009"/>
    </row>
    <row r="229" spans="3:4">
      <c r="C229" s="2009"/>
      <c r="D229" s="2009"/>
    </row>
    <row r="230" spans="3:4">
      <c r="C230" s="2009"/>
      <c r="D230" s="2009"/>
    </row>
    <row r="231" spans="3:4">
      <c r="C231" s="2009"/>
      <c r="D231" s="2009"/>
    </row>
    <row r="232" spans="3:4">
      <c r="C232" s="2009"/>
      <c r="D232" s="2009"/>
    </row>
    <row r="233" spans="3:4">
      <c r="C233" s="2009"/>
      <c r="D233" s="2009"/>
    </row>
    <row r="234" spans="3:4">
      <c r="C234" s="2009"/>
      <c r="D234" s="2009"/>
    </row>
    <row r="235" spans="3:4">
      <c r="C235" s="2009"/>
      <c r="D235" s="2009"/>
    </row>
    <row r="236" spans="3:4">
      <c r="C236" s="2009"/>
      <c r="D236" s="2009"/>
    </row>
    <row r="237" spans="3:4">
      <c r="C237" s="2009"/>
      <c r="D237" s="2009"/>
    </row>
    <row r="238" spans="3:4">
      <c r="C238" s="2009"/>
      <c r="D238" s="2009"/>
    </row>
    <row r="239" spans="3:4">
      <c r="C239" s="2009"/>
      <c r="D239" s="2009"/>
    </row>
    <row r="240" spans="3:4">
      <c r="C240" s="2009"/>
      <c r="D240" s="2009"/>
    </row>
    <row r="241" spans="3:4">
      <c r="C241" s="2009"/>
      <c r="D241" s="2009"/>
    </row>
    <row r="242" spans="3:4">
      <c r="C242" s="2009"/>
      <c r="D242" s="2009"/>
    </row>
    <row r="243" spans="3:4">
      <c r="C243" s="2009"/>
      <c r="D243" s="2009"/>
    </row>
    <row r="244" spans="3:4">
      <c r="C244" s="2009"/>
      <c r="D244" s="2009"/>
    </row>
    <row r="245" spans="3:4">
      <c r="C245" s="2009"/>
      <c r="D245" s="2009"/>
    </row>
    <row r="246" spans="3:4">
      <c r="C246" s="2009"/>
      <c r="D246" s="2009"/>
    </row>
    <row r="247" spans="3:4">
      <c r="C247" s="2009"/>
      <c r="D247" s="2009"/>
    </row>
    <row r="248" spans="3:4">
      <c r="C248" s="2009"/>
      <c r="D248" s="2009"/>
    </row>
    <row r="249" spans="3:4">
      <c r="C249" s="2009"/>
      <c r="D249" s="2009"/>
    </row>
    <row r="250" spans="3:4">
      <c r="C250" s="2009"/>
      <c r="D250" s="2009"/>
    </row>
    <row r="251" spans="3:4">
      <c r="C251" s="2009"/>
      <c r="D251" s="2009"/>
    </row>
    <row r="252" spans="3:4">
      <c r="C252" s="2009"/>
      <c r="D252" s="2009"/>
    </row>
    <row r="253" spans="3:4">
      <c r="C253" s="2009"/>
      <c r="D253" s="2009"/>
    </row>
    <row r="254" spans="3:4">
      <c r="C254" s="2009"/>
      <c r="D254" s="2009"/>
    </row>
    <row r="255" spans="3:4">
      <c r="C255" s="2009"/>
      <c r="D255" s="2009"/>
    </row>
    <row r="256" spans="3:4">
      <c r="C256" s="2009"/>
      <c r="D256" s="2009"/>
    </row>
    <row r="257" spans="3:4">
      <c r="C257" s="2009"/>
      <c r="D257" s="2009"/>
    </row>
    <row r="258" spans="3:4">
      <c r="C258" s="2009"/>
      <c r="D258" s="2009"/>
    </row>
    <row r="259" spans="3:4">
      <c r="C259" s="2009"/>
      <c r="D259" s="2009"/>
    </row>
    <row r="260" spans="3:4">
      <c r="C260" s="2009"/>
      <c r="D260" s="2009"/>
    </row>
    <row r="261" spans="3:4">
      <c r="C261" s="2009"/>
      <c r="D261" s="2009"/>
    </row>
    <row r="262" spans="3:4">
      <c r="C262" s="2009"/>
      <c r="D262" s="2009"/>
    </row>
    <row r="263" spans="3:4">
      <c r="C263" s="2009"/>
      <c r="D263" s="2009"/>
    </row>
    <row r="264" spans="3:4">
      <c r="C264" s="2009"/>
      <c r="D264" s="2009"/>
    </row>
    <row r="265" spans="3:4">
      <c r="C265" s="2009"/>
      <c r="D265" s="2009"/>
    </row>
    <row r="266" spans="3:4">
      <c r="C266" s="2009"/>
      <c r="D266" s="2009"/>
    </row>
    <row r="267" spans="3:4">
      <c r="C267" s="2009"/>
      <c r="D267" s="2009"/>
    </row>
    <row r="268" spans="3:4">
      <c r="C268" s="2009"/>
      <c r="D268" s="2009"/>
    </row>
    <row r="269" spans="3:4">
      <c r="C269" s="2009"/>
      <c r="D269" s="2009"/>
    </row>
    <row r="270" spans="3:4">
      <c r="C270" s="2009"/>
      <c r="D270" s="2009"/>
    </row>
    <row r="271" spans="3:4">
      <c r="C271" s="2009"/>
      <c r="D271" s="2009"/>
    </row>
    <row r="272" spans="3:4">
      <c r="C272" s="2009"/>
      <c r="D272" s="2009"/>
    </row>
    <row r="273" spans="3:4">
      <c r="C273" s="2009"/>
      <c r="D273" s="2009"/>
    </row>
    <row r="274" spans="3:4">
      <c r="C274" s="2009"/>
      <c r="D274" s="2009"/>
    </row>
    <row r="275" spans="3:4">
      <c r="C275" s="2009"/>
      <c r="D275" s="2009"/>
    </row>
    <row r="276" spans="3:4">
      <c r="C276" s="2009"/>
      <c r="D276" s="2009"/>
    </row>
    <row r="277" spans="3:4">
      <c r="C277" s="2009"/>
      <c r="D277" s="2009"/>
    </row>
    <row r="278" spans="3:4">
      <c r="C278" s="2009"/>
      <c r="D278" s="2009"/>
    </row>
    <row r="279" spans="3:4">
      <c r="C279" s="2009"/>
      <c r="D279" s="2009"/>
    </row>
    <row r="280" spans="3:4">
      <c r="C280" s="2009"/>
      <c r="D280" s="2009"/>
    </row>
    <row r="281" spans="3:4">
      <c r="C281" s="2009"/>
      <c r="D281" s="2009"/>
    </row>
    <row r="282" spans="3:4">
      <c r="C282" s="2009"/>
      <c r="D282" s="2009"/>
    </row>
    <row r="283" spans="3:4">
      <c r="C283" s="2009"/>
      <c r="D283" s="2009"/>
    </row>
    <row r="284" spans="3:4">
      <c r="C284" s="2009"/>
      <c r="D284" s="2009"/>
    </row>
    <row r="285" spans="3:4">
      <c r="C285" s="2009"/>
      <c r="D285" s="2009"/>
    </row>
    <row r="286" spans="3:4">
      <c r="C286" s="2009"/>
      <c r="D286" s="2009"/>
    </row>
    <row r="287" spans="3:4">
      <c r="C287" s="2009"/>
      <c r="D287" s="2009"/>
    </row>
    <row r="288" spans="3:4">
      <c r="C288" s="2009"/>
      <c r="D288" s="2009"/>
    </row>
    <row r="289" spans="3:4">
      <c r="C289" s="2009"/>
      <c r="D289" s="2009"/>
    </row>
    <row r="290" spans="3:4">
      <c r="C290" s="2009"/>
      <c r="D290" s="2009"/>
    </row>
    <row r="291" spans="3:4">
      <c r="C291" s="2009"/>
      <c r="D291" s="2009"/>
    </row>
    <row r="292" spans="3:4">
      <c r="C292" s="2009"/>
      <c r="D292" s="2009"/>
    </row>
    <row r="293" spans="3:4">
      <c r="C293" s="2009"/>
      <c r="D293" s="2009"/>
    </row>
    <row r="294" spans="3:4">
      <c r="C294" s="2009"/>
      <c r="D294" s="2009"/>
    </row>
    <row r="295" spans="3:4">
      <c r="C295" s="2009"/>
      <c r="D295" s="2009"/>
    </row>
    <row r="296" spans="3:4">
      <c r="C296" s="2009"/>
      <c r="D296" s="2009"/>
    </row>
    <row r="297" spans="3:4">
      <c r="C297" s="2009"/>
      <c r="D297" s="2009"/>
    </row>
    <row r="298" spans="3:4">
      <c r="C298" s="2009"/>
      <c r="D298" s="2009"/>
    </row>
    <row r="299" spans="3:4">
      <c r="C299" s="2009"/>
      <c r="D299" s="2009"/>
    </row>
    <row r="300" spans="3:4">
      <c r="C300" s="2009"/>
      <c r="D300" s="2009"/>
    </row>
    <row r="301" spans="3:4">
      <c r="C301" s="2009"/>
      <c r="D301" s="2009"/>
    </row>
    <row r="302" spans="3:4">
      <c r="C302" s="2009"/>
      <c r="D302" s="2009"/>
    </row>
    <row r="303" spans="3:4">
      <c r="C303" s="2009"/>
      <c r="D303" s="2009"/>
    </row>
    <row r="304" spans="3:4">
      <c r="C304" s="2009"/>
      <c r="D304" s="2009"/>
    </row>
    <row r="305" spans="3:4">
      <c r="C305" s="2009"/>
      <c r="D305" s="2009"/>
    </row>
    <row r="306" spans="3:4">
      <c r="C306" s="2009"/>
      <c r="D306" s="2009"/>
    </row>
    <row r="307" spans="3:4">
      <c r="C307" s="2009"/>
      <c r="D307" s="2009"/>
    </row>
    <row r="308" spans="3:4">
      <c r="C308" s="2009"/>
      <c r="D308" s="2009"/>
    </row>
    <row r="309" spans="3:4">
      <c r="C309" s="2009"/>
      <c r="D309" s="2009"/>
    </row>
    <row r="310" spans="3:4">
      <c r="C310" s="2009"/>
      <c r="D310" s="2009"/>
    </row>
    <row r="311" spans="3:4">
      <c r="C311" s="2009"/>
      <c r="D311" s="2009"/>
    </row>
    <row r="312" spans="3:4">
      <c r="C312" s="2009"/>
      <c r="D312" s="2009"/>
    </row>
    <row r="313" spans="3:4">
      <c r="C313" s="2009"/>
      <c r="D313" s="2009"/>
    </row>
    <row r="314" spans="3:4">
      <c r="C314" s="2009"/>
      <c r="D314" s="2009"/>
    </row>
    <row r="315" spans="3:4">
      <c r="C315" s="2009"/>
      <c r="D315" s="2009"/>
    </row>
    <row r="316" spans="3:4">
      <c r="C316" s="2009"/>
      <c r="D316" s="2009"/>
    </row>
    <row r="317" spans="3:4">
      <c r="C317" s="2009"/>
      <c r="D317" s="2009"/>
    </row>
    <row r="318" spans="3:4">
      <c r="C318" s="2009"/>
      <c r="D318" s="2009"/>
    </row>
    <row r="319" spans="3:4">
      <c r="C319" s="2009"/>
      <c r="D319" s="2009"/>
    </row>
    <row r="320" spans="3:4">
      <c r="C320" s="2009"/>
      <c r="D320" s="2009"/>
    </row>
    <row r="321" spans="3:4">
      <c r="C321" s="2009"/>
      <c r="D321" s="2009"/>
    </row>
    <row r="322" spans="3:4">
      <c r="C322" s="2009"/>
      <c r="D322" s="2009"/>
    </row>
    <row r="323" spans="3:4">
      <c r="C323" s="2009"/>
      <c r="D323" s="2009"/>
    </row>
    <row r="324" spans="3:4">
      <c r="C324" s="2009"/>
      <c r="D324" s="2009"/>
    </row>
    <row r="325" spans="3:4">
      <c r="C325" s="2009"/>
      <c r="D325" s="2009"/>
    </row>
    <row r="326" spans="3:4">
      <c r="C326" s="2009"/>
      <c r="D326" s="2009"/>
    </row>
    <row r="327" spans="3:4">
      <c r="C327" s="2009"/>
      <c r="D327" s="2009"/>
    </row>
    <row r="328" spans="3:4">
      <c r="C328" s="2009"/>
      <c r="D328" s="2009"/>
    </row>
    <row r="329" spans="3:4">
      <c r="C329" s="2009"/>
      <c r="D329" s="2009"/>
    </row>
    <row r="330" spans="3:4">
      <c r="C330" s="2009"/>
      <c r="D330" s="2009"/>
    </row>
    <row r="331" spans="3:4">
      <c r="C331" s="2009"/>
      <c r="D331" s="2009"/>
    </row>
    <row r="332" spans="3:4">
      <c r="C332" s="2009"/>
      <c r="D332" s="2009"/>
    </row>
    <row r="333" spans="3:4">
      <c r="C333" s="2009"/>
      <c r="D333" s="2009"/>
    </row>
    <row r="334" spans="3:4">
      <c r="C334" s="2009"/>
      <c r="D334" s="2009"/>
    </row>
    <row r="335" spans="3:4">
      <c r="C335" s="2009"/>
      <c r="D335" s="2009"/>
    </row>
    <row r="336" spans="3:4">
      <c r="C336" s="2009"/>
      <c r="D336" s="2009"/>
    </row>
    <row r="337" spans="3:4">
      <c r="C337" s="2009"/>
      <c r="D337" s="2009"/>
    </row>
    <row r="338" spans="3:4">
      <c r="C338" s="2009"/>
      <c r="D338" s="2009"/>
    </row>
    <row r="339" spans="3:4">
      <c r="C339" s="2009"/>
      <c r="D339" s="2009"/>
    </row>
    <row r="340" spans="3:4">
      <c r="C340" s="2009"/>
      <c r="D340" s="2009"/>
    </row>
    <row r="341" spans="3:4">
      <c r="C341" s="2009"/>
      <c r="D341" s="2009"/>
    </row>
    <row r="342" spans="3:4">
      <c r="C342" s="2009"/>
      <c r="D342" s="2009"/>
    </row>
    <row r="343" spans="3:4">
      <c r="C343" s="2009"/>
      <c r="D343" s="2009"/>
    </row>
    <row r="344" spans="3:4">
      <c r="C344" s="2009"/>
      <c r="D344" s="2009"/>
    </row>
    <row r="345" spans="3:4">
      <c r="C345" s="2009"/>
      <c r="D345" s="2009"/>
    </row>
    <row r="346" spans="3:4">
      <c r="C346" s="2009"/>
      <c r="D346" s="2009"/>
    </row>
    <row r="347" spans="3:4">
      <c r="C347" s="2009"/>
      <c r="D347" s="2009"/>
    </row>
    <row r="348" spans="3:4">
      <c r="C348" s="2009"/>
      <c r="D348" s="2009"/>
    </row>
    <row r="349" spans="3:4">
      <c r="C349" s="2009"/>
      <c r="D349" s="2009"/>
    </row>
    <row r="350" spans="3:4">
      <c r="C350" s="2009"/>
      <c r="D350" s="2009"/>
    </row>
    <row r="351" spans="3:4">
      <c r="C351" s="2009"/>
      <c r="D351" s="2009"/>
    </row>
    <row r="352" spans="3:4">
      <c r="C352" s="2009"/>
      <c r="D352" s="2009"/>
    </row>
    <row r="353" spans="3:4">
      <c r="C353" s="2009"/>
      <c r="D353" s="2009"/>
    </row>
    <row r="354" spans="3:4">
      <c r="C354" s="2009"/>
      <c r="D354" s="2009"/>
    </row>
    <row r="355" spans="3:4">
      <c r="C355" s="2009"/>
      <c r="D355" s="2009"/>
    </row>
    <row r="356" spans="3:4">
      <c r="C356" s="2009"/>
      <c r="D356" s="2009"/>
    </row>
    <row r="357" spans="3:4">
      <c r="C357" s="2009"/>
      <c r="D357" s="2009"/>
    </row>
    <row r="358" spans="3:4">
      <c r="C358" s="2009"/>
      <c r="D358" s="2009"/>
    </row>
    <row r="359" spans="3:4">
      <c r="C359" s="2009"/>
      <c r="D359" s="2009"/>
    </row>
    <row r="360" spans="3:4">
      <c r="C360" s="2009"/>
      <c r="D360" s="2009"/>
    </row>
    <row r="361" spans="3:4">
      <c r="C361" s="2009"/>
      <c r="D361" s="2009"/>
    </row>
    <row r="362" spans="3:4">
      <c r="C362" s="2009"/>
      <c r="D362" s="2009"/>
    </row>
    <row r="363" spans="3:4">
      <c r="C363" s="2009"/>
      <c r="D363" s="2009"/>
    </row>
    <row r="364" spans="3:4">
      <c r="C364" s="2009"/>
      <c r="D364" s="2009"/>
    </row>
    <row r="365" spans="3:4">
      <c r="C365" s="2009"/>
      <c r="D365" s="2009"/>
    </row>
    <row r="366" spans="3:4">
      <c r="C366" s="2009"/>
      <c r="D366" s="2009"/>
    </row>
    <row r="367" spans="3:4">
      <c r="C367" s="2009"/>
      <c r="D367" s="2009"/>
    </row>
    <row r="368" spans="3:4">
      <c r="C368" s="2009"/>
      <c r="D368" s="2009"/>
    </row>
    <row r="369" spans="3:4">
      <c r="C369" s="2009"/>
      <c r="D369" s="2009"/>
    </row>
    <row r="370" spans="3:4">
      <c r="C370" s="2009"/>
      <c r="D370" s="2009"/>
    </row>
    <row r="371" spans="3:4">
      <c r="C371" s="2009"/>
      <c r="D371" s="2009"/>
    </row>
    <row r="372" spans="3:4">
      <c r="C372" s="2009"/>
      <c r="D372" s="2009"/>
    </row>
    <row r="373" spans="3:4">
      <c r="C373" s="2009"/>
      <c r="D373" s="2009"/>
    </row>
    <row r="374" spans="3:4">
      <c r="C374" s="2009"/>
      <c r="D374" s="2009"/>
    </row>
    <row r="375" spans="3:4">
      <c r="C375" s="2009"/>
      <c r="D375" s="2009"/>
    </row>
    <row r="376" spans="3:4">
      <c r="C376" s="2009"/>
      <c r="D376" s="2009"/>
    </row>
    <row r="377" spans="3:4">
      <c r="C377" s="2009"/>
      <c r="D377" s="2009"/>
    </row>
    <row r="378" spans="3:4">
      <c r="C378" s="2009"/>
      <c r="D378" s="2009"/>
    </row>
    <row r="379" spans="3:4">
      <c r="C379" s="2009"/>
      <c r="D379" s="2009"/>
    </row>
    <row r="380" spans="3:4">
      <c r="C380" s="2009"/>
      <c r="D380" s="2009"/>
    </row>
    <row r="381" spans="3:4">
      <c r="C381" s="2009"/>
      <c r="D381" s="2009"/>
    </row>
    <row r="382" spans="3:4">
      <c r="C382" s="2009"/>
      <c r="D382" s="2009"/>
    </row>
    <row r="383" spans="3:4">
      <c r="C383" s="2009"/>
      <c r="D383" s="2009"/>
    </row>
    <row r="384" spans="3:4">
      <c r="C384" s="2009"/>
      <c r="D384" s="2009"/>
    </row>
    <row r="385" spans="3:4">
      <c r="C385" s="2009"/>
      <c r="D385" s="2009"/>
    </row>
    <row r="386" spans="3:4">
      <c r="C386" s="2009"/>
      <c r="D386" s="2009"/>
    </row>
    <row r="387" spans="3:4">
      <c r="C387" s="2009"/>
      <c r="D387" s="2009"/>
    </row>
    <row r="388" spans="3:4">
      <c r="C388" s="2009"/>
      <c r="D388" s="2009"/>
    </row>
    <row r="389" spans="3:4">
      <c r="C389" s="2009"/>
      <c r="D389" s="2009"/>
    </row>
    <row r="390" spans="3:4">
      <c r="C390" s="2009"/>
      <c r="D390" s="2009"/>
    </row>
    <row r="391" spans="3:4">
      <c r="C391" s="2009"/>
      <c r="D391" s="2009"/>
    </row>
    <row r="392" spans="3:4">
      <c r="C392" s="2009"/>
      <c r="D392" s="2009"/>
    </row>
    <row r="393" spans="3:4">
      <c r="C393" s="2009"/>
      <c r="D393" s="2009"/>
    </row>
    <row r="394" spans="3:4">
      <c r="C394" s="2009"/>
      <c r="D394" s="2009"/>
    </row>
    <row r="395" spans="3:4">
      <c r="C395" s="2009"/>
      <c r="D395" s="2009"/>
    </row>
    <row r="396" spans="3:4">
      <c r="C396" s="2009"/>
      <c r="D396" s="2009"/>
    </row>
    <row r="397" spans="3:4">
      <c r="C397" s="2009"/>
      <c r="D397" s="2009"/>
    </row>
    <row r="398" spans="3:4">
      <c r="C398" s="2009"/>
      <c r="D398" s="2009"/>
    </row>
    <row r="399" spans="3:4">
      <c r="C399" s="2009"/>
      <c r="D399" s="2009"/>
    </row>
    <row r="400" spans="3:4">
      <c r="C400" s="2009"/>
      <c r="D400" s="2009"/>
    </row>
    <row r="401" spans="3:4">
      <c r="C401" s="2009"/>
      <c r="D401" s="2009"/>
    </row>
    <row r="402" spans="3:4">
      <c r="C402" s="2009"/>
      <c r="D402" s="2009"/>
    </row>
    <row r="403" spans="3:4">
      <c r="C403" s="2009"/>
      <c r="D403" s="2009"/>
    </row>
    <row r="404" spans="3:4">
      <c r="C404" s="2009"/>
      <c r="D404" s="2009"/>
    </row>
    <row r="405" spans="3:4">
      <c r="C405" s="2009"/>
      <c r="D405" s="2009"/>
    </row>
    <row r="406" spans="3:4">
      <c r="C406" s="2009"/>
      <c r="D406" s="2009"/>
    </row>
    <row r="407" spans="3:4">
      <c r="C407" s="2009"/>
      <c r="D407" s="2009"/>
    </row>
    <row r="408" spans="3:4">
      <c r="C408" s="2009"/>
      <c r="D408" s="2009"/>
    </row>
    <row r="409" spans="3:4">
      <c r="C409" s="2009"/>
      <c r="D409" s="2009"/>
    </row>
    <row r="410" spans="3:4">
      <c r="C410" s="2009"/>
      <c r="D410" s="2009"/>
    </row>
    <row r="411" spans="3:4">
      <c r="C411" s="2009"/>
      <c r="D411" s="2009"/>
    </row>
    <row r="412" spans="3:4">
      <c r="C412" s="2009"/>
      <c r="D412" s="2009"/>
    </row>
    <row r="413" spans="3:4">
      <c r="C413" s="2009"/>
      <c r="D413" s="2009"/>
    </row>
    <row r="414" spans="3:4">
      <c r="C414" s="2009"/>
      <c r="D414" s="2009"/>
    </row>
    <row r="415" spans="3:4">
      <c r="C415" s="2009"/>
      <c r="D415" s="2009"/>
    </row>
    <row r="416" spans="3:4">
      <c r="C416" s="2009"/>
      <c r="D416" s="2009"/>
    </row>
    <row r="417" spans="3:4">
      <c r="C417" s="2009"/>
      <c r="D417" s="2009"/>
    </row>
    <row r="418" spans="3:4">
      <c r="C418" s="2009"/>
      <c r="D418" s="2009"/>
    </row>
    <row r="419" spans="3:4">
      <c r="C419" s="2009"/>
      <c r="D419" s="2009"/>
    </row>
    <row r="420" spans="3:4">
      <c r="C420" s="2009"/>
      <c r="D420" s="2009"/>
    </row>
    <row r="421" spans="3:4">
      <c r="C421" s="2009"/>
      <c r="D421" s="2009"/>
    </row>
    <row r="422" spans="3:4">
      <c r="C422" s="2009"/>
      <c r="D422" s="2009"/>
    </row>
    <row r="423" spans="3:4">
      <c r="C423" s="2009"/>
      <c r="D423" s="2009"/>
    </row>
    <row r="424" spans="3:4">
      <c r="C424" s="2009"/>
      <c r="D424" s="2009"/>
    </row>
    <row r="425" spans="3:4">
      <c r="C425" s="2009"/>
      <c r="D425" s="2009"/>
    </row>
    <row r="426" spans="3:4">
      <c r="C426" s="2009"/>
      <c r="D426" s="2009"/>
    </row>
    <row r="427" spans="3:4">
      <c r="C427" s="2009"/>
      <c r="D427" s="2009"/>
    </row>
    <row r="428" spans="3:4">
      <c r="C428" s="2009"/>
      <c r="D428" s="2009"/>
    </row>
    <row r="429" spans="3:4">
      <c r="C429" s="2009"/>
      <c r="D429" s="2009"/>
    </row>
    <row r="430" spans="3:4">
      <c r="C430" s="2009"/>
      <c r="D430" s="2009"/>
    </row>
    <row r="431" spans="3:4">
      <c r="C431" s="2009"/>
      <c r="D431" s="2009"/>
    </row>
    <row r="432" spans="3:4">
      <c r="C432" s="2009"/>
      <c r="D432" s="2009"/>
    </row>
    <row r="433" spans="3:4">
      <c r="C433" s="2009"/>
      <c r="D433" s="2009"/>
    </row>
    <row r="434" spans="3:4">
      <c r="C434" s="2009"/>
      <c r="D434" s="2009"/>
    </row>
    <row r="435" spans="3:4">
      <c r="C435" s="2009"/>
      <c r="D435" s="2009"/>
    </row>
    <row r="436" spans="3:4">
      <c r="C436" s="2009"/>
      <c r="D436" s="2009"/>
    </row>
    <row r="437" spans="3:4">
      <c r="C437" s="2009"/>
      <c r="D437" s="2009"/>
    </row>
    <row r="438" spans="3:4">
      <c r="C438" s="2009"/>
      <c r="D438" s="2009"/>
    </row>
    <row r="439" spans="3:4">
      <c r="C439" s="2009"/>
      <c r="D439" s="2009"/>
    </row>
    <row r="440" spans="3:4">
      <c r="C440" s="2009"/>
      <c r="D440" s="2009"/>
    </row>
    <row r="441" spans="3:4">
      <c r="C441" s="2009"/>
      <c r="D441" s="2009"/>
    </row>
    <row r="442" spans="3:4">
      <c r="C442" s="2009"/>
      <c r="D442" s="2009"/>
    </row>
    <row r="443" spans="3:4">
      <c r="C443" s="2009"/>
      <c r="D443" s="2009"/>
    </row>
    <row r="444" spans="3:4">
      <c r="C444" s="2009"/>
      <c r="D444" s="2009"/>
    </row>
    <row r="445" spans="3:4">
      <c r="C445" s="2009"/>
      <c r="D445" s="2009"/>
    </row>
    <row r="446" spans="3:4">
      <c r="C446" s="2009"/>
      <c r="D446" s="2009"/>
    </row>
    <row r="447" spans="3:4">
      <c r="C447" s="2009"/>
      <c r="D447" s="2009"/>
    </row>
    <row r="448" spans="3:4">
      <c r="C448" s="2009"/>
      <c r="D448" s="2009"/>
    </row>
    <row r="449" spans="3:4">
      <c r="C449" s="2009"/>
      <c r="D449" s="2009"/>
    </row>
    <row r="450" spans="3:4">
      <c r="C450" s="2009"/>
      <c r="D450" s="2009"/>
    </row>
    <row r="451" spans="3:4">
      <c r="C451" s="2009"/>
      <c r="D451" s="2009"/>
    </row>
    <row r="452" spans="3:4">
      <c r="C452" s="2009"/>
      <c r="D452" s="2009"/>
    </row>
    <row r="453" spans="3:4">
      <c r="C453" s="2009"/>
      <c r="D453" s="2009"/>
    </row>
    <row r="454" spans="3:4">
      <c r="C454" s="2009"/>
      <c r="D454" s="2009"/>
    </row>
    <row r="455" spans="3:4">
      <c r="C455" s="2009"/>
      <c r="D455" s="2009"/>
    </row>
    <row r="456" spans="3:4">
      <c r="C456" s="2009"/>
      <c r="D456" s="2009"/>
    </row>
    <row r="457" spans="3:4">
      <c r="C457" s="2009"/>
      <c r="D457" s="2009"/>
    </row>
    <row r="458" spans="3:4">
      <c r="C458" s="2009"/>
      <c r="D458" s="2009"/>
    </row>
    <row r="459" spans="3:4">
      <c r="C459" s="2009"/>
      <c r="D459" s="2009"/>
    </row>
    <row r="460" spans="3:4">
      <c r="C460" s="2009"/>
      <c r="D460" s="2009"/>
    </row>
    <row r="461" spans="3:4">
      <c r="C461" s="2009"/>
      <c r="D461" s="2009"/>
    </row>
    <row r="462" spans="3:4">
      <c r="C462" s="2009"/>
      <c r="D462" s="2009"/>
    </row>
    <row r="463" spans="3:4">
      <c r="C463" s="2009"/>
      <c r="D463" s="2009"/>
    </row>
    <row r="464" spans="3:4">
      <c r="C464" s="2009"/>
      <c r="D464" s="2009"/>
    </row>
    <row r="465" spans="3:4">
      <c r="C465" s="2009"/>
      <c r="D465" s="2009"/>
    </row>
    <row r="466" spans="3:4">
      <c r="C466" s="2009"/>
      <c r="D466" s="2009"/>
    </row>
    <row r="467" spans="3:4">
      <c r="C467" s="2009"/>
      <c r="D467" s="2009"/>
    </row>
    <row r="468" spans="3:4">
      <c r="C468" s="2009"/>
      <c r="D468" s="2009"/>
    </row>
    <row r="469" spans="3:4">
      <c r="C469" s="2009"/>
      <c r="D469" s="2009"/>
    </row>
    <row r="470" spans="3:4">
      <c r="C470" s="2009"/>
      <c r="D470" s="2009"/>
    </row>
    <row r="471" spans="3:4">
      <c r="C471" s="2009"/>
      <c r="D471" s="2009"/>
    </row>
    <row r="472" spans="3:4">
      <c r="C472" s="2009"/>
      <c r="D472" s="2009"/>
    </row>
    <row r="473" spans="3:4">
      <c r="C473" s="2009"/>
      <c r="D473" s="2009"/>
    </row>
    <row r="474" spans="3:4">
      <c r="C474" s="2009"/>
      <c r="D474" s="2009"/>
    </row>
    <row r="475" spans="3:4">
      <c r="C475" s="2009"/>
      <c r="D475" s="2009"/>
    </row>
    <row r="476" spans="3:4">
      <c r="C476" s="2009"/>
      <c r="D476" s="2009"/>
    </row>
    <row r="477" spans="3:4">
      <c r="C477" s="2009"/>
      <c r="D477" s="2009"/>
    </row>
    <row r="478" spans="3:4">
      <c r="C478" s="2009"/>
      <c r="D478" s="2009"/>
    </row>
    <row r="479" spans="3:4">
      <c r="C479" s="2009"/>
      <c r="D479" s="2009"/>
    </row>
    <row r="480" spans="3:4">
      <c r="C480" s="2009"/>
      <c r="D480" s="2009"/>
    </row>
    <row r="481" spans="3:4">
      <c r="C481" s="2009"/>
      <c r="D481" s="2009"/>
    </row>
    <row r="482" spans="3:4">
      <c r="C482" s="2009"/>
      <c r="D482" s="2009"/>
    </row>
    <row r="483" spans="3:4">
      <c r="C483" s="2009"/>
      <c r="D483" s="2009"/>
    </row>
    <row r="484" spans="3:4">
      <c r="C484" s="2009"/>
      <c r="D484" s="2009"/>
    </row>
    <row r="485" spans="3:4">
      <c r="C485" s="2009"/>
      <c r="D485" s="2009"/>
    </row>
    <row r="486" spans="3:4">
      <c r="C486" s="2009"/>
      <c r="D486" s="2009"/>
    </row>
    <row r="487" spans="3:4">
      <c r="C487" s="2009"/>
      <c r="D487" s="2009"/>
    </row>
    <row r="488" spans="3:4">
      <c r="C488" s="2009"/>
      <c r="D488" s="2009"/>
    </row>
    <row r="489" spans="3:4">
      <c r="C489" s="2009"/>
      <c r="D489" s="2009"/>
    </row>
    <row r="490" spans="3:4">
      <c r="C490" s="2009"/>
      <c r="D490" s="2009"/>
    </row>
    <row r="491" spans="3:4">
      <c r="C491" s="2009"/>
      <c r="D491" s="2009"/>
    </row>
    <row r="492" spans="3:4">
      <c r="C492" s="2009"/>
      <c r="D492" s="2009"/>
    </row>
    <row r="493" spans="3:4">
      <c r="C493" s="2009"/>
      <c r="D493" s="2009"/>
    </row>
    <row r="494" spans="3:4">
      <c r="C494" s="2009"/>
      <c r="D494" s="2009"/>
    </row>
    <row r="495" spans="3:4">
      <c r="C495" s="2009"/>
      <c r="D495" s="2009"/>
    </row>
    <row r="496" spans="3:4">
      <c r="C496" s="2009"/>
      <c r="D496" s="2009"/>
    </row>
    <row r="497" spans="3:4">
      <c r="C497" s="2009"/>
      <c r="D497" s="2009"/>
    </row>
    <row r="498" spans="3:4">
      <c r="C498" s="2009"/>
      <c r="D498" s="2009"/>
    </row>
    <row r="499" spans="3:4">
      <c r="C499" s="2009"/>
      <c r="D499" s="2009"/>
    </row>
    <row r="500" spans="3:4">
      <c r="C500" s="2009"/>
      <c r="D500" s="2009"/>
    </row>
    <row r="501" spans="3:4">
      <c r="C501" s="2009"/>
      <c r="D501" s="2009"/>
    </row>
    <row r="502" spans="3:4">
      <c r="C502" s="2009"/>
      <c r="D502" s="2009"/>
    </row>
    <row r="503" spans="3:4">
      <c r="C503" s="2009"/>
      <c r="D503" s="2009"/>
    </row>
    <row r="504" spans="3:4">
      <c r="C504" s="2009"/>
      <c r="D504" s="2009"/>
    </row>
    <row r="505" spans="3:4">
      <c r="C505" s="2009"/>
      <c r="D505" s="2009"/>
    </row>
    <row r="506" spans="3:4">
      <c r="C506" s="2009"/>
      <c r="D506" s="2009"/>
    </row>
    <row r="507" spans="3:4">
      <c r="C507" s="2009"/>
      <c r="D507" s="2009"/>
    </row>
    <row r="508" spans="3:4">
      <c r="C508" s="2009"/>
      <c r="D508" s="2009"/>
    </row>
    <row r="509" spans="3:4">
      <c r="C509" s="2009"/>
      <c r="D509" s="2009"/>
    </row>
    <row r="510" spans="3:4">
      <c r="C510" s="2009"/>
      <c r="D510" s="2009"/>
    </row>
    <row r="511" spans="3:4">
      <c r="C511" s="2009"/>
      <c r="D511" s="2009"/>
    </row>
    <row r="512" spans="3:4">
      <c r="C512" s="2009"/>
      <c r="D512" s="2009"/>
    </row>
    <row r="513" spans="3:4">
      <c r="C513" s="2009"/>
      <c r="D513" s="2009"/>
    </row>
    <row r="514" spans="3:4">
      <c r="C514" s="2009"/>
      <c r="D514" s="2009"/>
    </row>
    <row r="515" spans="3:4">
      <c r="C515" s="2009"/>
      <c r="D515" s="2009"/>
    </row>
    <row r="516" spans="3:4">
      <c r="C516" s="2009"/>
      <c r="D516" s="2009"/>
    </row>
    <row r="517" spans="3:4">
      <c r="C517" s="2009"/>
      <c r="D517" s="2009"/>
    </row>
    <row r="518" spans="3:4">
      <c r="C518" s="2009"/>
      <c r="D518" s="2009"/>
    </row>
    <row r="519" spans="3:4">
      <c r="C519" s="2009"/>
      <c r="D519" s="2009"/>
    </row>
    <row r="520" spans="3:4">
      <c r="C520" s="2009"/>
      <c r="D520" s="2009"/>
    </row>
    <row r="521" spans="3:4">
      <c r="C521" s="2009"/>
      <c r="D521" s="2009"/>
    </row>
    <row r="522" spans="3:4">
      <c r="C522" s="2009"/>
      <c r="D522" s="2009"/>
    </row>
    <row r="523" spans="3:4">
      <c r="C523" s="2009"/>
      <c r="D523" s="2009"/>
    </row>
    <row r="524" spans="3:4">
      <c r="C524" s="2009"/>
      <c r="D524" s="2009"/>
    </row>
    <row r="525" spans="3:4">
      <c r="C525" s="2009"/>
      <c r="D525" s="2009"/>
    </row>
    <row r="526" spans="3:4">
      <c r="C526" s="2009"/>
      <c r="D526" s="2009"/>
    </row>
    <row r="527" spans="3:4">
      <c r="C527" s="2009"/>
      <c r="D527" s="2009"/>
    </row>
    <row r="528" spans="3:4">
      <c r="C528" s="2009"/>
      <c r="D528" s="2009"/>
    </row>
    <row r="529" spans="3:4">
      <c r="C529" s="2009"/>
      <c r="D529" s="2009"/>
    </row>
    <row r="530" spans="3:4">
      <c r="C530" s="2009"/>
      <c r="D530" s="2009"/>
    </row>
    <row r="531" spans="3:4">
      <c r="C531" s="2009"/>
      <c r="D531" s="2009"/>
    </row>
    <row r="532" spans="3:4">
      <c r="C532" s="2009"/>
      <c r="D532" s="2009"/>
    </row>
    <row r="533" spans="3:4">
      <c r="C533" s="2009"/>
      <c r="D533" s="2009"/>
    </row>
    <row r="534" spans="3:4">
      <c r="C534" s="2009"/>
      <c r="D534" s="2009"/>
    </row>
    <row r="535" spans="3:4">
      <c r="C535" s="2009"/>
      <c r="D535" s="2009"/>
    </row>
    <row r="536" spans="3:4">
      <c r="C536" s="2009"/>
      <c r="D536" s="2009"/>
    </row>
    <row r="537" spans="3:4">
      <c r="C537" s="2009"/>
      <c r="D537" s="2009"/>
    </row>
    <row r="538" spans="3:4">
      <c r="C538" s="2009"/>
      <c r="D538" s="2009"/>
    </row>
    <row r="539" spans="3:4">
      <c r="C539" s="2009"/>
      <c r="D539" s="2009"/>
    </row>
    <row r="540" spans="3:4">
      <c r="C540" s="2009"/>
      <c r="D540" s="2009"/>
    </row>
    <row r="541" spans="3:4">
      <c r="C541" s="2009"/>
      <c r="D541" s="2009"/>
    </row>
    <row r="542" spans="3:4">
      <c r="C542" s="2009"/>
      <c r="D542" s="2009"/>
    </row>
    <row r="543" spans="3:4">
      <c r="C543" s="2009"/>
      <c r="D543" s="2009"/>
    </row>
    <row r="544" spans="3:4">
      <c r="C544" s="2009"/>
      <c r="D544" s="2009"/>
    </row>
    <row r="545" spans="3:4">
      <c r="C545" s="2009"/>
      <c r="D545" s="2009"/>
    </row>
    <row r="546" spans="3:4">
      <c r="C546" s="2009"/>
      <c r="D546" s="2009"/>
    </row>
    <row r="547" spans="3:4">
      <c r="C547" s="2009"/>
      <c r="D547" s="2009"/>
    </row>
    <row r="548" spans="3:4">
      <c r="C548" s="2009"/>
      <c r="D548" s="2009"/>
    </row>
    <row r="549" spans="3:4">
      <c r="C549" s="2009"/>
      <c r="D549" s="2009"/>
    </row>
    <row r="550" spans="3:4">
      <c r="C550" s="2009"/>
      <c r="D550" s="2009"/>
    </row>
    <row r="551" spans="3:4">
      <c r="C551" s="2009"/>
      <c r="D551" s="2009"/>
    </row>
    <row r="552" spans="3:4">
      <c r="C552" s="2009"/>
      <c r="D552" s="2009"/>
    </row>
    <row r="553" spans="3:4">
      <c r="C553" s="2009"/>
      <c r="D553" s="2009"/>
    </row>
    <row r="554" spans="3:4">
      <c r="C554" s="2009"/>
      <c r="D554" s="2009"/>
    </row>
    <row r="555" spans="3:4">
      <c r="C555" s="2009"/>
      <c r="D555" s="2009"/>
    </row>
    <row r="556" spans="3:4">
      <c r="C556" s="2009"/>
      <c r="D556" s="2009"/>
    </row>
    <row r="557" spans="3:4">
      <c r="C557" s="2009"/>
      <c r="D557" s="2009"/>
    </row>
    <row r="558" spans="3:4">
      <c r="C558" s="2009"/>
      <c r="D558" s="2009"/>
    </row>
    <row r="559" spans="3:4">
      <c r="C559" s="2009"/>
      <c r="D559" s="2009"/>
    </row>
    <row r="560" spans="3:4">
      <c r="C560" s="2009"/>
      <c r="D560" s="2009"/>
    </row>
    <row r="561" spans="3:4">
      <c r="C561" s="2009"/>
      <c r="D561" s="2009"/>
    </row>
    <row r="562" spans="3:4">
      <c r="C562" s="2009"/>
      <c r="D562" s="2009"/>
    </row>
    <row r="563" spans="3:4">
      <c r="C563" s="2009"/>
      <c r="D563" s="2009"/>
    </row>
    <row r="564" spans="3:4">
      <c r="C564" s="2009"/>
      <c r="D564" s="2009"/>
    </row>
    <row r="565" spans="3:4">
      <c r="C565" s="2009"/>
      <c r="D565" s="2009"/>
    </row>
    <row r="566" spans="3:4">
      <c r="C566" s="2009"/>
      <c r="D566" s="2009"/>
    </row>
    <row r="567" spans="3:4">
      <c r="C567" s="2009"/>
      <c r="D567" s="2009"/>
    </row>
    <row r="568" spans="3:4">
      <c r="C568" s="2009"/>
      <c r="D568" s="2009"/>
    </row>
    <row r="569" spans="3:4">
      <c r="C569" s="2009"/>
      <c r="D569" s="2009"/>
    </row>
    <row r="570" spans="3:4">
      <c r="C570" s="2009"/>
      <c r="D570" s="2009"/>
    </row>
    <row r="571" spans="3:4">
      <c r="C571" s="2009"/>
      <c r="D571" s="2009"/>
    </row>
    <row r="572" spans="3:4">
      <c r="C572" s="2009"/>
      <c r="D572" s="2009"/>
    </row>
    <row r="573" spans="3:4">
      <c r="C573" s="2009"/>
      <c r="D573" s="2009"/>
    </row>
    <row r="574" spans="3:4">
      <c r="C574" s="2009"/>
      <c r="D574" s="2009"/>
    </row>
    <row r="575" spans="3:4">
      <c r="C575" s="2009"/>
      <c r="D575" s="2009"/>
    </row>
    <row r="576" spans="3:4">
      <c r="C576" s="2009"/>
      <c r="D576" s="2009"/>
    </row>
    <row r="577" spans="3:4">
      <c r="C577" s="2009"/>
      <c r="D577" s="2009"/>
    </row>
    <row r="578" spans="3:4">
      <c r="C578" s="2009"/>
      <c r="D578" s="2009"/>
    </row>
    <row r="579" spans="3:4">
      <c r="C579" s="2009"/>
      <c r="D579" s="2009"/>
    </row>
    <row r="580" spans="3:4">
      <c r="C580" s="2009"/>
      <c r="D580" s="2009"/>
    </row>
    <row r="581" spans="3:4">
      <c r="C581" s="2009"/>
      <c r="D581" s="2009"/>
    </row>
    <row r="582" spans="3:4">
      <c r="C582" s="2009"/>
      <c r="D582" s="2009"/>
    </row>
    <row r="583" spans="3:4">
      <c r="C583" s="2009"/>
      <c r="D583" s="2009"/>
    </row>
    <row r="584" spans="3:4">
      <c r="C584" s="2009"/>
      <c r="D584" s="2009"/>
    </row>
    <row r="585" spans="3:4">
      <c r="C585" s="2009"/>
      <c r="D585" s="2009"/>
    </row>
    <row r="586" spans="3:4">
      <c r="C586" s="2009"/>
      <c r="D586" s="2009"/>
    </row>
    <row r="587" spans="3:4">
      <c r="C587" s="2009"/>
      <c r="D587" s="2009"/>
    </row>
    <row r="588" spans="3:4">
      <c r="C588" s="2009"/>
      <c r="D588" s="2009"/>
    </row>
    <row r="589" spans="3:4">
      <c r="C589" s="2009"/>
      <c r="D589" s="2009"/>
    </row>
    <row r="590" spans="3:4">
      <c r="C590" s="2009"/>
      <c r="D590" s="2009"/>
    </row>
    <row r="591" spans="3:4">
      <c r="C591" s="2009"/>
      <c r="D591" s="2009"/>
    </row>
    <row r="592" spans="3:4">
      <c r="C592" s="2009"/>
      <c r="D592" s="2009"/>
    </row>
    <row r="593" spans="3:4">
      <c r="C593" s="2009"/>
      <c r="D593" s="2009"/>
    </row>
    <row r="594" spans="3:4">
      <c r="C594" s="2009"/>
      <c r="D594" s="2009"/>
    </row>
    <row r="595" spans="3:4">
      <c r="C595" s="2009"/>
      <c r="D595" s="2009"/>
    </row>
    <row r="596" spans="3:4">
      <c r="C596" s="2009"/>
      <c r="D596" s="2009"/>
    </row>
    <row r="597" spans="3:4">
      <c r="C597" s="2009"/>
      <c r="D597" s="2009"/>
    </row>
    <row r="598" spans="3:4">
      <c r="C598" s="2009"/>
      <c r="D598" s="2009"/>
    </row>
    <row r="599" spans="3:4">
      <c r="C599" s="2009"/>
      <c r="D599" s="2009"/>
    </row>
    <row r="600" spans="3:4">
      <c r="C600" s="2009"/>
      <c r="D600" s="2009"/>
    </row>
    <row r="601" spans="3:4">
      <c r="C601" s="2009"/>
      <c r="D601" s="2009"/>
    </row>
    <row r="602" spans="3:4">
      <c r="C602" s="2009"/>
      <c r="D602" s="2009"/>
    </row>
    <row r="603" spans="3:4">
      <c r="C603" s="2009"/>
      <c r="D603" s="2009"/>
    </row>
    <row r="604" spans="3:4">
      <c r="C604" s="2009"/>
      <c r="D604" s="2009"/>
    </row>
    <row r="605" spans="3:4">
      <c r="C605" s="2009"/>
      <c r="D605" s="2009"/>
    </row>
    <row r="606" spans="3:4">
      <c r="C606" s="2009"/>
      <c r="D606" s="2009"/>
    </row>
    <row r="607" spans="3:4">
      <c r="C607" s="2009"/>
      <c r="D607" s="2009"/>
    </row>
    <row r="608" spans="3:4">
      <c r="C608" s="2009"/>
      <c r="D608" s="2009"/>
    </row>
    <row r="609" spans="3:4">
      <c r="C609" s="2009"/>
      <c r="D609" s="2009"/>
    </row>
    <row r="610" spans="3:4">
      <c r="C610" s="2009"/>
      <c r="D610" s="2009"/>
    </row>
    <row r="611" spans="3:4">
      <c r="C611" s="2009"/>
      <c r="D611" s="2009"/>
    </row>
    <row r="612" spans="3:4">
      <c r="C612" s="2009"/>
      <c r="D612" s="2009"/>
    </row>
    <row r="613" spans="3:4">
      <c r="C613" s="2009"/>
      <c r="D613" s="2009"/>
    </row>
    <row r="614" spans="3:4">
      <c r="C614" s="2009"/>
      <c r="D614" s="2009"/>
    </row>
    <row r="615" spans="3:4">
      <c r="C615" s="2009"/>
      <c r="D615" s="2009"/>
    </row>
    <row r="616" spans="3:4">
      <c r="C616" s="2009"/>
      <c r="D616" s="2009"/>
    </row>
    <row r="617" spans="3:4">
      <c r="C617" s="2009"/>
      <c r="D617" s="2009"/>
    </row>
    <row r="618" spans="3:4">
      <c r="C618" s="2009"/>
      <c r="D618" s="2009"/>
    </row>
    <row r="619" spans="3:4">
      <c r="C619" s="2009"/>
      <c r="D619" s="2009"/>
    </row>
    <row r="620" spans="3:4">
      <c r="C620" s="2009"/>
      <c r="D620" s="2009"/>
    </row>
    <row r="621" spans="3:4">
      <c r="C621" s="2009"/>
      <c r="D621" s="2009"/>
    </row>
    <row r="622" spans="3:4">
      <c r="C622" s="2009"/>
      <c r="D622" s="2009"/>
    </row>
    <row r="623" spans="3:4">
      <c r="C623" s="2009"/>
      <c r="D623" s="2009"/>
    </row>
    <row r="624" spans="3:4">
      <c r="C624" s="2009"/>
      <c r="D624" s="2009"/>
    </row>
    <row r="625" spans="3:4">
      <c r="C625" s="2009"/>
      <c r="D625" s="2009"/>
    </row>
    <row r="626" spans="3:4">
      <c r="C626" s="2009"/>
      <c r="D626" s="2009"/>
    </row>
    <row r="627" spans="3:4">
      <c r="C627" s="2009"/>
      <c r="D627" s="2009"/>
    </row>
    <row r="628" spans="3:4">
      <c r="C628" s="2009"/>
      <c r="D628" s="2009"/>
    </row>
    <row r="629" spans="3:4">
      <c r="C629" s="2009"/>
      <c r="D629" s="2009"/>
    </row>
    <row r="630" spans="3:4">
      <c r="C630" s="2009"/>
      <c r="D630" s="2009"/>
    </row>
    <row r="631" spans="3:4">
      <c r="C631" s="2009"/>
      <c r="D631" s="2009"/>
    </row>
    <row r="632" spans="3:4">
      <c r="C632" s="2009"/>
      <c r="D632" s="2009"/>
    </row>
    <row r="633" spans="3:4">
      <c r="C633" s="2009"/>
      <c r="D633" s="2009"/>
    </row>
    <row r="634" spans="3:4">
      <c r="C634" s="2009"/>
      <c r="D634" s="2009"/>
    </row>
    <row r="635" spans="3:4">
      <c r="C635" s="2009"/>
      <c r="D635" s="2009"/>
    </row>
    <row r="636" spans="3:4">
      <c r="C636" s="2009"/>
      <c r="D636" s="2009"/>
    </row>
    <row r="637" spans="3:4">
      <c r="C637" s="2009"/>
      <c r="D637" s="2009"/>
    </row>
    <row r="638" spans="3:4">
      <c r="C638" s="2009"/>
      <c r="D638" s="2009"/>
    </row>
    <row r="639" spans="3:4">
      <c r="C639" s="2009"/>
      <c r="D639" s="2009"/>
    </row>
    <row r="640" spans="3:4">
      <c r="C640" s="2009"/>
      <c r="D640" s="2009"/>
    </row>
    <row r="641" spans="3:4">
      <c r="C641" s="2009"/>
      <c r="D641" s="2009"/>
    </row>
    <row r="642" spans="3:4">
      <c r="C642" s="2009"/>
      <c r="D642" s="2009"/>
    </row>
    <row r="643" spans="3:4">
      <c r="C643" s="2009"/>
      <c r="D643" s="2009"/>
    </row>
    <row r="644" spans="3:4">
      <c r="C644" s="2009"/>
      <c r="D644" s="2009"/>
    </row>
    <row r="645" spans="3:4">
      <c r="C645" s="2009"/>
      <c r="D645" s="2009"/>
    </row>
    <row r="646" spans="3:4">
      <c r="C646" s="2009"/>
      <c r="D646" s="2009"/>
    </row>
    <row r="647" spans="3:4">
      <c r="C647" s="2009"/>
      <c r="D647" s="2009"/>
    </row>
    <row r="648" spans="3:4">
      <c r="C648" s="2009"/>
      <c r="D648" s="2009"/>
    </row>
    <row r="649" spans="3:4">
      <c r="C649" s="2009"/>
      <c r="D649" s="2009"/>
    </row>
    <row r="650" spans="3:4">
      <c r="C650" s="2009"/>
      <c r="D650" s="2009"/>
    </row>
    <row r="651" spans="3:4">
      <c r="C651" s="2009"/>
      <c r="D651" s="2009"/>
    </row>
    <row r="652" spans="3:4">
      <c r="C652" s="2009"/>
      <c r="D652" s="2009"/>
    </row>
    <row r="653" spans="3:4">
      <c r="C653" s="2009"/>
      <c r="D653" s="2009"/>
    </row>
    <row r="654" spans="3:4">
      <c r="C654" s="2009"/>
      <c r="D654" s="2009"/>
    </row>
    <row r="655" spans="3:4">
      <c r="C655" s="2009"/>
      <c r="D655" s="2009"/>
    </row>
    <row r="656" spans="3:4">
      <c r="C656" s="2009"/>
      <c r="D656" s="2009"/>
    </row>
    <row r="657" spans="3:4">
      <c r="C657" s="2009"/>
      <c r="D657" s="2009"/>
    </row>
    <row r="658" spans="3:4">
      <c r="C658" s="2009"/>
      <c r="D658" s="2009"/>
    </row>
    <row r="659" spans="3:4">
      <c r="C659" s="2009"/>
      <c r="D659" s="2009"/>
    </row>
    <row r="660" spans="3:4">
      <c r="C660" s="2009"/>
      <c r="D660" s="2009"/>
    </row>
    <row r="661" spans="3:4">
      <c r="C661" s="2009"/>
      <c r="D661" s="2009"/>
    </row>
    <row r="662" spans="3:4">
      <c r="C662" s="2009"/>
      <c r="D662" s="2009"/>
    </row>
    <row r="663" spans="3:4">
      <c r="C663" s="2009"/>
      <c r="D663" s="2009"/>
    </row>
    <row r="664" spans="3:4">
      <c r="C664" s="2009"/>
      <c r="D664" s="2009"/>
    </row>
    <row r="665" spans="3:4">
      <c r="C665" s="2009"/>
      <c r="D665" s="2009"/>
    </row>
    <row r="666" spans="3:4">
      <c r="C666" s="2009"/>
      <c r="D666" s="2009"/>
    </row>
    <row r="667" spans="3:4">
      <c r="C667" s="2009"/>
      <c r="D667" s="2009"/>
    </row>
    <row r="668" spans="3:4">
      <c r="C668" s="2009"/>
      <c r="D668" s="2009"/>
    </row>
    <row r="669" spans="3:4">
      <c r="C669" s="2009"/>
      <c r="D669" s="2009"/>
    </row>
    <row r="670" spans="3:4">
      <c r="C670" s="2009"/>
      <c r="D670" s="2009"/>
    </row>
    <row r="671" spans="3:4">
      <c r="C671" s="2009"/>
      <c r="D671" s="2009"/>
    </row>
    <row r="672" spans="3:4">
      <c r="C672" s="2009"/>
      <c r="D672" s="2009"/>
    </row>
    <row r="673" spans="3:4">
      <c r="C673" s="2009"/>
      <c r="D673" s="2009"/>
    </row>
    <row r="674" spans="3:4">
      <c r="C674" s="2009"/>
      <c r="D674" s="2009"/>
    </row>
    <row r="675" spans="3:4">
      <c r="C675" s="2009"/>
      <c r="D675" s="2009"/>
    </row>
    <row r="676" spans="3:4">
      <c r="C676" s="2009"/>
      <c r="D676" s="2009"/>
    </row>
    <row r="677" spans="3:4">
      <c r="C677" s="2009"/>
      <c r="D677" s="2009"/>
    </row>
    <row r="678" spans="3:4">
      <c r="C678" s="2009"/>
      <c r="D678" s="2009"/>
    </row>
    <row r="679" spans="3:4">
      <c r="C679" s="2009"/>
      <c r="D679" s="2009"/>
    </row>
    <row r="680" spans="3:4">
      <c r="C680" s="2009"/>
      <c r="D680" s="2009"/>
    </row>
    <row r="681" spans="3:4">
      <c r="C681" s="2009"/>
      <c r="D681" s="2009"/>
    </row>
    <row r="682" spans="3:4">
      <c r="C682" s="2009"/>
      <c r="D682" s="2009"/>
    </row>
    <row r="683" spans="3:4">
      <c r="C683" s="2009"/>
      <c r="D683" s="2009"/>
    </row>
    <row r="684" spans="3:4">
      <c r="C684" s="2009"/>
      <c r="D684" s="2009"/>
    </row>
    <row r="685" spans="3:4">
      <c r="C685" s="2009"/>
      <c r="D685" s="2009"/>
    </row>
    <row r="686" spans="3:4">
      <c r="C686" s="2009"/>
      <c r="D686" s="2009"/>
    </row>
    <row r="687" spans="3:4">
      <c r="C687" s="2009"/>
      <c r="D687" s="2009"/>
    </row>
    <row r="688" spans="3:4">
      <c r="C688" s="2009"/>
      <c r="D688" s="2009"/>
    </row>
    <row r="689" spans="3:4">
      <c r="C689" s="2009"/>
      <c r="D689" s="2009"/>
    </row>
    <row r="690" spans="3:4">
      <c r="C690" s="2009"/>
      <c r="D690" s="2009"/>
    </row>
    <row r="691" spans="3:4">
      <c r="C691" s="2009"/>
      <c r="D691" s="2009"/>
    </row>
    <row r="692" spans="3:4">
      <c r="C692" s="2009"/>
      <c r="D692" s="2009"/>
    </row>
    <row r="693" spans="3:4">
      <c r="C693" s="2009"/>
      <c r="D693" s="2009"/>
    </row>
    <row r="694" spans="3:4">
      <c r="C694" s="2009"/>
      <c r="D694" s="2009"/>
    </row>
    <row r="695" spans="3:4">
      <c r="C695" s="2009"/>
      <c r="D695" s="2009"/>
    </row>
    <row r="696" spans="3:4">
      <c r="C696" s="2009"/>
      <c r="D696" s="2009"/>
    </row>
    <row r="697" spans="3:4">
      <c r="C697" s="2009"/>
      <c r="D697" s="2009"/>
    </row>
    <row r="698" spans="3:4">
      <c r="C698" s="2009"/>
      <c r="D698" s="2009"/>
    </row>
    <row r="699" spans="3:4">
      <c r="C699" s="2009"/>
      <c r="D699" s="2009"/>
    </row>
    <row r="700" spans="3:4">
      <c r="C700" s="2009"/>
      <c r="D700" s="2009"/>
    </row>
    <row r="701" spans="3:4">
      <c r="C701" s="2009"/>
      <c r="D701" s="2009"/>
    </row>
    <row r="702" spans="3:4">
      <c r="C702" s="2009"/>
      <c r="D702" s="2009"/>
    </row>
    <row r="703" spans="3:4">
      <c r="C703" s="2009"/>
      <c r="D703" s="2009"/>
    </row>
    <row r="704" spans="3:4">
      <c r="C704" s="2009"/>
      <c r="D704" s="2009"/>
    </row>
    <row r="705" spans="3:4">
      <c r="C705" s="2009"/>
      <c r="D705" s="2009"/>
    </row>
    <row r="706" spans="3:4">
      <c r="C706" s="2009"/>
      <c r="D706" s="2009"/>
    </row>
    <row r="707" spans="3:4">
      <c r="C707" s="2009"/>
      <c r="D707" s="2009"/>
    </row>
    <row r="708" spans="3:4">
      <c r="C708" s="2009"/>
      <c r="D708" s="2009"/>
    </row>
    <row r="709" spans="3:4">
      <c r="C709" s="2009"/>
      <c r="D709" s="2009"/>
    </row>
    <row r="710" spans="3:4">
      <c r="C710" s="2009"/>
      <c r="D710" s="2009"/>
    </row>
    <row r="711" spans="3:4">
      <c r="C711" s="2009"/>
      <c r="D711" s="2009"/>
    </row>
    <row r="712" spans="3:4">
      <c r="C712" s="2009"/>
      <c r="D712" s="2009"/>
    </row>
    <row r="713" spans="3:4">
      <c r="C713" s="2009"/>
      <c r="D713" s="2009"/>
    </row>
    <row r="714" spans="3:4">
      <c r="C714" s="2009"/>
      <c r="D714" s="2009"/>
    </row>
    <row r="715" spans="3:4">
      <c r="C715" s="2009"/>
      <c r="D715" s="2009"/>
    </row>
    <row r="716" spans="3:4">
      <c r="C716" s="2009"/>
      <c r="D716" s="2009"/>
    </row>
    <row r="717" spans="3:4">
      <c r="C717" s="2009"/>
      <c r="D717" s="2009"/>
    </row>
    <row r="718" spans="3:4">
      <c r="C718" s="2009"/>
      <c r="D718" s="2009"/>
    </row>
    <row r="719" spans="3:4">
      <c r="C719" s="2009"/>
      <c r="D719" s="2009"/>
    </row>
    <row r="720" spans="3:4">
      <c r="C720" s="2009"/>
      <c r="D720" s="2009"/>
    </row>
    <row r="721" spans="3:4">
      <c r="C721" s="2009"/>
      <c r="D721" s="2009"/>
    </row>
    <row r="722" spans="3:4">
      <c r="C722" s="2009"/>
      <c r="D722" s="2009"/>
    </row>
    <row r="723" spans="3:4">
      <c r="C723" s="2009"/>
      <c r="D723" s="2009"/>
    </row>
    <row r="724" spans="3:4">
      <c r="C724" s="2009"/>
      <c r="D724" s="2009"/>
    </row>
    <row r="725" spans="3:4">
      <c r="C725" s="2009"/>
      <c r="D725" s="2009"/>
    </row>
    <row r="726" spans="3:4">
      <c r="C726" s="2009"/>
      <c r="D726" s="2009"/>
    </row>
    <row r="727" spans="3:4">
      <c r="C727" s="2009"/>
      <c r="D727" s="2009"/>
    </row>
    <row r="728" spans="3:4">
      <c r="C728" s="2009"/>
      <c r="D728" s="2009"/>
    </row>
    <row r="729" spans="3:4">
      <c r="C729" s="2009"/>
      <c r="D729" s="2009"/>
    </row>
    <row r="730" spans="3:4">
      <c r="C730" s="2009"/>
      <c r="D730" s="2009"/>
    </row>
    <row r="731" spans="3:4">
      <c r="C731" s="2009"/>
      <c r="D731" s="2009"/>
    </row>
    <row r="732" spans="3:4">
      <c r="C732" s="2009"/>
      <c r="D732" s="2009"/>
    </row>
    <row r="733" spans="3:4">
      <c r="C733" s="2009"/>
      <c r="D733" s="2009"/>
    </row>
    <row r="734" spans="3:4">
      <c r="C734" s="2009"/>
      <c r="D734" s="2009"/>
    </row>
    <row r="735" spans="3:4">
      <c r="C735" s="2009"/>
      <c r="D735" s="2009"/>
    </row>
    <row r="736" spans="3:4">
      <c r="C736" s="2009"/>
      <c r="D736" s="2009"/>
    </row>
    <row r="737" spans="3:4">
      <c r="C737" s="2009"/>
      <c r="D737" s="2009"/>
    </row>
    <row r="738" spans="3:4">
      <c r="C738" s="2009"/>
      <c r="D738" s="2009"/>
    </row>
    <row r="739" spans="3:4">
      <c r="C739" s="2009"/>
      <c r="D739" s="2009"/>
    </row>
    <row r="740" spans="3:4">
      <c r="C740" s="2009"/>
      <c r="D740" s="2009"/>
    </row>
    <row r="741" spans="3:4">
      <c r="C741" s="2009"/>
      <c r="D741" s="2009"/>
    </row>
    <row r="742" spans="3:4">
      <c r="C742" s="2009"/>
      <c r="D742" s="2009"/>
    </row>
    <row r="743" spans="3:4">
      <c r="C743" s="2009"/>
      <c r="D743" s="2009"/>
    </row>
    <row r="744" spans="3:4">
      <c r="C744" s="2009"/>
      <c r="D744" s="2009"/>
    </row>
    <row r="745" spans="3:4">
      <c r="C745" s="2009"/>
      <c r="D745" s="2009"/>
    </row>
    <row r="746" spans="3:4">
      <c r="C746" s="2009"/>
      <c r="D746" s="2009"/>
    </row>
    <row r="747" spans="3:4">
      <c r="C747" s="2009"/>
      <c r="D747" s="2009"/>
    </row>
    <row r="748" spans="3:4">
      <c r="C748" s="2009"/>
      <c r="D748" s="2009"/>
    </row>
    <row r="749" spans="3:4">
      <c r="C749" s="2009"/>
      <c r="D749" s="2009"/>
    </row>
    <row r="750" spans="3:4">
      <c r="C750" s="2009"/>
      <c r="D750" s="2009"/>
    </row>
    <row r="751" spans="3:4">
      <c r="C751" s="2009"/>
      <c r="D751" s="2009"/>
    </row>
    <row r="752" spans="3:4">
      <c r="C752" s="2009"/>
      <c r="D752" s="2009"/>
    </row>
    <row r="753" spans="3:4">
      <c r="C753" s="2009"/>
      <c r="D753" s="2009"/>
    </row>
    <row r="754" spans="3:4">
      <c r="C754" s="2009"/>
      <c r="D754" s="2009"/>
    </row>
    <row r="755" spans="3:4">
      <c r="C755" s="2009"/>
      <c r="D755" s="2009"/>
    </row>
    <row r="756" spans="3:4">
      <c r="C756" s="2009"/>
      <c r="D756" s="2009"/>
    </row>
    <row r="757" spans="3:4">
      <c r="C757" s="2009"/>
      <c r="D757" s="2009"/>
    </row>
    <row r="758" spans="3:4">
      <c r="C758" s="2009"/>
      <c r="D758" s="2009"/>
    </row>
    <row r="759" spans="3:4">
      <c r="C759" s="2009"/>
      <c r="D759" s="2009"/>
    </row>
    <row r="760" spans="3:4">
      <c r="C760" s="2009"/>
      <c r="D760" s="2009"/>
    </row>
    <row r="761" spans="3:4">
      <c r="C761" s="2009"/>
      <c r="D761" s="2009"/>
    </row>
    <row r="762" spans="3:4">
      <c r="C762" s="2009"/>
      <c r="D762" s="2009"/>
    </row>
    <row r="763" spans="3:4">
      <c r="C763" s="2009"/>
      <c r="D763" s="2009"/>
    </row>
    <row r="764" spans="3:4">
      <c r="C764" s="2009"/>
      <c r="D764" s="2009"/>
    </row>
    <row r="765" spans="3:4">
      <c r="C765" s="2009"/>
      <c r="D765" s="2009"/>
    </row>
    <row r="766" spans="3:4">
      <c r="C766" s="2009"/>
      <c r="D766" s="2009"/>
    </row>
    <row r="767" spans="3:4">
      <c r="C767" s="2009"/>
      <c r="D767" s="2009"/>
    </row>
    <row r="768" spans="3:4">
      <c r="C768" s="2009"/>
      <c r="D768" s="2009"/>
    </row>
    <row r="769" spans="3:4">
      <c r="C769" s="2009"/>
      <c r="D769" s="2009"/>
    </row>
    <row r="770" spans="3:4">
      <c r="C770" s="2009"/>
      <c r="D770" s="2009"/>
    </row>
    <row r="771" spans="3:4">
      <c r="C771" s="2009"/>
      <c r="D771" s="2009"/>
    </row>
    <row r="772" spans="3:4">
      <c r="C772" s="2009"/>
      <c r="D772" s="2009"/>
    </row>
    <row r="773" spans="3:4">
      <c r="C773" s="2009"/>
      <c r="D773" s="2009"/>
    </row>
    <row r="774" spans="3:4">
      <c r="C774" s="2009"/>
      <c r="D774" s="2009"/>
    </row>
    <row r="775" spans="3:4">
      <c r="C775" s="2009"/>
      <c r="D775" s="2009"/>
    </row>
    <row r="776" spans="3:4">
      <c r="C776" s="2009"/>
      <c r="D776" s="2009"/>
    </row>
    <row r="777" spans="3:4">
      <c r="C777" s="2009"/>
      <c r="D777" s="2009"/>
    </row>
    <row r="778" spans="3:4">
      <c r="C778" s="2009"/>
      <c r="D778" s="2009"/>
    </row>
    <row r="779" spans="3:4">
      <c r="C779" s="2009"/>
      <c r="D779" s="2009"/>
    </row>
    <row r="780" spans="3:4">
      <c r="C780" s="2009"/>
      <c r="D780" s="2009"/>
    </row>
    <row r="781" spans="3:4">
      <c r="C781" s="2009"/>
      <c r="D781" s="2009"/>
    </row>
    <row r="782" spans="3:4">
      <c r="C782" s="2009"/>
      <c r="D782" s="2009"/>
    </row>
    <row r="783" spans="3:4">
      <c r="C783" s="2009"/>
      <c r="D783" s="2009"/>
    </row>
    <row r="784" spans="3:4">
      <c r="C784" s="2009"/>
      <c r="D784" s="2009"/>
    </row>
    <row r="785" spans="3:4">
      <c r="C785" s="2009"/>
      <c r="D785" s="2009"/>
    </row>
    <row r="786" spans="3:4">
      <c r="C786" s="2009"/>
      <c r="D786" s="2009"/>
    </row>
    <row r="787" spans="3:4">
      <c r="C787" s="2009"/>
      <c r="D787" s="2009"/>
    </row>
    <row r="788" spans="3:4">
      <c r="C788" s="2009"/>
      <c r="D788" s="2009"/>
    </row>
    <row r="789" spans="3:4">
      <c r="C789" s="2009"/>
      <c r="D789" s="2009"/>
    </row>
    <row r="790" spans="3:4">
      <c r="C790" s="2009"/>
      <c r="D790" s="2009"/>
    </row>
    <row r="791" spans="3:4">
      <c r="C791" s="2009"/>
      <c r="D791" s="2009"/>
    </row>
    <row r="792" spans="3:4">
      <c r="C792" s="2009"/>
      <c r="D792" s="2009"/>
    </row>
    <row r="793" spans="3:4">
      <c r="C793" s="2009"/>
      <c r="D793" s="2009"/>
    </row>
    <row r="794" spans="3:4">
      <c r="C794" s="2009"/>
      <c r="D794" s="2009"/>
    </row>
    <row r="795" spans="3:4">
      <c r="C795" s="2009"/>
      <c r="D795" s="2009"/>
    </row>
    <row r="796" spans="3:4">
      <c r="C796" s="2009"/>
      <c r="D796" s="2009"/>
    </row>
    <row r="797" spans="3:4">
      <c r="C797" s="2009"/>
      <c r="D797" s="2009"/>
    </row>
    <row r="798" spans="3:4">
      <c r="C798" s="2009"/>
      <c r="D798" s="2009"/>
    </row>
    <row r="799" spans="3:4">
      <c r="C799" s="2009"/>
      <c r="D799" s="2009"/>
    </row>
    <row r="800" spans="3:4">
      <c r="C800" s="2009"/>
      <c r="D800" s="2009"/>
    </row>
    <row r="801" spans="3:4">
      <c r="C801" s="2009"/>
      <c r="D801" s="2009"/>
    </row>
    <row r="802" spans="3:4">
      <c r="C802" s="2009"/>
      <c r="D802" s="2009"/>
    </row>
    <row r="803" spans="3:4">
      <c r="C803" s="2009"/>
      <c r="D803" s="2009"/>
    </row>
    <row r="804" spans="3:4">
      <c r="C804" s="2009"/>
      <c r="D804" s="2009"/>
    </row>
    <row r="805" spans="3:4">
      <c r="C805" s="2009"/>
      <c r="D805" s="2009"/>
    </row>
    <row r="806" spans="3:4">
      <c r="C806" s="2009"/>
      <c r="D806" s="2009"/>
    </row>
    <row r="807" spans="3:4">
      <c r="C807" s="2009"/>
      <c r="D807" s="2009"/>
    </row>
    <row r="808" spans="3:4">
      <c r="C808" s="2009"/>
      <c r="D808" s="2009"/>
    </row>
    <row r="809" spans="3:4">
      <c r="C809" s="2009"/>
      <c r="D809" s="2009"/>
    </row>
    <row r="810" spans="3:4">
      <c r="C810" s="2009"/>
      <c r="D810" s="2009"/>
    </row>
    <row r="811" spans="3:4">
      <c r="C811" s="2009"/>
      <c r="D811" s="2009"/>
    </row>
    <row r="812" spans="3:4">
      <c r="C812" s="2009"/>
      <c r="D812" s="2009"/>
    </row>
    <row r="813" spans="3:4">
      <c r="C813" s="2009"/>
      <c r="D813" s="2009"/>
    </row>
    <row r="814" spans="3:4">
      <c r="C814" s="2009"/>
      <c r="D814" s="2009"/>
    </row>
    <row r="815" spans="3:4">
      <c r="C815" s="2009"/>
      <c r="D815" s="2009"/>
    </row>
    <row r="816" spans="3:4">
      <c r="C816" s="2009"/>
      <c r="D816" s="2009"/>
    </row>
    <row r="817" spans="3:4">
      <c r="C817" s="2009"/>
      <c r="D817" s="2009"/>
    </row>
    <row r="818" spans="3:4">
      <c r="C818" s="2009"/>
      <c r="D818" s="2009"/>
    </row>
    <row r="819" spans="3:4">
      <c r="C819" s="2009"/>
      <c r="D819" s="2009"/>
    </row>
    <row r="820" spans="3:4">
      <c r="C820" s="2009"/>
      <c r="D820" s="2009"/>
    </row>
    <row r="821" spans="3:4">
      <c r="C821" s="2009"/>
      <c r="D821" s="2009"/>
    </row>
    <row r="822" spans="3:4">
      <c r="C822" s="2009"/>
      <c r="D822" s="2009"/>
    </row>
    <row r="823" spans="3:4">
      <c r="C823" s="2009"/>
      <c r="D823" s="2009"/>
    </row>
    <row r="824" spans="3:4">
      <c r="C824" s="2009"/>
      <c r="D824" s="2009"/>
    </row>
    <row r="825" spans="3:4">
      <c r="C825" s="2009"/>
      <c r="D825" s="2009"/>
    </row>
    <row r="826" spans="3:4">
      <c r="C826" s="2009"/>
      <c r="D826" s="2009"/>
    </row>
    <row r="827" spans="3:4">
      <c r="C827" s="2009"/>
      <c r="D827" s="2009"/>
    </row>
    <row r="828" spans="3:4">
      <c r="C828" s="2009"/>
      <c r="D828" s="2009"/>
    </row>
    <row r="829" spans="3:4">
      <c r="C829" s="2009"/>
      <c r="D829" s="2009"/>
    </row>
    <row r="830" spans="3:4">
      <c r="C830" s="2009"/>
      <c r="D830" s="2009"/>
    </row>
    <row r="831" spans="3:4">
      <c r="C831" s="2009"/>
      <c r="D831" s="2009"/>
    </row>
    <row r="832" spans="3:4">
      <c r="C832" s="2009"/>
      <c r="D832" s="2009"/>
    </row>
    <row r="833" spans="3:4">
      <c r="C833" s="2009"/>
      <c r="D833" s="2009"/>
    </row>
    <row r="834" spans="3:4">
      <c r="C834" s="2009"/>
      <c r="D834" s="2009"/>
    </row>
    <row r="835" spans="3:4">
      <c r="C835" s="2009"/>
      <c r="D835" s="2009"/>
    </row>
    <row r="836" spans="3:4">
      <c r="C836" s="2009"/>
      <c r="D836" s="2009"/>
    </row>
    <row r="837" spans="3:4">
      <c r="C837" s="2009"/>
      <c r="D837" s="2009"/>
    </row>
    <row r="838" spans="3:4">
      <c r="C838" s="2009"/>
      <c r="D838" s="2009"/>
    </row>
    <row r="839" spans="3:4">
      <c r="C839" s="2009"/>
      <c r="D839" s="2009"/>
    </row>
    <row r="840" spans="3:4">
      <c r="C840" s="2009"/>
      <c r="D840" s="2009"/>
    </row>
    <row r="841" spans="3:4">
      <c r="C841" s="2009"/>
      <c r="D841" s="2009"/>
    </row>
    <row r="842" spans="3:4">
      <c r="C842" s="2009"/>
      <c r="D842" s="2009"/>
    </row>
    <row r="843" spans="3:4">
      <c r="C843" s="2009"/>
      <c r="D843" s="2009"/>
    </row>
    <row r="844" spans="3:4">
      <c r="C844" s="2009"/>
      <c r="D844" s="2009"/>
    </row>
    <row r="845" spans="3:4">
      <c r="C845" s="2009"/>
      <c r="D845" s="2009"/>
    </row>
    <row r="846" spans="3:4">
      <c r="C846" s="2009"/>
      <c r="D846" s="2009"/>
    </row>
    <row r="847" spans="3:4">
      <c r="C847" s="2009"/>
      <c r="D847" s="2009"/>
    </row>
    <row r="848" spans="3:4">
      <c r="C848" s="2009"/>
      <c r="D848" s="2009"/>
    </row>
    <row r="849" spans="3:4">
      <c r="C849" s="2009"/>
      <c r="D849" s="2009"/>
    </row>
    <row r="850" spans="3:4">
      <c r="C850" s="2009"/>
      <c r="D850" s="2009"/>
    </row>
    <row r="851" spans="3:4">
      <c r="C851" s="2009"/>
      <c r="D851" s="2009"/>
    </row>
    <row r="852" spans="3:4">
      <c r="C852" s="2009"/>
      <c r="D852" s="2009"/>
    </row>
    <row r="853" spans="3:4">
      <c r="C853" s="2009"/>
      <c r="D853" s="2009"/>
    </row>
    <row r="854" spans="3:4">
      <c r="C854" s="2009"/>
      <c r="D854" s="2009"/>
    </row>
    <row r="855" spans="3:4">
      <c r="C855" s="2009"/>
      <c r="D855" s="2009"/>
    </row>
    <row r="856" spans="3:4">
      <c r="C856" s="2009"/>
      <c r="D856" s="2009"/>
    </row>
    <row r="857" spans="3:4">
      <c r="C857" s="2009"/>
      <c r="D857" s="2009"/>
    </row>
    <row r="858" spans="3:4">
      <c r="C858" s="2009"/>
      <c r="D858" s="2009"/>
    </row>
    <row r="859" spans="3:4">
      <c r="C859" s="2009"/>
      <c r="D859" s="2009"/>
    </row>
    <row r="860" spans="3:4">
      <c r="C860" s="2009"/>
      <c r="D860" s="2009"/>
    </row>
    <row r="861" spans="3:4">
      <c r="C861" s="2009"/>
      <c r="D861" s="2009"/>
    </row>
    <row r="862" spans="3:4">
      <c r="C862" s="2009"/>
      <c r="D862" s="2009"/>
    </row>
    <row r="863" spans="3:4">
      <c r="C863" s="2009"/>
      <c r="D863" s="2009"/>
    </row>
    <row r="864" spans="3:4">
      <c r="C864" s="2009"/>
      <c r="D864" s="2009"/>
    </row>
    <row r="865" spans="3:4">
      <c r="C865" s="2009"/>
      <c r="D865" s="2009"/>
    </row>
    <row r="866" spans="3:4">
      <c r="C866" s="2009"/>
      <c r="D866" s="2009"/>
    </row>
    <row r="867" spans="3:4">
      <c r="C867" s="2009"/>
      <c r="D867" s="2009"/>
    </row>
    <row r="868" spans="3:4">
      <c r="C868" s="2009"/>
      <c r="D868" s="2009"/>
    </row>
    <row r="869" spans="3:4">
      <c r="C869" s="2009"/>
      <c r="D869" s="2009"/>
    </row>
    <row r="870" spans="3:4">
      <c r="C870" s="2009"/>
      <c r="D870" s="2009"/>
    </row>
    <row r="871" spans="3:4">
      <c r="C871" s="2009"/>
      <c r="D871" s="2009"/>
    </row>
    <row r="872" spans="3:4">
      <c r="C872" s="2009"/>
      <c r="D872" s="2009"/>
    </row>
    <row r="873" spans="3:4">
      <c r="C873" s="2009"/>
      <c r="D873" s="2009"/>
    </row>
    <row r="874" spans="3:4">
      <c r="C874" s="2009"/>
      <c r="D874" s="2009"/>
    </row>
    <row r="875" spans="3:4">
      <c r="C875" s="2009"/>
      <c r="D875" s="2009"/>
    </row>
    <row r="876" spans="3:4">
      <c r="C876" s="2009"/>
      <c r="D876" s="2009"/>
    </row>
    <row r="877" spans="3:4">
      <c r="C877" s="2009"/>
      <c r="D877" s="2009"/>
    </row>
    <row r="878" spans="3:4">
      <c r="C878" s="2009"/>
      <c r="D878" s="2009"/>
    </row>
    <row r="879" spans="3:4">
      <c r="C879" s="2009"/>
      <c r="D879" s="2009"/>
    </row>
    <row r="880" spans="3:4">
      <c r="C880" s="2009"/>
      <c r="D880" s="2009"/>
    </row>
    <row r="881" spans="3:4">
      <c r="C881" s="2009"/>
      <c r="D881" s="2009"/>
    </row>
    <row r="882" spans="3:4">
      <c r="C882" s="2009"/>
      <c r="D882" s="2009"/>
    </row>
    <row r="883" spans="3:4">
      <c r="C883" s="2009"/>
      <c r="D883" s="2009"/>
    </row>
    <row r="884" spans="3:4">
      <c r="C884" s="2009"/>
      <c r="D884" s="2009"/>
    </row>
    <row r="885" spans="3:4">
      <c r="C885" s="2009"/>
      <c r="D885" s="2009"/>
    </row>
    <row r="886" spans="3:4">
      <c r="C886" s="2009"/>
      <c r="D886" s="2009"/>
    </row>
    <row r="887" spans="3:4">
      <c r="C887" s="2009"/>
      <c r="D887" s="2009"/>
    </row>
    <row r="888" spans="3:4">
      <c r="C888" s="2009"/>
      <c r="D888" s="2009"/>
    </row>
    <row r="889" spans="3:4">
      <c r="C889" s="2009"/>
      <c r="D889" s="2009"/>
    </row>
    <row r="890" spans="3:4">
      <c r="C890" s="2009"/>
      <c r="D890" s="2009"/>
    </row>
    <row r="891" spans="3:4">
      <c r="C891" s="2009"/>
      <c r="D891" s="2009"/>
    </row>
    <row r="892" spans="3:4">
      <c r="C892" s="2009"/>
      <c r="D892" s="2009"/>
    </row>
    <row r="893" spans="3:4">
      <c r="C893" s="2009"/>
      <c r="D893" s="2009"/>
    </row>
    <row r="894" spans="3:4">
      <c r="C894" s="2009"/>
      <c r="D894" s="2009"/>
    </row>
    <row r="895" spans="3:4">
      <c r="C895" s="2009"/>
      <c r="D895" s="2009"/>
    </row>
    <row r="896" spans="3:4">
      <c r="C896" s="2009"/>
      <c r="D896" s="2009"/>
    </row>
    <row r="897" spans="3:4">
      <c r="C897" s="2009"/>
      <c r="D897" s="2009"/>
    </row>
    <row r="898" spans="3:4">
      <c r="C898" s="2009"/>
      <c r="D898" s="2009"/>
    </row>
    <row r="899" spans="3:4">
      <c r="C899" s="2009"/>
      <c r="D899" s="2009"/>
    </row>
    <row r="900" spans="3:4">
      <c r="C900" s="2009"/>
      <c r="D900" s="2009"/>
    </row>
    <row r="901" spans="3:4">
      <c r="C901" s="2009"/>
      <c r="D901" s="2009"/>
    </row>
    <row r="902" spans="3:4">
      <c r="C902" s="2009"/>
      <c r="D902" s="2009"/>
    </row>
    <row r="903" spans="3:4">
      <c r="C903" s="2009"/>
      <c r="D903" s="2009"/>
    </row>
    <row r="904" spans="3:4">
      <c r="C904" s="2009"/>
      <c r="D904" s="2009"/>
    </row>
    <row r="905" spans="3:4">
      <c r="C905" s="2009"/>
      <c r="D905" s="2009"/>
    </row>
    <row r="906" spans="3:4">
      <c r="C906" s="2009"/>
      <c r="D906" s="2009"/>
    </row>
    <row r="907" spans="3:4">
      <c r="C907" s="2009"/>
      <c r="D907" s="2009"/>
    </row>
    <row r="908" spans="3:4">
      <c r="C908" s="2009"/>
      <c r="D908" s="2009"/>
    </row>
    <row r="909" spans="3:4">
      <c r="C909" s="2009"/>
      <c r="D909" s="2009"/>
    </row>
    <row r="910" spans="3:4">
      <c r="C910" s="2009"/>
      <c r="D910" s="2009"/>
    </row>
    <row r="911" spans="3:4">
      <c r="C911" s="2009"/>
      <c r="D911" s="2009"/>
    </row>
    <row r="912" spans="3:4">
      <c r="C912" s="2009"/>
      <c r="D912" s="2009"/>
    </row>
    <row r="913" spans="3:4">
      <c r="C913" s="2009"/>
      <c r="D913" s="2009"/>
    </row>
    <row r="914" spans="3:4">
      <c r="C914" s="2009"/>
      <c r="D914" s="2009"/>
    </row>
    <row r="915" spans="3:4">
      <c r="C915" s="2009"/>
      <c r="D915" s="2009"/>
    </row>
    <row r="916" spans="3:4">
      <c r="C916" s="2009"/>
      <c r="D916" s="2009"/>
    </row>
    <row r="917" spans="3:4">
      <c r="C917" s="2009"/>
      <c r="D917" s="2009"/>
    </row>
    <row r="918" spans="3:4">
      <c r="C918" s="2009"/>
      <c r="D918" s="2009"/>
    </row>
    <row r="919" spans="3:4">
      <c r="C919" s="2009"/>
      <c r="D919" s="2009"/>
    </row>
    <row r="920" spans="3:4">
      <c r="C920" s="2009"/>
      <c r="D920" s="2009"/>
    </row>
    <row r="921" spans="3:4">
      <c r="C921" s="2009"/>
      <c r="D921" s="2009"/>
    </row>
    <row r="922" spans="3:4">
      <c r="C922" s="2009"/>
      <c r="D922" s="2009"/>
    </row>
    <row r="923" spans="3:4">
      <c r="C923" s="2009"/>
      <c r="D923" s="2009"/>
    </row>
    <row r="924" spans="3:4">
      <c r="C924" s="2009"/>
      <c r="D924" s="2009"/>
    </row>
    <row r="925" spans="3:4">
      <c r="C925" s="2009"/>
      <c r="D925" s="2009"/>
    </row>
    <row r="926" spans="3:4">
      <c r="C926" s="2009"/>
      <c r="D926" s="2009"/>
    </row>
    <row r="927" spans="3:4">
      <c r="C927" s="2009"/>
      <c r="D927" s="2009"/>
    </row>
    <row r="928" spans="3:4">
      <c r="C928" s="2009"/>
      <c r="D928" s="2009"/>
    </row>
    <row r="929" spans="3:4">
      <c r="C929" s="2009"/>
      <c r="D929" s="2009"/>
    </row>
    <row r="930" spans="3:4">
      <c r="C930" s="2009"/>
      <c r="D930" s="2009"/>
    </row>
    <row r="931" spans="3:4">
      <c r="C931" s="2009"/>
      <c r="D931" s="2009"/>
    </row>
    <row r="932" spans="3:4">
      <c r="C932" s="2009"/>
      <c r="D932" s="2009"/>
    </row>
    <row r="933" spans="3:4">
      <c r="C933" s="2009"/>
      <c r="D933" s="2009"/>
    </row>
    <row r="934" spans="3:4">
      <c r="C934" s="2009"/>
      <c r="D934" s="2009"/>
    </row>
    <row r="935" spans="3:4">
      <c r="C935" s="2009"/>
      <c r="D935" s="2009"/>
    </row>
    <row r="936" spans="3:4">
      <c r="C936" s="2009"/>
      <c r="D936" s="2009"/>
    </row>
    <row r="937" spans="3:4">
      <c r="C937" s="2009"/>
      <c r="D937" s="2009"/>
    </row>
    <row r="938" spans="3:4">
      <c r="C938" s="2009"/>
      <c r="D938" s="2009"/>
    </row>
    <row r="939" spans="3:4">
      <c r="C939" s="2009"/>
      <c r="D939" s="2009"/>
    </row>
    <row r="940" spans="3:4">
      <c r="C940" s="2009"/>
      <c r="D940" s="2009"/>
    </row>
    <row r="941" spans="3:4">
      <c r="C941" s="2009"/>
      <c r="D941" s="2009"/>
    </row>
    <row r="942" spans="3:4">
      <c r="C942" s="2009"/>
      <c r="D942" s="2009"/>
    </row>
    <row r="943" spans="3:4">
      <c r="C943" s="2009"/>
      <c r="D943" s="2009"/>
    </row>
    <row r="944" spans="3:4">
      <c r="C944" s="2009"/>
      <c r="D944" s="2009"/>
    </row>
    <row r="945" spans="3:4">
      <c r="C945" s="2009"/>
      <c r="D945" s="2009"/>
    </row>
    <row r="946" spans="3:4">
      <c r="C946" s="2009"/>
      <c r="D946" s="2009"/>
    </row>
    <row r="947" spans="3:4">
      <c r="C947" s="2009"/>
      <c r="D947" s="2009"/>
    </row>
    <row r="948" spans="3:4">
      <c r="C948" s="2009"/>
      <c r="D948" s="2009"/>
    </row>
    <row r="949" spans="3:4">
      <c r="C949" s="2009"/>
      <c r="D949" s="2009"/>
    </row>
    <row r="950" spans="3:4">
      <c r="C950" s="2009"/>
      <c r="D950" s="2009"/>
    </row>
    <row r="951" spans="3:4">
      <c r="C951" s="2009"/>
      <c r="D951" s="2009"/>
    </row>
    <row r="952" spans="3:4">
      <c r="C952" s="2009"/>
      <c r="D952" s="2009"/>
    </row>
    <row r="953" spans="3:4">
      <c r="C953" s="2009"/>
      <c r="D953" s="2009"/>
    </row>
    <row r="954" spans="3:4">
      <c r="C954" s="2009"/>
      <c r="D954" s="2009"/>
    </row>
    <row r="955" spans="3:4">
      <c r="C955" s="2009"/>
      <c r="D955" s="2009"/>
    </row>
    <row r="956" spans="3:4">
      <c r="C956" s="2009"/>
      <c r="D956" s="2009"/>
    </row>
    <row r="957" spans="3:4">
      <c r="C957" s="2009"/>
      <c r="D957" s="2009"/>
    </row>
    <row r="958" spans="3:4">
      <c r="C958" s="2009"/>
      <c r="D958" s="2009"/>
    </row>
    <row r="959" spans="3:4">
      <c r="C959" s="2009"/>
      <c r="D959" s="2009"/>
    </row>
    <row r="960" spans="3:4">
      <c r="C960" s="2009"/>
      <c r="D960" s="2009"/>
    </row>
    <row r="961" spans="3:4">
      <c r="C961" s="2009"/>
      <c r="D961" s="2009"/>
    </row>
    <row r="962" spans="3:4">
      <c r="C962" s="2009"/>
      <c r="D962" s="2009"/>
    </row>
    <row r="963" spans="3:4">
      <c r="C963" s="2009"/>
      <c r="D963" s="2009"/>
    </row>
    <row r="964" spans="3:4">
      <c r="C964" s="2009"/>
      <c r="D964" s="2009"/>
    </row>
    <row r="965" spans="3:4">
      <c r="C965" s="2009"/>
      <c r="D965" s="2009"/>
    </row>
    <row r="966" spans="3:4">
      <c r="C966" s="2009"/>
      <c r="D966" s="2009"/>
    </row>
    <row r="967" spans="3:4">
      <c r="C967" s="2009"/>
      <c r="D967" s="2009"/>
    </row>
    <row r="968" spans="3:4">
      <c r="C968" s="2009"/>
      <c r="D968" s="2009"/>
    </row>
    <row r="969" spans="3:4">
      <c r="C969" s="2009"/>
      <c r="D969" s="2009"/>
    </row>
    <row r="970" spans="3:4">
      <c r="C970" s="2009"/>
      <c r="D970" s="2009"/>
    </row>
    <row r="971" spans="3:4">
      <c r="C971" s="2009"/>
      <c r="D971" s="2009"/>
    </row>
    <row r="972" spans="3:4">
      <c r="C972" s="2009"/>
      <c r="D972" s="2009"/>
    </row>
    <row r="973" spans="3:4">
      <c r="C973" s="2009"/>
      <c r="D973" s="2009"/>
    </row>
    <row r="974" spans="3:4">
      <c r="C974" s="2009"/>
      <c r="D974" s="2009"/>
    </row>
    <row r="975" spans="3:4">
      <c r="C975" s="2009"/>
      <c r="D975" s="2009"/>
    </row>
    <row r="976" spans="3:4">
      <c r="C976" s="2009"/>
      <c r="D976" s="2009"/>
    </row>
    <row r="977" spans="3:4">
      <c r="C977" s="2009"/>
      <c r="D977" s="2009"/>
    </row>
    <row r="978" spans="3:4">
      <c r="C978" s="2009"/>
      <c r="D978" s="2009"/>
    </row>
    <row r="979" spans="3:4">
      <c r="C979" s="2009"/>
      <c r="D979" s="2009"/>
    </row>
    <row r="980" spans="3:4">
      <c r="C980" s="2009"/>
      <c r="D980" s="2009"/>
    </row>
    <row r="981" spans="3:4">
      <c r="C981" s="2009"/>
      <c r="D981" s="2009"/>
    </row>
    <row r="982" spans="3:4">
      <c r="C982" s="2009"/>
      <c r="D982" s="2009"/>
    </row>
    <row r="983" spans="3:4">
      <c r="C983" s="2009"/>
      <c r="D983" s="2009"/>
    </row>
    <row r="984" spans="3:4">
      <c r="C984" s="2009"/>
      <c r="D984" s="2009"/>
    </row>
    <row r="985" spans="3:4">
      <c r="C985" s="2009"/>
      <c r="D985" s="2009"/>
    </row>
    <row r="986" spans="3:4">
      <c r="C986" s="2009"/>
      <c r="D986" s="2009"/>
    </row>
    <row r="987" spans="3:4">
      <c r="C987" s="2009"/>
      <c r="D987" s="2009"/>
    </row>
    <row r="988" spans="3:4">
      <c r="C988" s="2009"/>
      <c r="D988" s="2009"/>
    </row>
    <row r="989" spans="3:4">
      <c r="C989" s="2009"/>
      <c r="D989" s="2009"/>
    </row>
    <row r="990" spans="3:4">
      <c r="C990" s="2009"/>
      <c r="D990" s="2009"/>
    </row>
    <row r="991" spans="3:4">
      <c r="C991" s="2009"/>
      <c r="D991" s="2009"/>
    </row>
    <row r="992" spans="3:4">
      <c r="C992" s="2009"/>
      <c r="D992" s="2009"/>
    </row>
    <row r="993" spans="3:4">
      <c r="C993" s="2009"/>
      <c r="D993" s="2009"/>
    </row>
    <row r="994" spans="3:4">
      <c r="C994" s="2009"/>
      <c r="D994" s="2009"/>
    </row>
    <row r="995" spans="3:4">
      <c r="C995" s="2009"/>
      <c r="D995" s="2009"/>
    </row>
    <row r="996" spans="3:4">
      <c r="C996" s="2009"/>
      <c r="D996" s="2009"/>
    </row>
    <row r="997" spans="3:4">
      <c r="C997" s="2009"/>
      <c r="D997" s="2009"/>
    </row>
    <row r="998" spans="3:4">
      <c r="C998" s="2009"/>
      <c r="D998" s="2009"/>
    </row>
    <row r="999" spans="3:4">
      <c r="C999" s="2009"/>
      <c r="D999" s="2009"/>
    </row>
    <row r="1000" spans="3:4">
      <c r="C1000" s="2009"/>
      <c r="D1000" s="2009"/>
    </row>
    <row r="1001" spans="3:4">
      <c r="C1001" s="2009"/>
      <c r="D1001" s="2009"/>
    </row>
    <row r="1002" spans="3:4">
      <c r="C1002" s="2009"/>
      <c r="D1002" s="2009"/>
    </row>
    <row r="1003" spans="3:4">
      <c r="C1003" s="2009"/>
      <c r="D1003" s="2009"/>
    </row>
    <row r="1004" spans="3:4">
      <c r="C1004" s="2009"/>
      <c r="D1004" s="2009"/>
    </row>
    <row r="1005" spans="3:4">
      <c r="C1005" s="2009"/>
      <c r="D1005" s="2009"/>
    </row>
    <row r="1006" spans="3:4">
      <c r="C1006" s="2009"/>
      <c r="D1006" s="2009"/>
    </row>
    <row r="1007" spans="3:4">
      <c r="C1007" s="2009"/>
      <c r="D1007" s="2009"/>
    </row>
    <row r="1008" spans="3:4">
      <c r="C1008" s="2009"/>
      <c r="D1008" s="2009"/>
    </row>
    <row r="1009" spans="3:4">
      <c r="C1009" s="2009"/>
      <c r="D1009" s="2009"/>
    </row>
    <row r="1010" spans="3:4">
      <c r="C1010" s="2009"/>
      <c r="D1010" s="2009"/>
    </row>
    <row r="1011" spans="3:4">
      <c r="C1011" s="2009"/>
      <c r="D1011" s="2009"/>
    </row>
    <row r="1012" spans="3:4">
      <c r="C1012" s="2009"/>
      <c r="D1012" s="2009"/>
    </row>
    <row r="1013" spans="3:4">
      <c r="C1013" s="2009"/>
      <c r="D1013" s="2009"/>
    </row>
    <row r="1014" spans="3:4">
      <c r="C1014" s="2009"/>
      <c r="D1014" s="2009"/>
    </row>
    <row r="1015" spans="3:4">
      <c r="C1015" s="2009"/>
      <c r="D1015" s="2009"/>
    </row>
    <row r="1016" spans="3:4">
      <c r="C1016" s="2009"/>
      <c r="D1016" s="2009"/>
    </row>
    <row r="1017" spans="3:4">
      <c r="C1017" s="2009"/>
      <c r="D1017" s="2009"/>
    </row>
    <row r="1018" spans="3:4">
      <c r="C1018" s="2009"/>
      <c r="D1018" s="2009"/>
    </row>
    <row r="1019" spans="3:4">
      <c r="C1019" s="2009"/>
      <c r="D1019" s="2009"/>
    </row>
    <row r="1020" spans="3:4">
      <c r="C1020" s="2009"/>
      <c r="D1020" s="2009"/>
    </row>
    <row r="1021" spans="3:4">
      <c r="C1021" s="2009"/>
      <c r="D1021" s="2009"/>
    </row>
    <row r="1022" spans="3:4">
      <c r="C1022" s="2009"/>
      <c r="D1022" s="2009"/>
    </row>
    <row r="1023" spans="3:4">
      <c r="C1023" s="2009"/>
      <c r="D1023" s="2009"/>
    </row>
    <row r="1024" spans="3:4">
      <c r="C1024" s="2009"/>
      <c r="D1024" s="2009"/>
    </row>
    <row r="1025" spans="3:4">
      <c r="C1025" s="2009"/>
      <c r="D1025" s="2009"/>
    </row>
    <row r="1026" spans="3:4">
      <c r="C1026" s="2009"/>
      <c r="D1026" s="2009"/>
    </row>
    <row r="1027" spans="3:4">
      <c r="C1027" s="2009"/>
      <c r="D1027" s="2009"/>
    </row>
    <row r="1028" spans="3:4">
      <c r="C1028" s="2009"/>
      <c r="D1028" s="2009"/>
    </row>
    <row r="1029" spans="3:4">
      <c r="C1029" s="2009"/>
      <c r="D1029" s="2009"/>
    </row>
    <row r="1030" spans="3:4">
      <c r="C1030" s="2009"/>
      <c r="D1030" s="2009"/>
    </row>
    <row r="1031" spans="3:4">
      <c r="C1031" s="2009"/>
      <c r="D1031" s="2009"/>
    </row>
    <row r="1032" spans="3:4">
      <c r="C1032" s="2009"/>
      <c r="D1032" s="2009"/>
    </row>
    <row r="1033" spans="3:4">
      <c r="C1033" s="2009"/>
      <c r="D1033" s="2009"/>
    </row>
    <row r="1034" spans="3:4">
      <c r="C1034" s="2009"/>
      <c r="D1034" s="2009"/>
    </row>
    <row r="1035" spans="3:4">
      <c r="C1035" s="2009"/>
      <c r="D1035" s="2009"/>
    </row>
    <row r="1036" spans="3:4">
      <c r="C1036" s="2009"/>
      <c r="D1036" s="2009"/>
    </row>
    <row r="1037" spans="3:4">
      <c r="C1037" s="2009"/>
      <c r="D1037" s="2009"/>
    </row>
    <row r="1038" spans="3:4">
      <c r="C1038" s="2009"/>
      <c r="D1038" s="2009"/>
    </row>
    <row r="1039" spans="3:4">
      <c r="C1039" s="2009"/>
      <c r="D1039" s="2009"/>
    </row>
    <row r="1040" spans="3:4">
      <c r="C1040" s="2009"/>
      <c r="D1040" s="2009"/>
    </row>
    <row r="1041" spans="3:4">
      <c r="C1041" s="2009"/>
      <c r="D1041" s="2009"/>
    </row>
    <row r="1042" spans="3:4">
      <c r="C1042" s="2009"/>
      <c r="D1042" s="2009"/>
    </row>
    <row r="1043" spans="3:4">
      <c r="C1043" s="2009"/>
      <c r="D1043" s="2009"/>
    </row>
    <row r="1044" spans="3:4">
      <c r="C1044" s="2009"/>
      <c r="D1044" s="2009"/>
    </row>
    <row r="1045" spans="3:4">
      <c r="C1045" s="2009"/>
      <c r="D1045" s="2009"/>
    </row>
    <row r="1046" spans="3:4">
      <c r="C1046" s="2009"/>
      <c r="D1046" s="2009"/>
    </row>
    <row r="1047" spans="3:4">
      <c r="C1047" s="2009"/>
      <c r="D1047" s="2009"/>
    </row>
    <row r="1048" spans="3:4">
      <c r="C1048" s="2009"/>
      <c r="D1048" s="2009"/>
    </row>
    <row r="1049" spans="3:4">
      <c r="C1049" s="2009"/>
      <c r="D1049" s="2009"/>
    </row>
    <row r="1050" spans="3:4">
      <c r="C1050" s="2009"/>
      <c r="D1050" s="2009"/>
    </row>
    <row r="1051" spans="3:4">
      <c r="C1051" s="2009"/>
      <c r="D1051" s="2009"/>
    </row>
    <row r="1052" spans="3:4">
      <c r="C1052" s="2009"/>
      <c r="D1052" s="2009"/>
    </row>
    <row r="1053" spans="3:4">
      <c r="C1053" s="2009"/>
      <c r="D1053" s="2009"/>
    </row>
    <row r="1054" spans="3:4">
      <c r="C1054" s="2009"/>
      <c r="D1054" s="2009"/>
    </row>
    <row r="1055" spans="3:4">
      <c r="C1055" s="2009"/>
      <c r="D1055" s="2009"/>
    </row>
    <row r="1056" spans="3:4">
      <c r="C1056" s="2009"/>
      <c r="D1056" s="2009"/>
    </row>
    <row r="1057" spans="3:4">
      <c r="C1057" s="2009"/>
      <c r="D1057" s="2009"/>
    </row>
    <row r="1058" spans="3:4">
      <c r="C1058" s="2009"/>
      <c r="D1058" s="2009"/>
    </row>
    <row r="1059" spans="3:4">
      <c r="C1059" s="2009"/>
      <c r="D1059" s="2009"/>
    </row>
    <row r="1060" spans="3:4">
      <c r="C1060" s="2009"/>
      <c r="D1060" s="2009"/>
    </row>
    <row r="1061" spans="3:4">
      <c r="C1061" s="2009"/>
      <c r="D1061" s="2009"/>
    </row>
    <row r="1062" spans="3:4">
      <c r="C1062" s="2009"/>
      <c r="D1062" s="2009"/>
    </row>
    <row r="1063" spans="3:4">
      <c r="C1063" s="2009"/>
      <c r="D1063" s="2009"/>
    </row>
    <row r="1064" spans="3:4">
      <c r="C1064" s="2009"/>
      <c r="D1064" s="2009"/>
    </row>
    <row r="1065" spans="3:4">
      <c r="C1065" s="2009"/>
      <c r="D1065" s="2009"/>
    </row>
    <row r="1066" spans="3:4">
      <c r="C1066" s="2009"/>
      <c r="D1066" s="2009"/>
    </row>
    <row r="1067" spans="3:4">
      <c r="C1067" s="2009"/>
      <c r="D1067" s="2009"/>
    </row>
    <row r="1068" spans="3:4">
      <c r="C1068" s="2009"/>
      <c r="D1068" s="2009"/>
    </row>
    <row r="1069" spans="3:4">
      <c r="C1069" s="2009"/>
      <c r="D1069" s="2009"/>
    </row>
    <row r="1070" spans="3:4">
      <c r="C1070" s="2009"/>
      <c r="D1070" s="2009"/>
    </row>
    <row r="1071" spans="3:4">
      <c r="C1071" s="2009"/>
      <c r="D1071" s="2009"/>
    </row>
    <row r="1072" spans="3:4">
      <c r="C1072" s="2009"/>
      <c r="D1072" s="2009"/>
    </row>
    <row r="1073" spans="3:4">
      <c r="C1073" s="2009"/>
      <c r="D1073" s="2009"/>
    </row>
    <row r="1074" spans="3:4">
      <c r="C1074" s="2009"/>
      <c r="D1074" s="2009"/>
    </row>
    <row r="1075" spans="3:4">
      <c r="C1075" s="2009"/>
      <c r="D1075" s="2009"/>
    </row>
    <row r="1076" spans="3:4">
      <c r="C1076" s="2009"/>
      <c r="D1076" s="2009"/>
    </row>
    <row r="1077" spans="3:4">
      <c r="C1077" s="2009"/>
      <c r="D1077" s="2009"/>
    </row>
    <row r="1078" spans="3:4">
      <c r="C1078" s="2009"/>
      <c r="D1078" s="2009"/>
    </row>
    <row r="1079" spans="3:4">
      <c r="C1079" s="2009"/>
      <c r="D1079" s="2009"/>
    </row>
    <row r="1080" spans="3:4">
      <c r="C1080" s="2009"/>
      <c r="D1080" s="2009"/>
    </row>
    <row r="1081" spans="3:4">
      <c r="C1081" s="2009"/>
      <c r="D1081" s="2009"/>
    </row>
    <row r="1082" spans="3:4">
      <c r="C1082" s="2009"/>
      <c r="D1082" s="2009"/>
    </row>
    <row r="1083" spans="3:4">
      <c r="C1083" s="2009"/>
      <c r="D1083" s="2009"/>
    </row>
    <row r="1084" spans="3:4">
      <c r="C1084" s="2009"/>
      <c r="D1084" s="2009"/>
    </row>
    <row r="1085" spans="3:4">
      <c r="C1085" s="2009"/>
      <c r="D1085" s="2009"/>
    </row>
    <row r="1086" spans="3:4">
      <c r="C1086" s="2009"/>
      <c r="D1086" s="2009"/>
    </row>
    <row r="1087" spans="3:4">
      <c r="C1087" s="2009"/>
      <c r="D1087" s="2009"/>
    </row>
    <row r="1088" spans="3:4">
      <c r="C1088" s="2009"/>
      <c r="D1088" s="2009"/>
    </row>
    <row r="1089" spans="3:4">
      <c r="C1089" s="2009"/>
      <c r="D1089" s="2009"/>
    </row>
    <row r="1090" spans="3:4">
      <c r="C1090" s="2009"/>
      <c r="D1090" s="2009"/>
    </row>
    <row r="1091" spans="3:4">
      <c r="C1091" s="2009"/>
      <c r="D1091" s="2009"/>
    </row>
    <row r="1092" spans="3:4">
      <c r="C1092" s="2009"/>
      <c r="D1092" s="2009"/>
    </row>
    <row r="1093" spans="3:4">
      <c r="C1093" s="2009"/>
      <c r="D1093" s="2009"/>
    </row>
    <row r="1094" spans="3:4">
      <c r="C1094" s="2009"/>
      <c r="D1094" s="2009"/>
    </row>
    <row r="1095" spans="3:4">
      <c r="C1095" s="2009"/>
      <c r="D1095" s="2009"/>
    </row>
    <row r="1096" spans="3:4">
      <c r="C1096" s="2009"/>
      <c r="D1096" s="2009"/>
    </row>
    <row r="1097" spans="3:4">
      <c r="C1097" s="2009"/>
      <c r="D1097" s="2009"/>
    </row>
    <row r="1098" spans="3:4">
      <c r="C1098" s="2009"/>
      <c r="D1098" s="2009"/>
    </row>
    <row r="1099" spans="3:4">
      <c r="C1099" s="2009"/>
      <c r="D1099" s="2009"/>
    </row>
    <row r="1100" spans="3:4">
      <c r="C1100" s="2009"/>
      <c r="D1100" s="2009"/>
    </row>
    <row r="1101" spans="3:4">
      <c r="C1101" s="2009"/>
      <c r="D1101" s="2009"/>
    </row>
    <row r="1102" spans="3:4">
      <c r="C1102" s="2009"/>
      <c r="D1102" s="2009"/>
    </row>
    <row r="1103" spans="3:4">
      <c r="C1103" s="2009"/>
      <c r="D1103" s="2009"/>
    </row>
    <row r="1104" spans="3:4">
      <c r="C1104" s="2009"/>
      <c r="D1104" s="2009"/>
    </row>
    <row r="1105" spans="3:4">
      <c r="C1105" s="2009"/>
      <c r="D1105" s="2009"/>
    </row>
    <row r="1106" spans="3:4">
      <c r="C1106" s="2009"/>
      <c r="D1106" s="2009"/>
    </row>
    <row r="1107" spans="3:4">
      <c r="C1107" s="2009"/>
      <c r="D1107" s="2009"/>
    </row>
    <row r="1108" spans="3:4">
      <c r="C1108" s="2009"/>
      <c r="D1108" s="2009"/>
    </row>
    <row r="1109" spans="3:4">
      <c r="C1109" s="2009"/>
      <c r="D1109" s="2009"/>
    </row>
    <row r="1110" spans="3:4">
      <c r="C1110" s="2009"/>
      <c r="D1110" s="2009"/>
    </row>
    <row r="1111" spans="3:4">
      <c r="C1111" s="2009"/>
      <c r="D1111" s="2009"/>
    </row>
    <row r="1112" spans="3:4">
      <c r="C1112" s="2009"/>
      <c r="D1112" s="2009"/>
    </row>
    <row r="1113" spans="3:4">
      <c r="C1113" s="2009"/>
      <c r="D1113" s="2009"/>
    </row>
    <row r="1114" spans="3:4">
      <c r="C1114" s="2009"/>
      <c r="D1114" s="2009"/>
    </row>
    <row r="1115" spans="3:4">
      <c r="C1115" s="2009"/>
      <c r="D1115" s="2009"/>
    </row>
    <row r="1116" spans="3:4">
      <c r="C1116" s="2009"/>
      <c r="D1116" s="2009"/>
    </row>
    <row r="1117" spans="3:4">
      <c r="C1117" s="2009"/>
      <c r="D1117" s="2009"/>
    </row>
    <row r="1118" spans="3:4">
      <c r="C1118" s="2009"/>
      <c r="D1118" s="2009"/>
    </row>
    <row r="1119" spans="3:4">
      <c r="C1119" s="2009"/>
      <c r="D1119" s="2009"/>
    </row>
    <row r="1120" spans="3:4">
      <c r="C1120" s="2009"/>
      <c r="D1120" s="2009"/>
    </row>
    <row r="1121" spans="3:4">
      <c r="C1121" s="2009"/>
      <c r="D1121" s="2009"/>
    </row>
    <row r="1122" spans="3:4">
      <c r="C1122" s="2009"/>
      <c r="D1122" s="2009"/>
    </row>
    <row r="1123" spans="3:4">
      <c r="C1123" s="2009"/>
      <c r="D1123" s="2009"/>
    </row>
    <row r="1124" spans="3:4">
      <c r="C1124" s="2009"/>
      <c r="D1124" s="2009"/>
    </row>
    <row r="1125" spans="3:4">
      <c r="C1125" s="2009"/>
      <c r="D1125" s="2009"/>
    </row>
    <row r="1126" spans="3:4">
      <c r="C1126" s="2009"/>
      <c r="D1126" s="2009"/>
    </row>
    <row r="1127" spans="3:4">
      <c r="C1127" s="2009"/>
      <c r="D1127" s="2009"/>
    </row>
    <row r="1128" spans="3:4">
      <c r="C1128" s="2009"/>
      <c r="D1128" s="2009"/>
    </row>
    <row r="1129" spans="3:4">
      <c r="C1129" s="2009"/>
      <c r="D1129" s="2009"/>
    </row>
    <row r="1130" spans="3:4">
      <c r="C1130" s="2009"/>
      <c r="D1130" s="2009"/>
    </row>
    <row r="1131" spans="3:4">
      <c r="C1131" s="2009"/>
      <c r="D1131" s="2009"/>
    </row>
    <row r="1132" spans="3:4">
      <c r="C1132" s="2009"/>
      <c r="D1132" s="2009"/>
    </row>
    <row r="1133" spans="3:4">
      <c r="C1133" s="2009"/>
      <c r="D1133" s="2009"/>
    </row>
    <row r="1134" spans="3:4">
      <c r="C1134" s="2009"/>
      <c r="D1134" s="2009"/>
    </row>
    <row r="1135" spans="3:4">
      <c r="C1135" s="2009"/>
      <c r="D1135" s="2009"/>
    </row>
    <row r="1136" spans="3:4">
      <c r="C1136" s="2009"/>
      <c r="D1136" s="2009"/>
    </row>
    <row r="1137" spans="3:4">
      <c r="C1137" s="2009"/>
      <c r="D1137" s="2009"/>
    </row>
    <row r="1138" spans="3:4">
      <c r="C1138" s="2009"/>
      <c r="D1138" s="2009"/>
    </row>
    <row r="1139" spans="3:4">
      <c r="C1139" s="2009"/>
      <c r="D1139" s="2009"/>
    </row>
    <row r="1140" spans="3:4">
      <c r="C1140" s="2009"/>
      <c r="D1140" s="2009"/>
    </row>
    <row r="1141" spans="3:4">
      <c r="C1141" s="2009"/>
      <c r="D1141" s="2009"/>
    </row>
    <row r="1142" spans="3:4">
      <c r="C1142" s="2009"/>
      <c r="D1142" s="2009"/>
    </row>
    <row r="1143" spans="3:4">
      <c r="C1143" s="2009"/>
      <c r="D1143" s="2009"/>
    </row>
    <row r="1144" spans="3:4">
      <c r="C1144" s="2009"/>
      <c r="D1144" s="2009"/>
    </row>
    <row r="1145" spans="3:4">
      <c r="C1145" s="2009"/>
      <c r="D1145" s="2009"/>
    </row>
    <row r="1146" spans="3:4">
      <c r="C1146" s="2009"/>
      <c r="D1146" s="2009"/>
    </row>
    <row r="1147" spans="3:4">
      <c r="C1147" s="2009"/>
      <c r="D1147" s="2009"/>
    </row>
    <row r="1148" spans="3:4">
      <c r="C1148" s="2009"/>
      <c r="D1148" s="2009"/>
    </row>
    <row r="1149" spans="3:4">
      <c r="C1149" s="2009"/>
      <c r="D1149" s="2009"/>
    </row>
    <row r="1150" spans="3:4">
      <c r="C1150" s="2009"/>
      <c r="D1150" s="2009"/>
    </row>
    <row r="1151" spans="3:4">
      <c r="C1151" s="2009"/>
      <c r="D1151" s="2009"/>
    </row>
    <row r="1152" spans="3:4">
      <c r="C1152" s="2009"/>
      <c r="D1152" s="2009"/>
    </row>
    <row r="1153" spans="3:4">
      <c r="C1153" s="2009"/>
      <c r="D1153" s="2009"/>
    </row>
    <row r="1154" spans="3:4">
      <c r="C1154" s="2009"/>
      <c r="D1154" s="2009"/>
    </row>
    <row r="1155" spans="3:4">
      <c r="C1155" s="2009"/>
      <c r="D1155" s="2009"/>
    </row>
    <row r="1156" spans="3:4">
      <c r="C1156" s="2009"/>
      <c r="D1156" s="2009"/>
    </row>
    <row r="1157" spans="3:4">
      <c r="C1157" s="2009"/>
      <c r="D1157" s="2009"/>
    </row>
    <row r="1158" spans="3:4">
      <c r="C1158" s="2009"/>
      <c r="D1158" s="2009"/>
    </row>
    <row r="1159" spans="3:4">
      <c r="C1159" s="2009"/>
      <c r="D1159" s="2009"/>
    </row>
    <row r="1160" spans="3:4">
      <c r="C1160" s="2009"/>
      <c r="D1160" s="2009"/>
    </row>
    <row r="1161" spans="3:4">
      <c r="C1161" s="2009"/>
      <c r="D1161" s="2009"/>
    </row>
    <row r="1162" spans="3:4">
      <c r="C1162" s="2009"/>
      <c r="D1162" s="2009"/>
    </row>
    <row r="1163" spans="3:4">
      <c r="C1163" s="2009"/>
      <c r="D1163" s="2009"/>
    </row>
    <row r="1164" spans="3:4">
      <c r="C1164" s="2009"/>
      <c r="D1164" s="2009"/>
    </row>
    <row r="1165" spans="3:4">
      <c r="C1165" s="2009"/>
      <c r="D1165" s="2009"/>
    </row>
    <row r="1166" spans="3:4">
      <c r="C1166" s="2009"/>
      <c r="D1166" s="2009"/>
    </row>
    <row r="1167" spans="3:4">
      <c r="C1167" s="2009"/>
      <c r="D1167" s="2009"/>
    </row>
    <row r="1168" spans="3:4">
      <c r="C1168" s="2009"/>
      <c r="D1168" s="2009"/>
    </row>
    <row r="1169" spans="3:4">
      <c r="C1169" s="2009"/>
      <c r="D1169" s="2009"/>
    </row>
    <row r="1170" spans="3:4">
      <c r="C1170" s="2009"/>
      <c r="D1170" s="2009"/>
    </row>
    <row r="1171" spans="3:4">
      <c r="C1171" s="2009"/>
      <c r="D1171" s="2009"/>
    </row>
    <row r="1172" spans="3:4">
      <c r="C1172" s="2009"/>
      <c r="D1172" s="2009"/>
    </row>
    <row r="1173" spans="3:4">
      <c r="C1173" s="2009"/>
      <c r="D1173" s="2009"/>
    </row>
    <row r="1174" spans="3:4">
      <c r="C1174" s="2009"/>
      <c r="D1174" s="2009"/>
    </row>
    <row r="1175" spans="3:4">
      <c r="C1175" s="2009"/>
      <c r="D1175" s="2009"/>
    </row>
    <row r="1176" spans="3:4">
      <c r="C1176" s="2009"/>
      <c r="D1176" s="2009"/>
    </row>
    <row r="1177" spans="3:4">
      <c r="C1177" s="2009"/>
      <c r="D1177" s="2009"/>
    </row>
    <row r="1178" spans="3:4">
      <c r="C1178" s="2009"/>
      <c r="D1178" s="2009"/>
    </row>
    <row r="1179" spans="3:4">
      <c r="C1179" s="2009"/>
      <c r="D1179" s="2009"/>
    </row>
    <row r="1180" spans="3:4">
      <c r="C1180" s="2009"/>
      <c r="D1180" s="2009"/>
    </row>
    <row r="1181" spans="3:4">
      <c r="C1181" s="2009"/>
      <c r="D1181" s="2009"/>
    </row>
    <row r="1182" spans="3:4">
      <c r="C1182" s="2009"/>
      <c r="D1182" s="2009"/>
    </row>
    <row r="1183" spans="3:4">
      <c r="C1183" s="2009"/>
      <c r="D1183" s="2009"/>
    </row>
    <row r="1184" spans="3:4">
      <c r="C1184" s="2009"/>
      <c r="D1184" s="2009"/>
    </row>
    <row r="1185" spans="3:4">
      <c r="C1185" s="2009"/>
      <c r="D1185" s="2009"/>
    </row>
    <row r="1186" spans="3:4">
      <c r="C1186" s="2009"/>
      <c r="D1186" s="2009"/>
    </row>
    <row r="1187" spans="3:4">
      <c r="C1187" s="2009"/>
      <c r="D1187" s="2009"/>
    </row>
    <row r="1188" spans="3:4">
      <c r="C1188" s="2009"/>
      <c r="D1188" s="2009"/>
    </row>
    <row r="1189" spans="3:4">
      <c r="C1189" s="2009"/>
      <c r="D1189" s="2009"/>
    </row>
    <row r="1190" spans="3:4">
      <c r="C1190" s="2009"/>
      <c r="D1190" s="2009"/>
    </row>
    <row r="1191" spans="3:4">
      <c r="C1191" s="2009"/>
      <c r="D1191" s="2009"/>
    </row>
    <row r="1192" spans="3:4">
      <c r="C1192" s="2009"/>
      <c r="D1192" s="2009"/>
    </row>
    <row r="1193" spans="3:4">
      <c r="C1193" s="2009"/>
      <c r="D1193" s="2009"/>
    </row>
    <row r="1194" spans="3:4">
      <c r="C1194" s="2009"/>
      <c r="D1194" s="2009"/>
    </row>
    <row r="1195" spans="3:4">
      <c r="C1195" s="2009"/>
      <c r="D1195" s="2009"/>
    </row>
    <row r="1196" spans="3:4">
      <c r="C1196" s="2009"/>
      <c r="D1196" s="2009"/>
    </row>
    <row r="1197" spans="3:4">
      <c r="C1197" s="2009"/>
      <c r="D1197" s="2009"/>
    </row>
    <row r="1198" spans="3:4">
      <c r="C1198" s="2009"/>
      <c r="D1198" s="2009"/>
    </row>
    <row r="1199" spans="3:4">
      <c r="C1199" s="2009"/>
      <c r="D1199" s="2009"/>
    </row>
    <row r="1200" spans="3:4">
      <c r="C1200" s="2009"/>
      <c r="D1200" s="2009"/>
    </row>
    <row r="1201" spans="3:4">
      <c r="C1201" s="2009"/>
      <c r="D1201" s="2009"/>
    </row>
    <row r="1202" spans="3:4">
      <c r="C1202" s="2009"/>
      <c r="D1202" s="2009"/>
    </row>
    <row r="1203" spans="3:4">
      <c r="C1203" s="2009"/>
      <c r="D1203" s="2009"/>
    </row>
    <row r="1204" spans="3:4">
      <c r="C1204" s="2009"/>
      <c r="D1204" s="2009"/>
    </row>
    <row r="1205" spans="3:4">
      <c r="C1205" s="2009"/>
      <c r="D1205" s="2009"/>
    </row>
    <row r="1206" spans="3:4">
      <c r="C1206" s="2009"/>
      <c r="D1206" s="2009"/>
    </row>
    <row r="1207" spans="3:4">
      <c r="C1207" s="2009"/>
      <c r="D1207" s="2009"/>
    </row>
    <row r="1208" spans="3:4">
      <c r="C1208" s="2009"/>
      <c r="D1208" s="2009"/>
    </row>
    <row r="1209" spans="3:4">
      <c r="C1209" s="2009"/>
      <c r="D1209" s="2009"/>
    </row>
    <row r="1210" spans="3:4">
      <c r="C1210" s="2009"/>
      <c r="D1210" s="2009"/>
    </row>
    <row r="1211" spans="3:4">
      <c r="C1211" s="2009"/>
      <c r="D1211" s="2009"/>
    </row>
    <row r="1212" spans="3:4">
      <c r="C1212" s="2009"/>
      <c r="D1212" s="2009"/>
    </row>
    <row r="1213" spans="3:4">
      <c r="C1213" s="2009"/>
      <c r="D1213" s="2009"/>
    </row>
    <row r="1214" spans="3:4">
      <c r="C1214" s="2009"/>
      <c r="D1214" s="2009"/>
    </row>
    <row r="1215" spans="3:4">
      <c r="C1215" s="2009"/>
      <c r="D1215" s="2009"/>
    </row>
    <row r="1216" spans="3:4">
      <c r="C1216" s="2009"/>
      <c r="D1216" s="2009"/>
    </row>
    <row r="1217" spans="3:4">
      <c r="C1217" s="2009"/>
      <c r="D1217" s="2009"/>
    </row>
    <row r="1218" spans="3:4">
      <c r="C1218" s="2009"/>
      <c r="D1218" s="2009"/>
    </row>
    <row r="1219" spans="3:4">
      <c r="C1219" s="2009"/>
      <c r="D1219" s="2009"/>
    </row>
    <row r="1220" spans="3:4">
      <c r="C1220" s="2009"/>
      <c r="D1220" s="2009"/>
    </row>
    <row r="1221" spans="3:4">
      <c r="C1221" s="2009"/>
      <c r="D1221" s="2009"/>
    </row>
    <row r="1222" spans="3:4">
      <c r="C1222" s="2009"/>
      <c r="D1222" s="2009"/>
    </row>
    <row r="1223" spans="3:4">
      <c r="C1223" s="2009"/>
      <c r="D1223" s="2009"/>
    </row>
    <row r="1224" spans="3:4">
      <c r="C1224" s="2009"/>
      <c r="D1224" s="2009"/>
    </row>
    <row r="1225" spans="3:4">
      <c r="C1225" s="2009"/>
      <c r="D1225" s="2009"/>
    </row>
    <row r="1226" spans="3:4">
      <c r="C1226" s="2009"/>
      <c r="D1226" s="2009"/>
    </row>
    <row r="1227" spans="3:4">
      <c r="C1227" s="2009"/>
      <c r="D1227" s="2009"/>
    </row>
    <row r="1228" spans="3:4">
      <c r="C1228" s="2009"/>
      <c r="D1228" s="2009"/>
    </row>
    <row r="1229" spans="3:4">
      <c r="C1229" s="2009"/>
      <c r="D1229" s="2009"/>
    </row>
    <row r="1230" spans="3:4">
      <c r="C1230" s="2009"/>
      <c r="D1230" s="2009"/>
    </row>
    <row r="1231" spans="3:4">
      <c r="C1231" s="2009"/>
      <c r="D1231" s="2009"/>
    </row>
    <row r="1232" spans="3:4">
      <c r="C1232" s="2009"/>
      <c r="D1232" s="2009"/>
    </row>
    <row r="1233" spans="3:4">
      <c r="C1233" s="2009"/>
      <c r="D1233" s="2009"/>
    </row>
    <row r="1234" spans="3:4">
      <c r="C1234" s="2009"/>
      <c r="D1234" s="2009"/>
    </row>
    <row r="1235" spans="3:4">
      <c r="C1235" s="2009"/>
      <c r="D1235" s="2009"/>
    </row>
    <row r="1236" spans="3:4">
      <c r="C1236" s="2009"/>
      <c r="D1236" s="2009"/>
    </row>
    <row r="1237" spans="3:4">
      <c r="C1237" s="2009"/>
      <c r="D1237" s="2009"/>
    </row>
    <row r="1238" spans="3:4">
      <c r="C1238" s="2009"/>
      <c r="D1238" s="2009"/>
    </row>
    <row r="1239" spans="3:4">
      <c r="C1239" s="2009"/>
      <c r="D1239" s="2009"/>
    </row>
    <row r="1240" spans="3:4">
      <c r="C1240" s="2009"/>
      <c r="D1240" s="2009"/>
    </row>
    <row r="1241" spans="3:4">
      <c r="C1241" s="2009"/>
      <c r="D1241" s="2009"/>
    </row>
    <row r="1242" spans="3:4">
      <c r="C1242" s="2009"/>
      <c r="D1242" s="2009"/>
    </row>
    <row r="1243" spans="3:4">
      <c r="C1243" s="2009"/>
      <c r="D1243" s="2009"/>
    </row>
    <row r="1244" spans="3:4">
      <c r="C1244" s="2009"/>
      <c r="D1244" s="2009"/>
    </row>
    <row r="1245" spans="3:4">
      <c r="C1245" s="2009"/>
      <c r="D1245" s="2009"/>
    </row>
    <row r="1246" spans="3:4">
      <c r="C1246" s="2009"/>
      <c r="D1246" s="2009"/>
    </row>
    <row r="1247" spans="3:4">
      <c r="C1247" s="2009"/>
      <c r="D1247" s="2009"/>
    </row>
    <row r="1248" spans="3:4">
      <c r="C1248" s="2009"/>
      <c r="D1248" s="2009"/>
    </row>
    <row r="1249" spans="3:4">
      <c r="C1249" s="2009"/>
      <c r="D1249" s="2009"/>
    </row>
    <row r="1250" spans="3:4">
      <c r="C1250" s="2009"/>
      <c r="D1250" s="2009"/>
    </row>
    <row r="1251" spans="3:4">
      <c r="C1251" s="2009"/>
      <c r="D1251" s="2009"/>
    </row>
    <row r="1252" spans="3:4">
      <c r="C1252" s="2009"/>
      <c r="D1252" s="2009"/>
    </row>
    <row r="1253" spans="3:4">
      <c r="C1253" s="2009"/>
      <c r="D1253" s="2009"/>
    </row>
    <row r="1254" spans="3:4">
      <c r="C1254" s="2009"/>
      <c r="D1254" s="2009"/>
    </row>
    <row r="1255" spans="3:4">
      <c r="C1255" s="2009"/>
      <c r="D1255" s="2009"/>
    </row>
    <row r="1256" spans="3:4">
      <c r="C1256" s="2009"/>
      <c r="D1256" s="2009"/>
    </row>
    <row r="1257" spans="3:4">
      <c r="C1257" s="2009"/>
      <c r="D1257" s="2009"/>
    </row>
    <row r="1258" spans="3:4">
      <c r="C1258" s="2009"/>
      <c r="D1258" s="2009"/>
    </row>
    <row r="1259" spans="3:4">
      <c r="C1259" s="2009"/>
      <c r="D1259" s="2009"/>
    </row>
    <row r="1260" spans="3:4">
      <c r="C1260" s="2009"/>
      <c r="D1260" s="2009"/>
    </row>
    <row r="1261" spans="3:4">
      <c r="C1261" s="2009"/>
      <c r="D1261" s="2009"/>
    </row>
    <row r="1262" spans="3:4">
      <c r="C1262" s="2009"/>
      <c r="D1262" s="2009"/>
    </row>
    <row r="1263" spans="3:4">
      <c r="C1263" s="2009"/>
      <c r="D1263" s="2009"/>
    </row>
    <row r="1264" spans="3:4">
      <c r="C1264" s="2009"/>
      <c r="D1264" s="2009"/>
    </row>
    <row r="1265" spans="3:4">
      <c r="C1265" s="2009"/>
      <c r="D1265" s="2009"/>
    </row>
    <row r="1266" spans="3:4">
      <c r="C1266" s="2009"/>
      <c r="D1266" s="2009"/>
    </row>
    <row r="1267" spans="3:4">
      <c r="C1267" s="2009"/>
      <c r="D1267" s="2009"/>
    </row>
    <row r="1268" spans="3:4">
      <c r="C1268" s="2009"/>
      <c r="D1268" s="2009"/>
    </row>
    <row r="1269" spans="3:4">
      <c r="C1269" s="2009"/>
      <c r="D1269" s="2009"/>
    </row>
    <row r="1270" spans="3:4">
      <c r="C1270" s="2009"/>
      <c r="D1270" s="2009"/>
    </row>
    <row r="1271" spans="3:4">
      <c r="C1271" s="2009"/>
      <c r="D1271" s="2009"/>
    </row>
    <row r="1272" spans="3:4">
      <c r="C1272" s="2009"/>
      <c r="D1272" s="2009"/>
    </row>
    <row r="1273" spans="3:4">
      <c r="C1273" s="2009"/>
      <c r="D1273" s="2009"/>
    </row>
    <row r="1274" spans="3:4">
      <c r="C1274" s="2009"/>
      <c r="D1274" s="2009"/>
    </row>
    <row r="1275" spans="3:4">
      <c r="C1275" s="2009"/>
      <c r="D1275" s="2009"/>
    </row>
    <row r="1276" spans="3:4">
      <c r="C1276" s="2009"/>
      <c r="D1276" s="2009"/>
    </row>
    <row r="1277" spans="3:4">
      <c r="C1277" s="2009"/>
      <c r="D1277" s="2009"/>
    </row>
    <row r="1278" spans="3:4">
      <c r="C1278" s="2009"/>
      <c r="D1278" s="2009"/>
    </row>
    <row r="1279" spans="3:4">
      <c r="C1279" s="2009"/>
      <c r="D1279" s="2009"/>
    </row>
    <row r="1280" spans="3:4">
      <c r="C1280" s="2009"/>
      <c r="D1280" s="2009"/>
    </row>
    <row r="1281" spans="3:4">
      <c r="C1281" s="2009"/>
      <c r="D1281" s="2009"/>
    </row>
    <row r="1282" spans="3:4">
      <c r="C1282" s="2009"/>
      <c r="D1282" s="2009"/>
    </row>
    <row r="1283" spans="3:4">
      <c r="C1283" s="2009"/>
      <c r="D1283" s="2009"/>
    </row>
    <row r="1284" spans="3:4">
      <c r="C1284" s="2009"/>
      <c r="D1284" s="2009"/>
    </row>
    <row r="1285" spans="3:4">
      <c r="C1285" s="2009"/>
      <c r="D1285" s="2009"/>
    </row>
    <row r="1286" spans="3:4">
      <c r="C1286" s="2009"/>
      <c r="D1286" s="2009"/>
    </row>
    <row r="1287" spans="3:4">
      <c r="C1287" s="2009"/>
      <c r="D1287" s="2009"/>
    </row>
    <row r="1288" spans="3:4">
      <c r="C1288" s="2009"/>
      <c r="D1288" s="2009"/>
    </row>
    <row r="1289" spans="3:4">
      <c r="C1289" s="2009"/>
      <c r="D1289" s="2009"/>
    </row>
    <row r="1290" spans="3:4">
      <c r="C1290" s="2009"/>
      <c r="D1290" s="2009"/>
    </row>
    <row r="1291" spans="3:4">
      <c r="C1291" s="2009"/>
      <c r="D1291" s="2009"/>
    </row>
    <row r="1292" spans="3:4">
      <c r="C1292" s="2009"/>
      <c r="D1292" s="2009"/>
    </row>
    <row r="1293" spans="3:4">
      <c r="C1293" s="2009"/>
      <c r="D1293" s="2009"/>
    </row>
    <row r="1294" spans="3:4">
      <c r="C1294" s="2009"/>
      <c r="D1294" s="2009"/>
    </row>
    <row r="1295" spans="3:4">
      <c r="C1295" s="2009"/>
      <c r="D1295" s="2009"/>
    </row>
    <row r="1296" spans="3:4">
      <c r="C1296" s="2009"/>
      <c r="D1296" s="2009"/>
    </row>
    <row r="1297" spans="3:4">
      <c r="C1297" s="2009"/>
      <c r="D1297" s="2009"/>
    </row>
    <row r="1298" spans="3:4">
      <c r="C1298" s="2009"/>
      <c r="D1298" s="2009"/>
    </row>
    <row r="1299" spans="3:4">
      <c r="C1299" s="2009"/>
      <c r="D1299" s="2009"/>
    </row>
    <row r="1300" spans="3:4">
      <c r="C1300" s="2009"/>
      <c r="D1300" s="2009"/>
    </row>
    <row r="1301" spans="3:4">
      <c r="C1301" s="2009"/>
      <c r="D1301" s="2009"/>
    </row>
    <row r="1302" spans="3:4">
      <c r="C1302" s="2009"/>
      <c r="D1302" s="2009"/>
    </row>
    <row r="1303" spans="3:4">
      <c r="C1303" s="2009"/>
      <c r="D1303" s="2009"/>
    </row>
    <row r="1304" spans="3:4">
      <c r="C1304" s="2009"/>
      <c r="D1304" s="2009"/>
    </row>
    <row r="1305" spans="3:4">
      <c r="C1305" s="2009"/>
      <c r="D1305" s="2009"/>
    </row>
    <row r="1306" spans="3:4">
      <c r="C1306" s="2009"/>
      <c r="D1306" s="2009"/>
    </row>
    <row r="1307" spans="3:4">
      <c r="C1307" s="2009"/>
      <c r="D1307" s="2009"/>
    </row>
    <row r="1308" spans="3:4">
      <c r="C1308" s="2009"/>
      <c r="D1308" s="2009"/>
    </row>
    <row r="1309" spans="3:4">
      <c r="C1309" s="2009"/>
      <c r="D1309" s="2009"/>
    </row>
    <row r="1310" spans="3:4">
      <c r="C1310" s="2009"/>
      <c r="D1310" s="2009"/>
    </row>
    <row r="1311" spans="3:4">
      <c r="C1311" s="2009"/>
      <c r="D1311" s="2009"/>
    </row>
    <row r="1312" spans="3:4">
      <c r="C1312" s="2009"/>
      <c r="D1312" s="2009"/>
    </row>
    <row r="1313" spans="3:4">
      <c r="C1313" s="2009"/>
      <c r="D1313" s="2009"/>
    </row>
    <row r="1314" spans="3:4">
      <c r="C1314" s="2009"/>
      <c r="D1314" s="2009"/>
    </row>
    <row r="1315" spans="3:4">
      <c r="C1315" s="2009"/>
      <c r="D1315" s="2009"/>
    </row>
    <row r="1316" spans="3:4">
      <c r="C1316" s="2009"/>
      <c r="D1316" s="2009"/>
    </row>
    <row r="1317" spans="3:4">
      <c r="C1317" s="2009"/>
      <c r="D1317" s="2009"/>
    </row>
    <row r="1318" spans="3:4">
      <c r="C1318" s="2009"/>
      <c r="D1318" s="2009"/>
    </row>
    <row r="1319" spans="3:4">
      <c r="C1319" s="2009"/>
      <c r="D1319" s="2009"/>
    </row>
    <row r="1320" spans="3:4">
      <c r="C1320" s="2009"/>
      <c r="D1320" s="2009"/>
    </row>
    <row r="1321" spans="3:4">
      <c r="C1321" s="2009"/>
      <c r="D1321" s="2009"/>
    </row>
    <row r="1322" spans="3:4">
      <c r="C1322" s="2009"/>
      <c r="D1322" s="2009"/>
    </row>
    <row r="1323" spans="3:4">
      <c r="C1323" s="2009"/>
      <c r="D1323" s="2009"/>
    </row>
    <row r="1324" spans="3:4">
      <c r="C1324" s="2009"/>
      <c r="D1324" s="2009"/>
    </row>
    <row r="1325" spans="3:4">
      <c r="C1325" s="2009"/>
      <c r="D1325" s="2009"/>
    </row>
    <row r="1326" spans="3:4">
      <c r="C1326" s="2009"/>
      <c r="D1326" s="2009"/>
    </row>
    <row r="1327" spans="3:4">
      <c r="C1327" s="2009"/>
      <c r="D1327" s="2009"/>
    </row>
    <row r="1328" spans="3:4">
      <c r="C1328" s="2009"/>
      <c r="D1328" s="2009"/>
    </row>
    <row r="1329" spans="3:4">
      <c r="C1329" s="2009"/>
      <c r="D1329" s="2009"/>
    </row>
    <row r="1330" spans="3:4">
      <c r="C1330" s="2009"/>
      <c r="D1330" s="2009"/>
    </row>
    <row r="1331" spans="3:4">
      <c r="C1331" s="2009"/>
      <c r="D1331" s="2009"/>
    </row>
    <row r="1332" spans="3:4">
      <c r="C1332" s="2009"/>
      <c r="D1332" s="2009"/>
    </row>
    <row r="1333" spans="3:4">
      <c r="C1333" s="2009"/>
      <c r="D1333" s="2009"/>
    </row>
    <row r="1334" spans="3:4">
      <c r="C1334" s="2009"/>
      <c r="D1334" s="2009"/>
    </row>
    <row r="1335" spans="3:4">
      <c r="C1335" s="2009"/>
      <c r="D1335" s="2009"/>
    </row>
    <row r="1336" spans="3:4">
      <c r="C1336" s="2009"/>
      <c r="D1336" s="2009"/>
    </row>
    <row r="1337" spans="3:4">
      <c r="C1337" s="2009"/>
      <c r="D1337" s="2009"/>
    </row>
    <row r="1338" spans="3:4">
      <c r="C1338" s="2009"/>
      <c r="D1338" s="2009"/>
    </row>
    <row r="1339" spans="3:4">
      <c r="C1339" s="2009"/>
      <c r="D1339" s="2009"/>
    </row>
    <row r="1340" spans="3:4">
      <c r="C1340" s="2009"/>
      <c r="D1340" s="2009"/>
    </row>
    <row r="1341" spans="3:4">
      <c r="C1341" s="2009"/>
      <c r="D1341" s="2009"/>
    </row>
    <row r="1342" spans="3:4">
      <c r="C1342" s="2009"/>
      <c r="D1342" s="2009"/>
    </row>
    <row r="1343" spans="3:4">
      <c r="C1343" s="2009"/>
      <c r="D1343" s="2009"/>
    </row>
    <row r="1344" spans="3:4">
      <c r="C1344" s="2009"/>
      <c r="D1344" s="2009"/>
    </row>
    <row r="1345" spans="3:4">
      <c r="C1345" s="2009"/>
      <c r="D1345" s="2009"/>
    </row>
    <row r="1346" spans="3:4">
      <c r="C1346" s="2009"/>
      <c r="D1346" s="2009"/>
    </row>
    <row r="1347" spans="3:4">
      <c r="C1347" s="2009"/>
      <c r="D1347" s="2009"/>
    </row>
    <row r="1348" spans="3:4">
      <c r="C1348" s="2009"/>
      <c r="D1348" s="2009"/>
    </row>
    <row r="1349" spans="3:4">
      <c r="C1349" s="2009"/>
      <c r="D1349" s="2009"/>
    </row>
    <row r="1350" spans="3:4">
      <c r="C1350" s="2009"/>
      <c r="D1350" s="2009"/>
    </row>
    <row r="1351" spans="3:4">
      <c r="C1351" s="2009"/>
      <c r="D1351" s="2009"/>
    </row>
    <row r="1352" spans="3:4">
      <c r="C1352" s="2009"/>
      <c r="D1352" s="2009"/>
    </row>
    <row r="1353" spans="3:4">
      <c r="C1353" s="2009"/>
      <c r="D1353" s="2009"/>
    </row>
    <row r="1354" spans="3:4">
      <c r="C1354" s="2009"/>
      <c r="D1354" s="2009"/>
    </row>
    <row r="1355" spans="3:4">
      <c r="C1355" s="2009"/>
      <c r="D1355" s="2009"/>
    </row>
    <row r="1356" spans="3:4">
      <c r="C1356" s="2009"/>
      <c r="D1356" s="2009"/>
    </row>
    <row r="1357" spans="3:4">
      <c r="C1357" s="2009"/>
      <c r="D1357" s="2009"/>
    </row>
    <row r="1358" spans="3:4">
      <c r="C1358" s="2009"/>
      <c r="D1358" s="2009"/>
    </row>
    <row r="1359" spans="3:4">
      <c r="C1359" s="2009"/>
      <c r="D1359" s="2009"/>
    </row>
    <row r="1360" spans="3:4">
      <c r="C1360" s="2009"/>
      <c r="D1360" s="2009"/>
    </row>
    <row r="1361" spans="3:4">
      <c r="C1361" s="2009"/>
      <c r="D1361" s="2009"/>
    </row>
    <row r="1362" spans="3:4">
      <c r="C1362" s="2009"/>
      <c r="D1362" s="2009"/>
    </row>
    <row r="1363" spans="3:4">
      <c r="C1363" s="2009"/>
      <c r="D1363" s="2009"/>
    </row>
    <row r="1364" spans="3:4">
      <c r="C1364" s="2009"/>
      <c r="D1364" s="2009"/>
    </row>
    <row r="1365" spans="3:4">
      <c r="C1365" s="2009"/>
      <c r="D1365" s="2009"/>
    </row>
    <row r="1366" spans="3:4">
      <c r="C1366" s="2009"/>
      <c r="D1366" s="2009"/>
    </row>
    <row r="1367" spans="3:4">
      <c r="C1367" s="2009"/>
      <c r="D1367" s="2009"/>
    </row>
    <row r="1368" spans="3:4">
      <c r="C1368" s="2009"/>
      <c r="D1368" s="2009"/>
    </row>
    <row r="1369" spans="3:4">
      <c r="C1369" s="2009"/>
      <c r="D1369" s="2009"/>
    </row>
    <row r="1370" spans="3:4">
      <c r="C1370" s="2009"/>
      <c r="D1370" s="2009"/>
    </row>
    <row r="1371" spans="3:4">
      <c r="C1371" s="2009"/>
      <c r="D1371" s="2009"/>
    </row>
    <row r="1372" spans="3:4">
      <c r="C1372" s="2009"/>
      <c r="D1372" s="2009"/>
    </row>
    <row r="1373" spans="3:4">
      <c r="C1373" s="2009"/>
      <c r="D1373" s="2009"/>
    </row>
    <row r="1374" spans="3:4">
      <c r="C1374" s="2009"/>
      <c r="D1374" s="2009"/>
    </row>
    <row r="1375" spans="3:4">
      <c r="C1375" s="2009"/>
      <c r="D1375" s="2009"/>
    </row>
    <row r="1376" spans="3:4">
      <c r="C1376" s="2009"/>
      <c r="D1376" s="2009"/>
    </row>
    <row r="1377" spans="3:4">
      <c r="C1377" s="2009"/>
      <c r="D1377" s="2009"/>
    </row>
    <row r="1378" spans="3:4">
      <c r="C1378" s="2009"/>
      <c r="D1378" s="2009"/>
    </row>
    <row r="1379" spans="3:4">
      <c r="C1379" s="2009"/>
      <c r="D1379" s="2009"/>
    </row>
    <row r="1380" spans="3:4">
      <c r="C1380" s="2009"/>
      <c r="D1380" s="2009"/>
    </row>
    <row r="1381" spans="3:4">
      <c r="C1381" s="2009"/>
      <c r="D1381" s="2009"/>
    </row>
    <row r="1382" spans="3:4">
      <c r="C1382" s="2009"/>
      <c r="D1382" s="2009"/>
    </row>
    <row r="1383" spans="3:4">
      <c r="C1383" s="2009"/>
      <c r="D1383" s="2009"/>
    </row>
    <row r="1384" spans="3:4">
      <c r="C1384" s="2009"/>
      <c r="D1384" s="2009"/>
    </row>
    <row r="1385" spans="3:4">
      <c r="C1385" s="2009"/>
      <c r="D1385" s="2009"/>
    </row>
    <row r="1386" spans="3:4">
      <c r="C1386" s="2009"/>
      <c r="D1386" s="2009"/>
    </row>
    <row r="1387" spans="3:4">
      <c r="C1387" s="2009"/>
      <c r="D1387" s="2009"/>
    </row>
    <row r="1388" spans="3:4">
      <c r="C1388" s="2009"/>
      <c r="D1388" s="2009"/>
    </row>
    <row r="1389" spans="3:4">
      <c r="C1389" s="2009"/>
      <c r="D1389" s="2009"/>
    </row>
    <row r="1390" spans="3:4">
      <c r="C1390" s="2009"/>
      <c r="D1390" s="2009"/>
    </row>
    <row r="1391" spans="3:4">
      <c r="C1391" s="2009"/>
      <c r="D1391" s="2009"/>
    </row>
    <row r="1392" spans="3:4">
      <c r="C1392" s="2009"/>
      <c r="D1392" s="2009"/>
    </row>
    <row r="1393" spans="3:4">
      <c r="C1393" s="2009"/>
      <c r="D1393" s="2009"/>
    </row>
    <row r="1394" spans="3:4">
      <c r="C1394" s="2009"/>
      <c r="D1394" s="2009"/>
    </row>
    <row r="1395" spans="3:4">
      <c r="C1395" s="2009"/>
      <c r="D1395" s="2009"/>
    </row>
    <row r="1396" spans="3:4">
      <c r="C1396" s="2009"/>
      <c r="D1396" s="2009"/>
    </row>
    <row r="1397" spans="3:4">
      <c r="C1397" s="2009"/>
      <c r="D1397" s="2009"/>
    </row>
    <row r="1398" spans="3:4">
      <c r="C1398" s="2009"/>
      <c r="D1398" s="2009"/>
    </row>
    <row r="1399" spans="3:4">
      <c r="C1399" s="2009"/>
      <c r="D1399" s="2009"/>
    </row>
    <row r="1400" spans="3:4">
      <c r="C1400" s="2009"/>
      <c r="D1400" s="2009"/>
    </row>
    <row r="1401" spans="3:4">
      <c r="C1401" s="2009"/>
      <c r="D1401" s="2009"/>
    </row>
    <row r="1402" spans="3:4">
      <c r="C1402" s="2009"/>
      <c r="D1402" s="2009"/>
    </row>
    <row r="1403" spans="3:4">
      <c r="C1403" s="2009"/>
      <c r="D1403" s="2009"/>
    </row>
    <row r="1404" spans="3:4">
      <c r="C1404" s="2009"/>
      <c r="D1404" s="2009"/>
    </row>
    <row r="1405" spans="3:4">
      <c r="C1405" s="2009"/>
      <c r="D1405" s="2009"/>
    </row>
    <row r="1406" spans="3:4">
      <c r="C1406" s="2009"/>
      <c r="D1406" s="2009"/>
    </row>
    <row r="1407" spans="3:4">
      <c r="C1407" s="2009"/>
      <c r="D1407" s="2009"/>
    </row>
    <row r="1408" spans="3:4">
      <c r="C1408" s="2009"/>
      <c r="D1408" s="2009"/>
    </row>
    <row r="1409" spans="3:4">
      <c r="C1409" s="2009"/>
      <c r="D1409" s="2009"/>
    </row>
    <row r="1410" spans="3:4">
      <c r="C1410" s="2009"/>
      <c r="D1410" s="2009"/>
    </row>
    <row r="1411" spans="3:4">
      <c r="C1411" s="2009"/>
      <c r="D1411" s="2009"/>
    </row>
    <row r="1412" spans="3:4">
      <c r="C1412" s="2009"/>
      <c r="D1412" s="2009"/>
    </row>
    <row r="1413" spans="3:4">
      <c r="C1413" s="2009"/>
      <c r="D1413" s="2009"/>
    </row>
    <row r="1414" spans="3:4">
      <c r="C1414" s="2009"/>
      <c r="D1414" s="2009"/>
    </row>
    <row r="1415" spans="3:4">
      <c r="C1415" s="2009"/>
      <c r="D1415" s="2009"/>
    </row>
    <row r="1416" spans="3:4">
      <c r="C1416" s="2009"/>
      <c r="D1416" s="2009"/>
    </row>
    <row r="1417" spans="3:4">
      <c r="C1417" s="2009"/>
      <c r="D1417" s="2009"/>
    </row>
    <row r="1418" spans="3:4">
      <c r="C1418" s="2009"/>
      <c r="D1418" s="2009"/>
    </row>
    <row r="1419" spans="3:4">
      <c r="C1419" s="2009"/>
      <c r="D1419" s="2009"/>
    </row>
    <row r="1420" spans="3:4">
      <c r="C1420" s="2009"/>
      <c r="D1420" s="2009"/>
    </row>
    <row r="1421" spans="3:4">
      <c r="C1421" s="2009"/>
      <c r="D1421" s="2009"/>
    </row>
    <row r="1422" spans="3:4">
      <c r="C1422" s="2009"/>
      <c r="D1422" s="2009"/>
    </row>
    <row r="1423" spans="3:4">
      <c r="C1423" s="2009"/>
      <c r="D1423" s="2009"/>
    </row>
    <row r="1424" spans="3:4">
      <c r="C1424" s="2009"/>
      <c r="D1424" s="2009"/>
    </row>
    <row r="1425" spans="3:4">
      <c r="C1425" s="2009"/>
      <c r="D1425" s="2009"/>
    </row>
    <row r="1426" spans="3:4">
      <c r="C1426" s="2009"/>
      <c r="D1426" s="2009"/>
    </row>
    <row r="1427" spans="3:4">
      <c r="C1427" s="2009"/>
      <c r="D1427" s="2009"/>
    </row>
    <row r="1428" spans="3:4">
      <c r="C1428" s="2009"/>
      <c r="D1428" s="2009"/>
    </row>
    <row r="1429" spans="3:4">
      <c r="C1429" s="2009"/>
      <c r="D1429" s="2009"/>
    </row>
    <row r="1430" spans="3:4">
      <c r="C1430" s="2009"/>
      <c r="D1430" s="2009"/>
    </row>
    <row r="1431" spans="3:4">
      <c r="C1431" s="2009"/>
      <c r="D1431" s="2009"/>
    </row>
    <row r="1432" spans="3:4">
      <c r="C1432" s="2009"/>
      <c r="D1432" s="2009"/>
    </row>
    <row r="1433" spans="3:4">
      <c r="C1433" s="2009"/>
      <c r="D1433" s="2009"/>
    </row>
    <row r="1434" spans="3:4">
      <c r="C1434" s="2009"/>
      <c r="D1434" s="2009"/>
    </row>
    <row r="1435" spans="3:4">
      <c r="C1435" s="2009"/>
      <c r="D1435" s="2009"/>
    </row>
    <row r="1436" spans="3:4">
      <c r="C1436" s="2009"/>
      <c r="D1436" s="2009"/>
    </row>
    <row r="1437" spans="3:4">
      <c r="C1437" s="2009"/>
      <c r="D1437" s="2009"/>
    </row>
    <row r="1438" spans="3:4">
      <c r="C1438" s="2009"/>
      <c r="D1438" s="2009"/>
    </row>
    <row r="1439" spans="3:4">
      <c r="C1439" s="2009"/>
      <c r="D1439" s="2009"/>
    </row>
    <row r="1440" spans="3:4">
      <c r="C1440" s="2009"/>
      <c r="D1440" s="2009"/>
    </row>
    <row r="1441" spans="3:4">
      <c r="C1441" s="2009"/>
      <c r="D1441" s="2009"/>
    </row>
    <row r="1442" spans="3:4">
      <c r="C1442" s="2009"/>
      <c r="D1442" s="2009"/>
    </row>
    <row r="1443" spans="3:4">
      <c r="C1443" s="2009"/>
      <c r="D1443" s="2009"/>
    </row>
    <row r="1444" spans="3:4">
      <c r="C1444" s="2009"/>
      <c r="D1444" s="2009"/>
    </row>
    <row r="1445" spans="3:4">
      <c r="C1445" s="2009"/>
      <c r="D1445" s="2009"/>
    </row>
    <row r="1446" spans="3:4">
      <c r="C1446" s="2009"/>
      <c r="D1446" s="2009"/>
    </row>
    <row r="1447" spans="3:4">
      <c r="C1447" s="2009"/>
      <c r="D1447" s="2009"/>
    </row>
    <row r="1448" spans="3:4">
      <c r="C1448" s="2009"/>
      <c r="D1448" s="2009"/>
    </row>
    <row r="1449" spans="3:4">
      <c r="C1449" s="2009"/>
      <c r="D1449" s="2009"/>
    </row>
    <row r="1450" spans="3:4">
      <c r="C1450" s="2009"/>
      <c r="D1450" s="2009"/>
    </row>
    <row r="1451" spans="3:4">
      <c r="C1451" s="2009"/>
      <c r="D1451" s="2009"/>
    </row>
    <row r="1452" spans="3:4">
      <c r="C1452" s="2009"/>
      <c r="D1452" s="2009"/>
    </row>
    <row r="1453" spans="3:4">
      <c r="C1453" s="2009"/>
      <c r="D1453" s="2009"/>
    </row>
    <row r="1454" spans="3:4">
      <c r="C1454" s="2009"/>
      <c r="D1454" s="2009"/>
    </row>
    <row r="1455" spans="3:4">
      <c r="C1455" s="2009"/>
      <c r="D1455" s="2009"/>
    </row>
    <row r="1456" spans="3:4">
      <c r="C1456" s="2009"/>
      <c r="D1456" s="2009"/>
    </row>
    <row r="1457" spans="3:4">
      <c r="C1457" s="2009"/>
      <c r="D1457" s="2009"/>
    </row>
    <row r="1458" spans="3:4">
      <c r="C1458" s="2009"/>
      <c r="D1458" s="2009"/>
    </row>
    <row r="1459" spans="3:4">
      <c r="C1459" s="2009"/>
      <c r="D1459" s="2009"/>
    </row>
    <row r="1460" spans="3:4">
      <c r="C1460" s="2009"/>
      <c r="D1460" s="2009"/>
    </row>
    <row r="1461" spans="3:4">
      <c r="C1461" s="2009"/>
      <c r="D1461" s="2009"/>
    </row>
    <row r="1462" spans="3:4">
      <c r="C1462" s="2009"/>
      <c r="D1462" s="2009"/>
    </row>
    <row r="1463" spans="3:4">
      <c r="C1463" s="2009"/>
      <c r="D1463" s="2009"/>
    </row>
    <row r="1464" spans="3:4">
      <c r="C1464" s="2009"/>
      <c r="D1464" s="2009"/>
    </row>
    <row r="1465" spans="3:4">
      <c r="C1465" s="2009"/>
      <c r="D1465" s="2009"/>
    </row>
    <row r="1466" spans="3:4">
      <c r="C1466" s="2009"/>
      <c r="D1466" s="2009"/>
    </row>
    <row r="1467" spans="3:4">
      <c r="C1467" s="2009"/>
      <c r="D1467" s="2009"/>
    </row>
    <row r="1468" spans="3:4">
      <c r="C1468" s="2009"/>
      <c r="D1468" s="2009"/>
    </row>
    <row r="1469" spans="3:4">
      <c r="C1469" s="2009"/>
      <c r="D1469" s="2009"/>
    </row>
    <row r="1470" spans="3:4">
      <c r="C1470" s="2009"/>
      <c r="D1470" s="2009"/>
    </row>
    <row r="1471" spans="3:4">
      <c r="C1471" s="2009"/>
      <c r="D1471" s="2009"/>
    </row>
    <row r="1472" spans="3:4">
      <c r="C1472" s="2009"/>
      <c r="D1472" s="2009"/>
    </row>
    <row r="1473" spans="3:4">
      <c r="C1473" s="2009"/>
      <c r="D1473" s="2009"/>
    </row>
    <row r="1474" spans="3:4">
      <c r="C1474" s="2009"/>
      <c r="D1474" s="2009"/>
    </row>
    <row r="1475" spans="3:4">
      <c r="C1475" s="2009"/>
      <c r="D1475" s="2009"/>
    </row>
    <row r="1476" spans="3:4">
      <c r="C1476" s="2009"/>
      <c r="D1476" s="2009"/>
    </row>
    <row r="1477" spans="3:4">
      <c r="C1477" s="2009"/>
      <c r="D1477" s="2009"/>
    </row>
    <row r="1478" spans="3:4">
      <c r="C1478" s="2009"/>
      <c r="D1478" s="2009"/>
    </row>
    <row r="1479" spans="3:4">
      <c r="C1479" s="2009"/>
      <c r="D1479" s="2009"/>
    </row>
    <row r="1480" spans="3:4">
      <c r="C1480" s="2009"/>
      <c r="D1480" s="2009"/>
    </row>
    <row r="1481" spans="3:4">
      <c r="C1481" s="2009"/>
      <c r="D1481" s="2009"/>
    </row>
    <row r="1482" spans="3:4">
      <c r="C1482" s="2009"/>
      <c r="D1482" s="2009"/>
    </row>
    <row r="1483" spans="3:4">
      <c r="C1483" s="2009"/>
      <c r="D1483" s="2009"/>
    </row>
    <row r="1484" spans="3:4">
      <c r="C1484" s="2009"/>
      <c r="D1484" s="2009"/>
    </row>
    <row r="1485" spans="3:4">
      <c r="C1485" s="2009"/>
      <c r="D1485" s="2009"/>
    </row>
    <row r="1486" spans="3:4">
      <c r="C1486" s="2009"/>
      <c r="D1486" s="2009"/>
    </row>
    <row r="1487" spans="3:4">
      <c r="C1487" s="2009"/>
      <c r="D1487" s="2009"/>
    </row>
    <row r="1488" spans="3:4">
      <c r="C1488" s="2009"/>
      <c r="D1488" s="2009"/>
    </row>
    <row r="1489" spans="3:4">
      <c r="C1489" s="2009"/>
      <c r="D1489" s="2009"/>
    </row>
    <row r="1490" spans="3:4">
      <c r="C1490" s="2009"/>
      <c r="D1490" s="2009"/>
    </row>
    <row r="1491" spans="3:4">
      <c r="C1491" s="2009"/>
      <c r="D1491" s="2009"/>
    </row>
    <row r="1492" spans="3:4">
      <c r="C1492" s="2009"/>
      <c r="D1492" s="2009"/>
    </row>
    <row r="1493" spans="3:4">
      <c r="C1493" s="2009"/>
      <c r="D1493" s="2009"/>
    </row>
    <row r="1494" spans="3:4">
      <c r="C1494" s="2009"/>
      <c r="D1494" s="2009"/>
    </row>
    <row r="1495" spans="3:4">
      <c r="C1495" s="2009"/>
      <c r="D1495" s="2009"/>
    </row>
    <row r="1496" spans="3:4">
      <c r="C1496" s="2009"/>
      <c r="D1496" s="2009"/>
    </row>
    <row r="1497" spans="3:4">
      <c r="C1497" s="2009"/>
      <c r="D1497" s="2009"/>
    </row>
    <row r="1498" spans="3:4">
      <c r="C1498" s="2009"/>
      <c r="D1498" s="2009"/>
    </row>
    <row r="1499" spans="3:4">
      <c r="C1499" s="2009"/>
      <c r="D1499" s="2009"/>
    </row>
    <row r="1500" spans="3:4">
      <c r="C1500" s="2009"/>
      <c r="D1500" s="2009"/>
    </row>
    <row r="1501" spans="3:4">
      <c r="C1501" s="2009"/>
      <c r="D1501" s="2009"/>
    </row>
    <row r="1502" spans="3:4">
      <c r="C1502" s="2009"/>
      <c r="D1502" s="2009"/>
    </row>
    <row r="1503" spans="3:4">
      <c r="C1503" s="2009"/>
      <c r="D1503" s="2009"/>
    </row>
    <row r="1504" spans="3:4">
      <c r="C1504" s="2009"/>
      <c r="D1504" s="2009"/>
    </row>
    <row r="1505" spans="3:4">
      <c r="C1505" s="2009"/>
      <c r="D1505" s="2009"/>
    </row>
    <row r="1506" spans="3:4">
      <c r="C1506" s="2009"/>
      <c r="D1506" s="2009"/>
    </row>
    <row r="1507" spans="3:4">
      <c r="C1507" s="2009"/>
      <c r="D1507" s="2009"/>
    </row>
    <row r="1508" spans="3:4">
      <c r="C1508" s="2009"/>
      <c r="D1508" s="2009"/>
    </row>
    <row r="1509" spans="3:4">
      <c r="C1509" s="2009"/>
      <c r="D1509" s="2009"/>
    </row>
    <row r="1510" spans="3:4">
      <c r="C1510" s="2009"/>
      <c r="D1510" s="2009"/>
    </row>
    <row r="1511" spans="3:4">
      <c r="C1511" s="2009"/>
      <c r="D1511" s="2009"/>
    </row>
    <row r="1512" spans="3:4">
      <c r="C1512" s="2009"/>
      <c r="D1512" s="2009"/>
    </row>
    <row r="1513" spans="3:4">
      <c r="C1513" s="2009"/>
      <c r="D1513" s="2009"/>
    </row>
    <row r="1514" spans="3:4">
      <c r="C1514" s="2009"/>
      <c r="D1514" s="2009"/>
    </row>
    <row r="1515" spans="3:4">
      <c r="C1515" s="2009"/>
      <c r="D1515" s="2009"/>
    </row>
    <row r="1516" spans="3:4">
      <c r="C1516" s="2009"/>
      <c r="D1516" s="2009"/>
    </row>
    <row r="1517" spans="3:4">
      <c r="C1517" s="2009"/>
      <c r="D1517" s="2009"/>
    </row>
    <row r="1518" spans="3:4">
      <c r="C1518" s="2009"/>
      <c r="D1518" s="2009"/>
    </row>
    <row r="1519" spans="3:4">
      <c r="C1519" s="2009"/>
      <c r="D1519" s="2009"/>
    </row>
    <row r="1520" spans="3:4">
      <c r="C1520" s="2009"/>
      <c r="D1520" s="2009"/>
    </row>
    <row r="1521" spans="3:4">
      <c r="C1521" s="2009"/>
      <c r="D1521" s="2009"/>
    </row>
    <row r="1522" spans="3:4">
      <c r="C1522" s="2009"/>
      <c r="D1522" s="2009"/>
    </row>
    <row r="1523" spans="3:4">
      <c r="C1523" s="2009"/>
      <c r="D1523" s="2009"/>
    </row>
    <row r="1524" spans="3:4">
      <c r="C1524" s="2009"/>
      <c r="D1524" s="2009"/>
    </row>
    <row r="1525" spans="3:4">
      <c r="C1525" s="2009"/>
      <c r="D1525" s="2009"/>
    </row>
    <row r="1526" spans="3:4">
      <c r="C1526" s="2009"/>
      <c r="D1526" s="2009"/>
    </row>
    <row r="1527" spans="3:4">
      <c r="C1527" s="2009"/>
      <c r="D1527" s="2009"/>
    </row>
    <row r="1528" spans="3:4">
      <c r="C1528" s="2009"/>
      <c r="D1528" s="2009"/>
    </row>
    <row r="1529" spans="3:4">
      <c r="C1529" s="2009"/>
      <c r="D1529" s="2009"/>
    </row>
    <row r="1530" spans="3:4">
      <c r="C1530" s="2009"/>
      <c r="D1530" s="2009"/>
    </row>
    <row r="1531" spans="3:4">
      <c r="C1531" s="2009"/>
      <c r="D1531" s="2009"/>
    </row>
    <row r="1532" spans="3:4">
      <c r="C1532" s="2009"/>
      <c r="D1532" s="2009"/>
    </row>
    <row r="1533" spans="3:4">
      <c r="C1533" s="2009"/>
      <c r="D1533" s="2009"/>
    </row>
    <row r="1534" spans="3:4">
      <c r="C1534" s="2009"/>
      <c r="D1534" s="2009"/>
    </row>
    <row r="1535" spans="3:4">
      <c r="C1535" s="2009"/>
      <c r="D1535" s="2009"/>
    </row>
    <row r="1536" spans="3:4">
      <c r="C1536" s="2009"/>
      <c r="D1536" s="2009"/>
    </row>
    <row r="1537" spans="3:4">
      <c r="C1537" s="2009"/>
      <c r="D1537" s="2009"/>
    </row>
    <row r="1538" spans="3:4">
      <c r="C1538" s="2009"/>
      <c r="D1538" s="2009"/>
    </row>
    <row r="1539" spans="3:4">
      <c r="C1539" s="2009"/>
      <c r="D1539" s="2009"/>
    </row>
    <row r="1540" spans="3:4">
      <c r="C1540" s="2009"/>
      <c r="D1540" s="2009"/>
    </row>
    <row r="1541" spans="3:4">
      <c r="C1541" s="2009"/>
      <c r="D1541" s="2009"/>
    </row>
    <row r="1542" spans="3:4">
      <c r="C1542" s="2009"/>
      <c r="D1542" s="2009"/>
    </row>
    <row r="1543" spans="3:4">
      <c r="C1543" s="2009"/>
      <c r="D1543" s="2009"/>
    </row>
    <row r="1544" spans="3:4">
      <c r="C1544" s="2009"/>
      <c r="D1544" s="2009"/>
    </row>
    <row r="1545" spans="3:4">
      <c r="C1545" s="2009"/>
      <c r="D1545" s="2009"/>
    </row>
    <row r="1546" spans="3:4">
      <c r="C1546" s="2009"/>
      <c r="D1546" s="2009"/>
    </row>
    <row r="1547" spans="3:4">
      <c r="C1547" s="2009"/>
      <c r="D1547" s="2009"/>
    </row>
    <row r="1548" spans="3:4">
      <c r="C1548" s="2009"/>
      <c r="D1548" s="2009"/>
    </row>
    <row r="1549" spans="3:4">
      <c r="C1549" s="2009"/>
      <c r="D1549" s="2009"/>
    </row>
    <row r="1550" spans="3:4">
      <c r="C1550" s="2009"/>
      <c r="D1550" s="2009"/>
    </row>
    <row r="1551" spans="3:4">
      <c r="C1551" s="2009"/>
      <c r="D1551" s="2009"/>
    </row>
    <row r="1552" spans="3:4">
      <c r="C1552" s="2009"/>
      <c r="D1552" s="2009"/>
    </row>
    <row r="1553" spans="3:4">
      <c r="C1553" s="2009"/>
      <c r="D1553" s="2009"/>
    </row>
    <row r="1554" spans="3:4">
      <c r="C1554" s="2009"/>
      <c r="D1554" s="2009"/>
    </row>
    <row r="1555" spans="3:4">
      <c r="C1555" s="2009"/>
      <c r="D1555" s="2009"/>
    </row>
    <row r="1556" spans="3:4">
      <c r="C1556" s="2009"/>
      <c r="D1556" s="2009"/>
    </row>
    <row r="1557" spans="3:4">
      <c r="C1557" s="2009"/>
      <c r="D1557" s="2009"/>
    </row>
    <row r="1558" spans="3:4">
      <c r="C1558" s="2009"/>
      <c r="D1558" s="2009"/>
    </row>
    <row r="1559" spans="3:4">
      <c r="C1559" s="2009"/>
      <c r="D1559" s="2009"/>
    </row>
    <row r="1560" spans="3:4">
      <c r="C1560" s="2009"/>
      <c r="D1560" s="2009"/>
    </row>
    <row r="1561" spans="3:4">
      <c r="C1561" s="2009"/>
      <c r="D1561" s="2009"/>
    </row>
    <row r="1562" spans="3:4">
      <c r="C1562" s="2009"/>
      <c r="D1562" s="2009"/>
    </row>
    <row r="1563" spans="3:4">
      <c r="C1563" s="2009"/>
      <c r="D1563" s="2009"/>
    </row>
    <row r="1564" spans="3:4">
      <c r="C1564" s="2009"/>
      <c r="D1564" s="2009"/>
    </row>
    <row r="1565" spans="3:4">
      <c r="C1565" s="2009"/>
      <c r="D1565" s="2009"/>
    </row>
    <row r="1566" spans="3:4">
      <c r="C1566" s="2009"/>
      <c r="D1566" s="2009"/>
    </row>
    <row r="1567" spans="3:4">
      <c r="C1567" s="2009"/>
      <c r="D1567" s="2009"/>
    </row>
    <row r="1568" spans="3:4">
      <c r="C1568" s="2009"/>
      <c r="D1568" s="2009"/>
    </row>
    <row r="1569" spans="3:4">
      <c r="C1569" s="2009"/>
      <c r="D1569" s="2009"/>
    </row>
    <row r="1570" spans="3:4">
      <c r="C1570" s="2009"/>
      <c r="D1570" s="2009"/>
    </row>
    <row r="1571" spans="3:4">
      <c r="C1571" s="2009"/>
      <c r="D1571" s="2009"/>
    </row>
    <row r="1572" spans="3:4">
      <c r="C1572" s="2009"/>
      <c r="D1572" s="2009"/>
    </row>
    <row r="1573" spans="3:4">
      <c r="C1573" s="2009"/>
      <c r="D1573" s="2009"/>
    </row>
    <row r="1574" spans="3:4">
      <c r="C1574" s="2009"/>
      <c r="D1574" s="2009"/>
    </row>
    <row r="1575" spans="3:4">
      <c r="C1575" s="2009"/>
      <c r="D1575" s="2009"/>
    </row>
    <row r="1576" spans="3:4">
      <c r="C1576" s="2009"/>
      <c r="D1576" s="2009"/>
    </row>
    <row r="1577" spans="3:4">
      <c r="C1577" s="2009"/>
      <c r="D1577" s="2009"/>
    </row>
    <row r="1578" spans="3:4">
      <c r="C1578" s="2009"/>
      <c r="D1578" s="2009"/>
    </row>
    <row r="1579" spans="3:4">
      <c r="C1579" s="2009"/>
      <c r="D1579" s="2009"/>
    </row>
    <row r="1580" spans="3:4">
      <c r="C1580" s="2009"/>
      <c r="D1580" s="2009"/>
    </row>
    <row r="1581" spans="3:4">
      <c r="C1581" s="2009"/>
      <c r="D1581" s="2009"/>
    </row>
    <row r="1582" spans="3:4">
      <c r="C1582" s="2009"/>
      <c r="D1582" s="2009"/>
    </row>
    <row r="1583" spans="3:4">
      <c r="C1583" s="2009"/>
      <c r="D1583" s="2009"/>
    </row>
    <row r="1584" spans="3:4">
      <c r="C1584" s="2009"/>
      <c r="D1584" s="2009"/>
    </row>
    <row r="1585" spans="3:4">
      <c r="C1585" s="2009"/>
      <c r="D1585" s="2009"/>
    </row>
    <row r="1586" spans="3:4">
      <c r="C1586" s="2009"/>
      <c r="D1586" s="2009"/>
    </row>
    <row r="1587" spans="3:4">
      <c r="C1587" s="2009"/>
      <c r="D1587" s="2009"/>
    </row>
    <row r="1588" spans="3:4">
      <c r="C1588" s="2009"/>
      <c r="D1588" s="2009"/>
    </row>
    <row r="1589" spans="3:4">
      <c r="C1589" s="2009"/>
      <c r="D1589" s="2009"/>
    </row>
    <row r="1590" spans="3:4">
      <c r="C1590" s="2009"/>
      <c r="D1590" s="2009"/>
    </row>
    <row r="1591" spans="3:4">
      <c r="C1591" s="2009"/>
      <c r="D1591" s="2009"/>
    </row>
    <row r="1592" spans="3:4">
      <c r="C1592" s="2009"/>
      <c r="D1592" s="2009"/>
    </row>
    <row r="1593" spans="3:4">
      <c r="C1593" s="2009"/>
      <c r="D1593" s="2009"/>
    </row>
    <row r="1594" spans="3:4">
      <c r="C1594" s="2009"/>
      <c r="D1594" s="2009"/>
    </row>
    <row r="1595" spans="3:4">
      <c r="C1595" s="2009"/>
      <c r="D1595" s="2009"/>
    </row>
    <row r="1596" spans="3:4">
      <c r="C1596" s="2009"/>
      <c r="D1596" s="2009"/>
    </row>
    <row r="1597" spans="3:4">
      <c r="C1597" s="2009"/>
      <c r="D1597" s="2009"/>
    </row>
    <row r="1598" spans="3:4">
      <c r="C1598" s="2009"/>
      <c r="D1598" s="2009"/>
    </row>
    <row r="1599" spans="3:4">
      <c r="C1599" s="2009"/>
      <c r="D1599" s="2009"/>
    </row>
    <row r="1600" spans="3:4">
      <c r="C1600" s="2009"/>
      <c r="D1600" s="2009"/>
    </row>
    <row r="1601" spans="3:4">
      <c r="C1601" s="2009"/>
      <c r="D1601" s="2009"/>
    </row>
    <row r="1602" spans="3:4">
      <c r="C1602" s="2009"/>
      <c r="D1602" s="2009"/>
    </row>
    <row r="1603" spans="3:4">
      <c r="C1603" s="2009"/>
      <c r="D1603" s="2009"/>
    </row>
    <row r="1604" spans="3:4">
      <c r="C1604" s="2009"/>
      <c r="D1604" s="2009"/>
    </row>
    <row r="1605" spans="3:4">
      <c r="C1605" s="2009"/>
      <c r="D1605" s="2009"/>
    </row>
    <row r="1606" spans="3:4">
      <c r="C1606" s="2009"/>
      <c r="D1606" s="2009"/>
    </row>
    <row r="1607" spans="3:4">
      <c r="C1607" s="2009"/>
      <c r="D1607" s="2009"/>
    </row>
    <row r="1608" spans="3:4">
      <c r="C1608" s="2009"/>
      <c r="D1608" s="2009"/>
    </row>
    <row r="1609" spans="3:4">
      <c r="C1609" s="2009"/>
      <c r="D1609" s="2009"/>
    </row>
    <row r="1610" spans="3:4">
      <c r="C1610" s="2009"/>
      <c r="D1610" s="2009"/>
    </row>
    <row r="1611" spans="3:4">
      <c r="C1611" s="2009"/>
      <c r="D1611" s="2009"/>
    </row>
    <row r="1612" spans="3:4">
      <c r="C1612" s="2009"/>
      <c r="D1612" s="2009"/>
    </row>
    <row r="1613" spans="3:4">
      <c r="C1613" s="2009"/>
      <c r="D1613" s="2009"/>
    </row>
    <row r="1614" spans="3:4">
      <c r="C1614" s="2009"/>
      <c r="D1614" s="2009"/>
    </row>
    <row r="1615" spans="3:4">
      <c r="C1615" s="2009"/>
      <c r="D1615" s="2009"/>
    </row>
    <row r="1616" spans="3:4">
      <c r="C1616" s="2009"/>
      <c r="D1616" s="2009"/>
    </row>
    <row r="1617" spans="3:4">
      <c r="C1617" s="2009"/>
      <c r="D1617" s="2009"/>
    </row>
    <row r="1618" spans="3:4">
      <c r="C1618" s="2009"/>
      <c r="D1618" s="2009"/>
    </row>
    <row r="1619" spans="3:4">
      <c r="C1619" s="2009"/>
      <c r="D1619" s="2009"/>
    </row>
    <row r="1620" spans="3:4">
      <c r="C1620" s="2009"/>
      <c r="D1620" s="2009"/>
    </row>
    <row r="1621" spans="3:4">
      <c r="C1621" s="2009"/>
      <c r="D1621" s="2009"/>
    </row>
    <row r="1622" spans="3:4">
      <c r="C1622" s="2009"/>
      <c r="D1622" s="2009"/>
    </row>
    <row r="1623" spans="3:4">
      <c r="C1623" s="2009"/>
      <c r="D1623" s="2009"/>
    </row>
    <row r="1624" spans="3:4">
      <c r="C1624" s="2009"/>
      <c r="D1624" s="2009"/>
    </row>
    <row r="1625" spans="3:4">
      <c r="C1625" s="2009"/>
      <c r="D1625" s="2009"/>
    </row>
    <row r="1626" spans="3:4">
      <c r="C1626" s="2009"/>
      <c r="D1626" s="2009"/>
    </row>
    <row r="1627" spans="3:4">
      <c r="C1627" s="2009"/>
      <c r="D1627" s="2009"/>
    </row>
    <row r="1628" spans="3:4">
      <c r="C1628" s="2009"/>
      <c r="D1628" s="2009"/>
    </row>
    <row r="1629" spans="3:4">
      <c r="C1629" s="2009"/>
      <c r="D1629" s="2009"/>
    </row>
    <row r="1630" spans="3:4">
      <c r="C1630" s="2009"/>
      <c r="D1630" s="2009"/>
    </row>
    <row r="1631" spans="3:4">
      <c r="C1631" s="2009"/>
      <c r="D1631" s="2009"/>
    </row>
    <row r="1632" spans="3:4">
      <c r="C1632" s="2009"/>
      <c r="D1632" s="2009"/>
    </row>
    <row r="1633" spans="3:4">
      <c r="C1633" s="2009"/>
      <c r="D1633" s="2009"/>
    </row>
    <row r="1634" spans="3:4">
      <c r="C1634" s="2009"/>
      <c r="D1634" s="2009"/>
    </row>
    <row r="1635" spans="3:4">
      <c r="C1635" s="2009"/>
      <c r="D1635" s="2009"/>
    </row>
    <row r="1636" spans="3:4">
      <c r="C1636" s="2009"/>
      <c r="D1636" s="2009"/>
    </row>
    <row r="1637" spans="3:4">
      <c r="C1637" s="2009"/>
      <c r="D1637" s="2009"/>
    </row>
    <row r="1638" spans="3:4">
      <c r="C1638" s="2009"/>
      <c r="D1638" s="2009"/>
    </row>
    <row r="1639" spans="3:4">
      <c r="C1639" s="2009"/>
      <c r="D1639" s="2009"/>
    </row>
    <row r="1640" spans="3:4">
      <c r="C1640" s="2009"/>
      <c r="D1640" s="2009"/>
    </row>
    <row r="1641" spans="3:4">
      <c r="C1641" s="2009"/>
      <c r="D1641" s="2009"/>
    </row>
    <row r="1642" spans="3:4">
      <c r="C1642" s="2009"/>
      <c r="D1642" s="2009"/>
    </row>
    <row r="1643" spans="3:4">
      <c r="C1643" s="2009"/>
      <c r="D1643" s="2009"/>
    </row>
    <row r="1644" spans="3:4">
      <c r="C1644" s="2009"/>
      <c r="D1644" s="2009"/>
    </row>
    <row r="1645" spans="3:4">
      <c r="C1645" s="2009"/>
      <c r="D1645" s="2009"/>
    </row>
    <row r="1646" spans="3:4">
      <c r="C1646" s="2009"/>
      <c r="D1646" s="2009"/>
    </row>
    <row r="1647" spans="3:4">
      <c r="C1647" s="2009"/>
      <c r="D1647" s="2009"/>
    </row>
    <row r="1648" spans="3:4">
      <c r="C1648" s="2009"/>
      <c r="D1648" s="2009"/>
    </row>
    <row r="1649" spans="3:4">
      <c r="C1649" s="2009"/>
      <c r="D1649" s="2009"/>
    </row>
    <row r="1650" spans="3:4">
      <c r="C1650" s="2009"/>
      <c r="D1650" s="2009"/>
    </row>
    <row r="1651" spans="3:4">
      <c r="C1651" s="2009"/>
      <c r="D1651" s="2009"/>
    </row>
    <row r="1652" spans="3:4">
      <c r="C1652" s="2009"/>
      <c r="D1652" s="2009"/>
    </row>
    <row r="1653" spans="3:4">
      <c r="C1653" s="2009"/>
      <c r="D1653" s="2009"/>
    </row>
    <row r="1654" spans="3:4">
      <c r="C1654" s="2009"/>
      <c r="D1654" s="2009"/>
    </row>
    <row r="1655" spans="3:4">
      <c r="C1655" s="2009"/>
      <c r="D1655" s="2009"/>
    </row>
    <row r="1656" spans="3:4">
      <c r="C1656" s="2009"/>
      <c r="D1656" s="2009"/>
    </row>
    <row r="1657" spans="3:4">
      <c r="C1657" s="2009"/>
      <c r="D1657" s="2009"/>
    </row>
    <row r="1658" spans="3:4">
      <c r="C1658" s="2009"/>
      <c r="D1658" s="2009"/>
    </row>
    <row r="1659" spans="3:4">
      <c r="C1659" s="2009"/>
      <c r="D1659" s="2009"/>
    </row>
    <row r="1660" spans="3:4">
      <c r="C1660" s="2009"/>
      <c r="D1660" s="2009"/>
    </row>
    <row r="1661" spans="3:4">
      <c r="C1661" s="2009"/>
      <c r="D1661" s="2009"/>
    </row>
    <row r="1662" spans="3:4">
      <c r="C1662" s="2009"/>
      <c r="D1662" s="2009"/>
    </row>
    <row r="1663" spans="3:4">
      <c r="C1663" s="2009"/>
      <c r="D1663" s="2009"/>
    </row>
    <row r="1664" spans="3:4">
      <c r="C1664" s="2009"/>
      <c r="D1664" s="2009"/>
    </row>
    <row r="1665" spans="3:4">
      <c r="C1665" s="2009"/>
      <c r="D1665" s="2009"/>
    </row>
    <row r="1666" spans="3:4">
      <c r="C1666" s="2009"/>
      <c r="D1666" s="2009"/>
    </row>
    <row r="1667" spans="3:4">
      <c r="C1667" s="2009"/>
      <c r="D1667" s="2009"/>
    </row>
    <row r="1668" spans="3:4">
      <c r="C1668" s="2009"/>
      <c r="D1668" s="2009"/>
    </row>
    <row r="1669" spans="3:4">
      <c r="C1669" s="2009"/>
      <c r="D1669" s="2009"/>
    </row>
    <row r="1670" spans="3:4">
      <c r="C1670" s="2009"/>
      <c r="D1670" s="2009"/>
    </row>
    <row r="1671" spans="3:4">
      <c r="C1671" s="2009"/>
      <c r="D1671" s="2009"/>
    </row>
    <row r="1672" spans="3:4">
      <c r="C1672" s="2009"/>
      <c r="D1672" s="2009"/>
    </row>
    <row r="1673" spans="3:4">
      <c r="C1673" s="2009"/>
      <c r="D1673" s="2009"/>
    </row>
    <row r="1674" spans="3:4">
      <c r="C1674" s="2009"/>
      <c r="D1674" s="2009"/>
    </row>
    <row r="1675" spans="3:4">
      <c r="C1675" s="2009"/>
      <c r="D1675" s="2009"/>
    </row>
    <row r="1676" spans="3:4">
      <c r="C1676" s="2009"/>
      <c r="D1676" s="2009"/>
    </row>
    <row r="1677" spans="3:4">
      <c r="C1677" s="2009"/>
      <c r="D1677" s="2009"/>
    </row>
    <row r="1678" spans="3:4">
      <c r="C1678" s="2009"/>
      <c r="D1678" s="2009"/>
    </row>
    <row r="1679" spans="3:4">
      <c r="C1679" s="2009"/>
      <c r="D1679" s="2009"/>
    </row>
    <row r="1680" spans="3:4">
      <c r="C1680" s="2009"/>
      <c r="D1680" s="2009"/>
    </row>
    <row r="1681" spans="3:4">
      <c r="C1681" s="2009"/>
      <c r="D1681" s="2009"/>
    </row>
    <row r="1682" spans="3:4">
      <c r="C1682" s="2009"/>
      <c r="D1682" s="2009"/>
    </row>
    <row r="1683" spans="3:4">
      <c r="C1683" s="2009"/>
      <c r="D1683" s="2009"/>
    </row>
    <row r="1684" spans="3:4">
      <c r="C1684" s="2009"/>
      <c r="D1684" s="2009"/>
    </row>
    <row r="1685" spans="3:4">
      <c r="C1685" s="2009"/>
      <c r="D1685" s="2009"/>
    </row>
    <row r="1686" spans="3:4">
      <c r="C1686" s="2009"/>
      <c r="D1686" s="2009"/>
    </row>
    <row r="1687" spans="3:4">
      <c r="C1687" s="2009"/>
      <c r="D1687" s="2009"/>
    </row>
    <row r="1688" spans="3:4">
      <c r="C1688" s="2009"/>
      <c r="D1688" s="2009"/>
    </row>
    <row r="1689" spans="3:4">
      <c r="C1689" s="2009"/>
      <c r="D1689" s="2009"/>
    </row>
    <row r="1690" spans="3:4">
      <c r="C1690" s="2009"/>
      <c r="D1690" s="2009"/>
    </row>
    <row r="1691" spans="3:4">
      <c r="C1691" s="2009"/>
      <c r="D1691" s="2009"/>
    </row>
    <row r="1692" spans="3:4">
      <c r="C1692" s="2009"/>
      <c r="D1692" s="2009"/>
    </row>
    <row r="1693" spans="3:4">
      <c r="C1693" s="2009"/>
      <c r="D1693" s="2009"/>
    </row>
    <row r="1694" spans="3:4">
      <c r="C1694" s="2009"/>
      <c r="D1694" s="2009"/>
    </row>
    <row r="1695" spans="3:4">
      <c r="C1695" s="2009"/>
      <c r="D1695" s="2009"/>
    </row>
    <row r="1696" spans="3:4">
      <c r="C1696" s="2009"/>
      <c r="D1696" s="2009"/>
    </row>
    <row r="1697" spans="3:4">
      <c r="C1697" s="2009"/>
      <c r="D1697" s="2009"/>
    </row>
    <row r="1698" spans="3:4">
      <c r="C1698" s="2009"/>
      <c r="D1698" s="2009"/>
    </row>
    <row r="1699" spans="3:4">
      <c r="C1699" s="2009"/>
      <c r="D1699" s="2009"/>
    </row>
    <row r="1700" spans="3:4">
      <c r="C1700" s="2009"/>
      <c r="D1700" s="2009"/>
    </row>
    <row r="1701" spans="3:4">
      <c r="C1701" s="2009"/>
      <c r="D1701" s="2009"/>
    </row>
    <row r="1702" spans="3:4">
      <c r="C1702" s="2009"/>
      <c r="D1702" s="2009"/>
    </row>
    <row r="1703" spans="3:4">
      <c r="C1703" s="2009"/>
      <c r="D1703" s="2009"/>
    </row>
    <row r="1704" spans="3:4">
      <c r="C1704" s="2009"/>
      <c r="D1704" s="2009"/>
    </row>
    <row r="1705" spans="3:4">
      <c r="C1705" s="2009"/>
      <c r="D1705" s="2009"/>
    </row>
    <row r="1706" spans="3:4">
      <c r="C1706" s="2009"/>
      <c r="D1706" s="2009"/>
    </row>
    <row r="1707" spans="3:4">
      <c r="C1707" s="2009"/>
      <c r="D1707" s="2009"/>
    </row>
    <row r="1708" spans="3:4">
      <c r="C1708" s="2009"/>
      <c r="D1708" s="2009"/>
    </row>
    <row r="1709" spans="3:4">
      <c r="C1709" s="2009"/>
      <c r="D1709" s="2009"/>
    </row>
    <row r="1710" spans="3:4">
      <c r="C1710" s="2009"/>
      <c r="D1710" s="2009"/>
    </row>
    <row r="1711" spans="3:4">
      <c r="C1711" s="2009"/>
      <c r="D1711" s="2009"/>
    </row>
    <row r="1712" spans="3:4">
      <c r="C1712" s="2009"/>
      <c r="D1712" s="2009"/>
    </row>
    <row r="1713" spans="3:4">
      <c r="C1713" s="2009"/>
      <c r="D1713" s="2009"/>
    </row>
    <row r="1714" spans="3:4">
      <c r="C1714" s="2009"/>
      <c r="D1714" s="2009"/>
    </row>
    <row r="1715" spans="3:4">
      <c r="C1715" s="2009"/>
      <c r="D1715" s="2009"/>
    </row>
    <row r="1716" spans="3:4">
      <c r="C1716" s="2009"/>
      <c r="D1716" s="2009"/>
    </row>
    <row r="1717" spans="3:4">
      <c r="C1717" s="2009"/>
      <c r="D1717" s="2009"/>
    </row>
    <row r="1718" spans="3:4">
      <c r="C1718" s="2009"/>
      <c r="D1718" s="2009"/>
    </row>
    <row r="1719" spans="3:4">
      <c r="C1719" s="2009"/>
      <c r="D1719" s="2009"/>
    </row>
    <row r="1720" spans="3:4">
      <c r="C1720" s="2009"/>
      <c r="D1720" s="2009"/>
    </row>
    <row r="1721" spans="3:4">
      <c r="C1721" s="2009"/>
      <c r="D1721" s="2009"/>
    </row>
    <row r="1722" spans="3:4">
      <c r="C1722" s="2009"/>
      <c r="D1722" s="2009"/>
    </row>
    <row r="1723" spans="3:4">
      <c r="C1723" s="2009"/>
      <c r="D1723" s="2009"/>
    </row>
    <row r="1724" spans="3:4">
      <c r="C1724" s="2009"/>
      <c r="D1724" s="2009"/>
    </row>
    <row r="1725" spans="3:4">
      <c r="C1725" s="2009"/>
      <c r="D1725" s="2009"/>
    </row>
    <row r="1726" spans="3:4">
      <c r="C1726" s="2009"/>
      <c r="D1726" s="2009"/>
    </row>
    <row r="1727" spans="3:4">
      <c r="C1727" s="2009"/>
      <c r="D1727" s="2009"/>
    </row>
    <row r="1728" spans="3:4">
      <c r="C1728" s="2009"/>
      <c r="D1728" s="2009"/>
    </row>
    <row r="1729" spans="3:4">
      <c r="C1729" s="2009"/>
      <c r="D1729" s="2009"/>
    </row>
    <row r="1730" spans="3:4">
      <c r="C1730" s="2009"/>
      <c r="D1730" s="2009"/>
    </row>
    <row r="1731" spans="3:4">
      <c r="C1731" s="2009"/>
      <c r="D1731" s="2009"/>
    </row>
    <row r="1732" spans="3:4">
      <c r="C1732" s="2009"/>
      <c r="D1732" s="2009"/>
    </row>
    <row r="1733" spans="3:4">
      <c r="C1733" s="2009"/>
      <c r="D1733" s="2009"/>
    </row>
    <row r="1734" spans="3:4">
      <c r="C1734" s="2009"/>
      <c r="D1734" s="2009"/>
    </row>
    <row r="1735" spans="3:4">
      <c r="C1735" s="2009"/>
      <c r="D1735" s="2009"/>
    </row>
    <row r="1736" spans="3:4">
      <c r="C1736" s="2009"/>
      <c r="D1736" s="2009"/>
    </row>
    <row r="1737" spans="3:4">
      <c r="C1737" s="2009"/>
      <c r="D1737" s="2009"/>
    </row>
    <row r="1738" spans="3:4">
      <c r="C1738" s="2009"/>
      <c r="D1738" s="2009"/>
    </row>
    <row r="1739" spans="3:4">
      <c r="C1739" s="2009"/>
      <c r="D1739" s="2009"/>
    </row>
    <row r="1740" spans="3:4">
      <c r="C1740" s="2009"/>
      <c r="D1740" s="2009"/>
    </row>
    <row r="1741" spans="3:4">
      <c r="C1741" s="2009"/>
      <c r="D1741" s="2009"/>
    </row>
    <row r="1742" spans="3:4">
      <c r="C1742" s="2009"/>
      <c r="D1742" s="2009"/>
    </row>
    <row r="1743" spans="3:4">
      <c r="C1743" s="2009"/>
      <c r="D1743" s="2009"/>
    </row>
    <row r="1744" spans="3:4">
      <c r="C1744" s="2009"/>
      <c r="D1744" s="2009"/>
    </row>
    <row r="1745" spans="3:4">
      <c r="C1745" s="2009"/>
      <c r="D1745" s="2009"/>
    </row>
    <row r="1746" spans="3:4">
      <c r="C1746" s="2009"/>
      <c r="D1746" s="2009"/>
    </row>
    <row r="1747" spans="3:4">
      <c r="C1747" s="2009"/>
      <c r="D1747" s="2009"/>
    </row>
    <row r="1748" spans="3:4">
      <c r="C1748" s="2009"/>
      <c r="D1748" s="2009"/>
    </row>
    <row r="1749" spans="3:4">
      <c r="C1749" s="2009"/>
      <c r="D1749" s="2009"/>
    </row>
    <row r="1750" spans="3:4">
      <c r="C1750" s="2009"/>
      <c r="D1750" s="2009"/>
    </row>
    <row r="1751" spans="3:4">
      <c r="C1751" s="2009"/>
      <c r="D1751" s="2009"/>
    </row>
    <row r="1752" spans="3:4">
      <c r="C1752" s="2009"/>
      <c r="D1752" s="2009"/>
    </row>
    <row r="1753" spans="3:4">
      <c r="C1753" s="2009"/>
      <c r="D1753" s="2009"/>
    </row>
    <row r="1754" spans="3:4">
      <c r="C1754" s="2009"/>
      <c r="D1754" s="2009"/>
    </row>
    <row r="1755" spans="3:4">
      <c r="C1755" s="2009"/>
      <c r="D1755" s="2009"/>
    </row>
    <row r="1756" spans="3:4">
      <c r="C1756" s="2009"/>
      <c r="D1756" s="2009"/>
    </row>
    <row r="1757" spans="3:4">
      <c r="C1757" s="2009"/>
      <c r="D1757" s="2009"/>
    </row>
    <row r="1758" spans="3:4">
      <c r="C1758" s="2009"/>
      <c r="D1758" s="2009"/>
    </row>
    <row r="1759" spans="3:4">
      <c r="C1759" s="2009"/>
      <c r="D1759" s="2009"/>
    </row>
    <row r="1760" spans="3:4">
      <c r="C1760" s="2009"/>
      <c r="D1760" s="2009"/>
    </row>
    <row r="1761" spans="3:4">
      <c r="C1761" s="2009"/>
      <c r="D1761" s="2009"/>
    </row>
    <row r="1762" spans="3:4">
      <c r="C1762" s="2009"/>
      <c r="D1762" s="2009"/>
    </row>
    <row r="1763" spans="3:4">
      <c r="C1763" s="2009"/>
      <c r="D1763" s="2009"/>
    </row>
    <row r="1764" spans="3:4">
      <c r="C1764" s="2009"/>
      <c r="D1764" s="2009"/>
    </row>
    <row r="1765" spans="3:4">
      <c r="C1765" s="2009"/>
      <c r="D1765" s="2009"/>
    </row>
    <row r="1766" spans="3:4">
      <c r="C1766" s="2009"/>
      <c r="D1766" s="2009"/>
    </row>
    <row r="1767" spans="3:4">
      <c r="C1767" s="2009"/>
      <c r="D1767" s="2009"/>
    </row>
    <row r="1768" spans="3:4">
      <c r="C1768" s="2009"/>
      <c r="D1768" s="2009"/>
    </row>
    <row r="1769" spans="3:4">
      <c r="C1769" s="2009"/>
      <c r="D1769" s="2009"/>
    </row>
    <row r="1770" spans="3:4">
      <c r="C1770" s="2009"/>
      <c r="D1770" s="2009"/>
    </row>
    <row r="1771" spans="3:4">
      <c r="C1771" s="2009"/>
      <c r="D1771" s="2009"/>
    </row>
    <row r="1772" spans="3:4">
      <c r="C1772" s="2009"/>
      <c r="D1772" s="2009"/>
    </row>
    <row r="1773" spans="3:4">
      <c r="C1773" s="2009"/>
      <c r="D1773" s="2009"/>
    </row>
    <row r="1774" spans="3:4">
      <c r="C1774" s="2009"/>
      <c r="D1774" s="2009"/>
    </row>
    <row r="1775" spans="3:4">
      <c r="C1775" s="2009"/>
      <c r="D1775" s="2009"/>
    </row>
    <row r="1776" spans="3:4">
      <c r="C1776" s="2009"/>
      <c r="D1776" s="2009"/>
    </row>
    <row r="1777" spans="3:4">
      <c r="C1777" s="2009"/>
      <c r="D1777" s="2009"/>
    </row>
    <row r="1778" spans="3:4">
      <c r="C1778" s="2009"/>
      <c r="D1778" s="2009"/>
    </row>
    <row r="1779" spans="3:4">
      <c r="C1779" s="2009"/>
      <c r="D1779" s="2009"/>
    </row>
    <row r="1780" spans="3:4">
      <c r="C1780" s="2009"/>
      <c r="D1780" s="2009"/>
    </row>
    <row r="1781" spans="3:4">
      <c r="C1781" s="2009"/>
      <c r="D1781" s="2009"/>
    </row>
    <row r="1782" spans="3:4">
      <c r="C1782" s="2009"/>
      <c r="D1782" s="2009"/>
    </row>
    <row r="1783" spans="3:4">
      <c r="C1783" s="2009"/>
      <c r="D1783" s="2009"/>
    </row>
    <row r="1784" spans="3:4">
      <c r="C1784" s="2009"/>
      <c r="D1784" s="2009"/>
    </row>
    <row r="1785" spans="3:4">
      <c r="C1785" s="2009"/>
      <c r="D1785" s="2009"/>
    </row>
    <row r="1786" spans="3:4">
      <c r="C1786" s="2009"/>
      <c r="D1786" s="2009"/>
    </row>
    <row r="1787" spans="3:4">
      <c r="C1787" s="2009"/>
      <c r="D1787" s="2009"/>
    </row>
    <row r="1788" spans="3:4">
      <c r="C1788" s="2009"/>
      <c r="D1788" s="2009"/>
    </row>
    <row r="1789" spans="3:4">
      <c r="C1789" s="2009"/>
      <c r="D1789" s="2009"/>
    </row>
    <row r="1790" spans="3:4">
      <c r="C1790" s="2009"/>
      <c r="D1790" s="2009"/>
    </row>
    <row r="1791" spans="3:4">
      <c r="C1791" s="2009"/>
      <c r="D1791" s="2009"/>
    </row>
    <row r="1792" spans="3:4">
      <c r="C1792" s="2009"/>
      <c r="D1792" s="2009"/>
    </row>
    <row r="1793" spans="3:4">
      <c r="C1793" s="2009"/>
      <c r="D1793" s="2009"/>
    </row>
    <row r="1794" spans="3:4">
      <c r="C1794" s="2009"/>
      <c r="D1794" s="2009"/>
    </row>
    <row r="1795" spans="3:4">
      <c r="C1795" s="2009"/>
      <c r="D1795" s="2009"/>
    </row>
    <row r="1796" spans="3:4">
      <c r="C1796" s="2009"/>
      <c r="D1796" s="2009"/>
    </row>
    <row r="1797" spans="3:4">
      <c r="C1797" s="2009"/>
      <c r="D1797" s="2009"/>
    </row>
    <row r="1798" spans="3:4">
      <c r="C1798" s="2009"/>
      <c r="D1798" s="2009"/>
    </row>
    <row r="1799" spans="3:4">
      <c r="C1799" s="2009"/>
      <c r="D1799" s="2009"/>
    </row>
    <row r="1800" spans="3:4">
      <c r="C1800" s="2009"/>
      <c r="D1800" s="2009"/>
    </row>
    <row r="1801" spans="3:4">
      <c r="C1801" s="2009"/>
      <c r="D1801" s="2009"/>
    </row>
    <row r="1802" spans="3:4">
      <c r="C1802" s="2009"/>
      <c r="D1802" s="2009"/>
    </row>
    <row r="1803" spans="3:4">
      <c r="C1803" s="2009"/>
      <c r="D1803" s="2009"/>
    </row>
    <row r="1804" spans="3:4">
      <c r="C1804" s="2009"/>
      <c r="D1804" s="2009"/>
    </row>
    <row r="1805" spans="3:4">
      <c r="C1805" s="2009"/>
      <c r="D1805" s="2009"/>
    </row>
    <row r="1806" spans="3:4">
      <c r="C1806" s="2009"/>
      <c r="D1806" s="2009"/>
    </row>
    <row r="1807" spans="3:4">
      <c r="C1807" s="2009"/>
      <c r="D1807" s="2009"/>
    </row>
    <row r="1808" spans="3:4">
      <c r="C1808" s="2009"/>
      <c r="D1808" s="2009"/>
    </row>
    <row r="1809" spans="3:4">
      <c r="C1809" s="2009"/>
      <c r="D1809" s="2009"/>
    </row>
    <row r="1810" spans="3:4">
      <c r="C1810" s="2009"/>
      <c r="D1810" s="2009"/>
    </row>
    <row r="1811" spans="3:4">
      <c r="C1811" s="2009"/>
      <c r="D1811" s="2009"/>
    </row>
    <row r="1812" spans="3:4">
      <c r="C1812" s="2009"/>
      <c r="D1812" s="2009"/>
    </row>
    <row r="1813" spans="3:4">
      <c r="C1813" s="2009"/>
      <c r="D1813" s="2009"/>
    </row>
    <row r="1814" spans="3:4">
      <c r="C1814" s="2009"/>
      <c r="D1814" s="2009"/>
    </row>
    <row r="1815" spans="3:4">
      <c r="C1815" s="2009"/>
      <c r="D1815" s="2009"/>
    </row>
    <row r="1816" spans="3:4">
      <c r="C1816" s="2009"/>
      <c r="D1816" s="2009"/>
    </row>
    <row r="1817" spans="3:4">
      <c r="C1817" s="2009"/>
      <c r="D1817" s="2009"/>
    </row>
    <row r="1818" spans="3:4">
      <c r="C1818" s="2009"/>
      <c r="D1818" s="2009"/>
    </row>
    <row r="1819" spans="3:4">
      <c r="C1819" s="2009"/>
      <c r="D1819" s="2009"/>
    </row>
    <row r="1820" spans="3:4">
      <c r="C1820" s="2009"/>
      <c r="D1820" s="2009"/>
    </row>
    <row r="1821" spans="3:4">
      <c r="C1821" s="2009"/>
      <c r="D1821" s="2009"/>
    </row>
    <row r="1822" spans="3:4">
      <c r="C1822" s="2009"/>
      <c r="D1822" s="2009"/>
    </row>
    <row r="1823" spans="3:4">
      <c r="C1823" s="2009"/>
      <c r="D1823" s="2009"/>
    </row>
    <row r="1824" spans="3:4">
      <c r="C1824" s="2009"/>
      <c r="D1824" s="2009"/>
    </row>
    <row r="1825" spans="3:4">
      <c r="C1825" s="2009"/>
      <c r="D1825" s="2009"/>
    </row>
    <row r="1826" spans="3:4">
      <c r="C1826" s="2009"/>
      <c r="D1826" s="2009"/>
    </row>
    <row r="1827" spans="3:4">
      <c r="C1827" s="2009"/>
      <c r="D1827" s="2009"/>
    </row>
    <row r="1828" spans="3:4">
      <c r="C1828" s="2009"/>
      <c r="D1828" s="2009"/>
    </row>
    <row r="1829" spans="3:4">
      <c r="C1829" s="2009"/>
      <c r="D1829" s="2009"/>
    </row>
    <row r="1830" spans="3:4">
      <c r="C1830" s="2009"/>
      <c r="D1830" s="2009"/>
    </row>
    <row r="1831" spans="3:4">
      <c r="C1831" s="2009"/>
      <c r="D1831" s="2009"/>
    </row>
    <row r="1832" spans="3:4">
      <c r="C1832" s="2009"/>
      <c r="D1832" s="2009"/>
    </row>
    <row r="1833" spans="3:4">
      <c r="C1833" s="2009"/>
      <c r="D1833" s="2009"/>
    </row>
    <row r="1834" spans="3:4">
      <c r="C1834" s="2009"/>
      <c r="D1834" s="2009"/>
    </row>
    <row r="1835" spans="3:4">
      <c r="C1835" s="2009"/>
      <c r="D1835" s="2009"/>
    </row>
    <row r="1836" spans="3:4">
      <c r="C1836" s="2009"/>
      <c r="D1836" s="2009"/>
    </row>
    <row r="1837" spans="3:4">
      <c r="C1837" s="2009"/>
      <c r="D1837" s="2009"/>
    </row>
    <row r="1838" spans="3:4">
      <c r="C1838" s="2009"/>
      <c r="D1838" s="2009"/>
    </row>
    <row r="1839" spans="3:4">
      <c r="C1839" s="2009"/>
      <c r="D1839" s="2009"/>
    </row>
    <row r="1840" spans="3:4">
      <c r="C1840" s="2009"/>
      <c r="D1840" s="2009"/>
    </row>
    <row r="1841" spans="3:4">
      <c r="C1841" s="2009"/>
      <c r="D1841" s="2009"/>
    </row>
    <row r="1842" spans="3:4">
      <c r="C1842" s="2009"/>
      <c r="D1842" s="2009"/>
    </row>
    <row r="1843" spans="3:4">
      <c r="C1843" s="2009"/>
      <c r="D1843" s="2009"/>
    </row>
    <row r="1844" spans="3:4">
      <c r="C1844" s="2009"/>
      <c r="D1844" s="2009"/>
    </row>
    <row r="1845" spans="3:4">
      <c r="C1845" s="2009"/>
      <c r="D1845" s="2009"/>
    </row>
    <row r="1846" spans="3:4">
      <c r="C1846" s="2009"/>
      <c r="D1846" s="2009"/>
    </row>
    <row r="1847" spans="3:4">
      <c r="C1847" s="2009"/>
      <c r="D1847" s="2009"/>
    </row>
    <row r="1848" spans="3:4">
      <c r="C1848" s="2009"/>
      <c r="D1848" s="2009"/>
    </row>
    <row r="1849" spans="3:4">
      <c r="C1849" s="2009"/>
      <c r="D1849" s="2009"/>
    </row>
    <row r="1850" spans="3:4">
      <c r="C1850" s="2009"/>
      <c r="D1850" s="2009"/>
    </row>
    <row r="1851" spans="3:4">
      <c r="C1851" s="2009"/>
      <c r="D1851" s="2009"/>
    </row>
    <row r="1852" spans="3:4">
      <c r="C1852" s="2009"/>
      <c r="D1852" s="2009"/>
    </row>
    <row r="1853" spans="3:4">
      <c r="C1853" s="2009"/>
      <c r="D1853" s="2009"/>
    </row>
    <row r="1854" spans="3:4">
      <c r="C1854" s="2009"/>
      <c r="D1854" s="2009"/>
    </row>
    <row r="1855" spans="3:4">
      <c r="C1855" s="2009"/>
      <c r="D1855" s="2009"/>
    </row>
    <row r="1856" spans="3:4">
      <c r="C1856" s="2009"/>
      <c r="D1856" s="2009"/>
    </row>
    <row r="1857" spans="3:4">
      <c r="C1857" s="2009"/>
      <c r="D1857" s="2009"/>
    </row>
    <row r="1858" spans="3:4">
      <c r="C1858" s="2009"/>
      <c r="D1858" s="2009"/>
    </row>
    <row r="1859" spans="3:4">
      <c r="C1859" s="2009"/>
      <c r="D1859" s="2009"/>
    </row>
    <row r="1860" spans="3:4">
      <c r="C1860" s="2009"/>
      <c r="D1860" s="2009"/>
    </row>
    <row r="1861" spans="3:4">
      <c r="C1861" s="2009"/>
      <c r="D1861" s="2009"/>
    </row>
    <row r="1862" spans="3:4">
      <c r="C1862" s="2009"/>
      <c r="D1862" s="2009"/>
    </row>
    <row r="1863" spans="3:4">
      <c r="C1863" s="2009"/>
      <c r="D1863" s="2009"/>
    </row>
    <row r="1864" spans="3:4">
      <c r="C1864" s="2009"/>
      <c r="D1864" s="2009"/>
    </row>
    <row r="1865" spans="3:4">
      <c r="C1865" s="2009"/>
      <c r="D1865" s="2009"/>
    </row>
    <row r="1866" spans="3:4">
      <c r="C1866" s="2009"/>
      <c r="D1866" s="2009"/>
    </row>
    <row r="1867" spans="3:4">
      <c r="C1867" s="2009"/>
      <c r="D1867" s="2009"/>
    </row>
    <row r="1868" spans="3:4">
      <c r="C1868" s="2009"/>
      <c r="D1868" s="2009"/>
    </row>
    <row r="1869" spans="3:4">
      <c r="C1869" s="2009"/>
      <c r="D1869" s="2009"/>
    </row>
    <row r="1870" spans="3:4">
      <c r="C1870" s="2009"/>
      <c r="D1870" s="2009"/>
    </row>
    <row r="1871" spans="3:4">
      <c r="C1871" s="2009"/>
      <c r="D1871" s="2009"/>
    </row>
    <row r="1872" spans="3:4">
      <c r="C1872" s="2009"/>
      <c r="D1872" s="2009"/>
    </row>
    <row r="1873" spans="3:4">
      <c r="C1873" s="2009"/>
      <c r="D1873" s="2009"/>
    </row>
    <row r="1874" spans="3:4">
      <c r="C1874" s="2009"/>
      <c r="D1874" s="2009"/>
    </row>
    <row r="1875" spans="3:4">
      <c r="C1875" s="2009"/>
      <c r="D1875" s="2009"/>
    </row>
    <row r="1876" spans="3:4">
      <c r="C1876" s="2009"/>
      <c r="D1876" s="2009"/>
    </row>
    <row r="1877" spans="3:4">
      <c r="C1877" s="2009"/>
      <c r="D1877" s="2009"/>
    </row>
    <row r="1878" spans="3:4">
      <c r="C1878" s="2009"/>
      <c r="D1878" s="2009"/>
    </row>
    <row r="1879" spans="3:4">
      <c r="C1879" s="2009"/>
      <c r="D1879" s="2009"/>
    </row>
    <row r="1880" spans="3:4">
      <c r="C1880" s="2009"/>
      <c r="D1880" s="2009"/>
    </row>
    <row r="1881" spans="3:4">
      <c r="C1881" s="2009"/>
      <c r="D1881" s="2009"/>
    </row>
    <row r="1882" spans="3:4">
      <c r="C1882" s="2009"/>
      <c r="D1882" s="2009"/>
    </row>
    <row r="1883" spans="3:4">
      <c r="C1883" s="2009"/>
      <c r="D1883" s="2009"/>
    </row>
    <row r="1884" spans="3:4">
      <c r="C1884" s="2009"/>
      <c r="D1884" s="2009"/>
    </row>
    <row r="1885" spans="3:4">
      <c r="C1885" s="2009"/>
      <c r="D1885" s="2009"/>
    </row>
    <row r="1886" spans="3:4">
      <c r="C1886" s="2009"/>
      <c r="D1886" s="2009"/>
    </row>
    <row r="1887" spans="3:4">
      <c r="C1887" s="2009"/>
      <c r="D1887" s="2009"/>
    </row>
    <row r="1888" spans="3:4">
      <c r="C1888" s="2009"/>
      <c r="D1888" s="2009"/>
    </row>
    <row r="1889" spans="3:4">
      <c r="C1889" s="2009"/>
      <c r="D1889" s="2009"/>
    </row>
    <row r="1890" spans="3:4">
      <c r="C1890" s="2009"/>
      <c r="D1890" s="2009"/>
    </row>
    <row r="1891" spans="3:4">
      <c r="C1891" s="2009"/>
      <c r="D1891" s="2009"/>
    </row>
    <row r="1892" spans="3:4">
      <c r="C1892" s="2009"/>
      <c r="D1892" s="2009"/>
    </row>
    <row r="1893" spans="3:4">
      <c r="C1893" s="2009"/>
      <c r="D1893" s="2009"/>
    </row>
    <row r="1894" spans="3:4">
      <c r="C1894" s="2009"/>
      <c r="D1894" s="2009"/>
    </row>
    <row r="1895" spans="3:4">
      <c r="C1895" s="2009"/>
      <c r="D1895" s="2009"/>
    </row>
    <row r="1896" spans="3:4">
      <c r="C1896" s="2009"/>
      <c r="D1896" s="2009"/>
    </row>
    <row r="1897" spans="3:4">
      <c r="C1897" s="2009"/>
      <c r="D1897" s="2009"/>
    </row>
    <row r="1898" spans="3:4">
      <c r="C1898" s="2009"/>
      <c r="D1898" s="2009"/>
    </row>
    <row r="1899" spans="3:4">
      <c r="C1899" s="2009"/>
      <c r="D1899" s="2009"/>
    </row>
    <row r="1900" spans="3:4">
      <c r="C1900" s="2009"/>
      <c r="D1900" s="2009"/>
    </row>
    <row r="1901" spans="3:4">
      <c r="C1901" s="2009"/>
      <c r="D1901" s="2009"/>
    </row>
    <row r="1902" spans="3:4">
      <c r="C1902" s="2009"/>
      <c r="D1902" s="2009"/>
    </row>
    <row r="1903" spans="3:4">
      <c r="C1903" s="2009"/>
      <c r="D1903" s="2009"/>
    </row>
    <row r="1904" spans="3:4">
      <c r="C1904" s="2009"/>
      <c r="D1904" s="2009"/>
    </row>
    <row r="1905" spans="3:4">
      <c r="C1905" s="2009"/>
      <c r="D1905" s="2009"/>
    </row>
    <row r="1906" spans="3:4">
      <c r="C1906" s="2009"/>
      <c r="D1906" s="2009"/>
    </row>
    <row r="1907" spans="3:4">
      <c r="C1907" s="2009"/>
      <c r="D1907" s="2009"/>
    </row>
    <row r="1908" spans="3:4">
      <c r="C1908" s="2009"/>
      <c r="D1908" s="2009"/>
    </row>
    <row r="1909" spans="3:4">
      <c r="C1909" s="2009"/>
      <c r="D1909" s="2009"/>
    </row>
    <row r="1910" spans="3:4">
      <c r="C1910" s="2009"/>
      <c r="D1910" s="2009"/>
    </row>
    <row r="1911" spans="3:4">
      <c r="C1911" s="2009"/>
      <c r="D1911" s="2009"/>
    </row>
    <row r="1912" spans="3:4">
      <c r="C1912" s="2009"/>
      <c r="D1912" s="2009"/>
    </row>
    <row r="1913" spans="3:4">
      <c r="C1913" s="2009"/>
      <c r="D1913" s="2009"/>
    </row>
    <row r="1914" spans="3:4">
      <c r="C1914" s="2009"/>
      <c r="D1914" s="2009"/>
    </row>
    <row r="1915" spans="3:4">
      <c r="C1915" s="2009"/>
      <c r="D1915" s="2009"/>
    </row>
    <row r="1916" spans="3:4">
      <c r="C1916" s="2009"/>
      <c r="D1916" s="2009"/>
    </row>
    <row r="1917" spans="3:4">
      <c r="C1917" s="2009"/>
      <c r="D1917" s="2009"/>
    </row>
    <row r="1918" spans="3:4">
      <c r="C1918" s="2009"/>
      <c r="D1918" s="2009"/>
    </row>
    <row r="1919" spans="3:4">
      <c r="C1919" s="2009"/>
      <c r="D1919" s="2009"/>
    </row>
    <row r="1920" spans="3:4">
      <c r="C1920" s="2009"/>
      <c r="D1920" s="2009"/>
    </row>
    <row r="1921" spans="3:4">
      <c r="C1921" s="2009"/>
      <c r="D1921" s="2009"/>
    </row>
    <row r="1922" spans="3:4">
      <c r="C1922" s="2009"/>
      <c r="D1922" s="2009"/>
    </row>
    <row r="1923" spans="3:4">
      <c r="C1923" s="2009"/>
      <c r="D1923" s="2009"/>
    </row>
    <row r="1924" spans="3:4">
      <c r="C1924" s="2009"/>
      <c r="D1924" s="2009"/>
    </row>
    <row r="1925" spans="3:4">
      <c r="C1925" s="2009"/>
      <c r="D1925" s="2009"/>
    </row>
    <row r="1926" spans="3:4">
      <c r="C1926" s="2009"/>
      <c r="D1926" s="2009"/>
    </row>
    <row r="1927" spans="3:4">
      <c r="C1927" s="2009"/>
      <c r="D1927" s="2009"/>
    </row>
    <row r="1928" spans="3:4">
      <c r="C1928" s="2009"/>
      <c r="D1928" s="2009"/>
    </row>
    <row r="1929" spans="3:4">
      <c r="C1929" s="2009"/>
      <c r="D1929" s="2009"/>
    </row>
    <row r="1930" spans="3:4">
      <c r="C1930" s="2009"/>
      <c r="D1930" s="2009"/>
    </row>
    <row r="1931" spans="3:4">
      <c r="C1931" s="2009"/>
      <c r="D1931" s="2009"/>
    </row>
    <row r="1932" spans="3:4">
      <c r="C1932" s="2009"/>
      <c r="D1932" s="2009"/>
    </row>
    <row r="1933" spans="3:4">
      <c r="C1933" s="2009"/>
      <c r="D1933" s="2009"/>
    </row>
    <row r="1934" spans="3:4">
      <c r="C1934" s="2009"/>
      <c r="D1934" s="2009"/>
    </row>
    <row r="1935" spans="3:4">
      <c r="C1935" s="2009"/>
      <c r="D1935" s="2009"/>
    </row>
    <row r="1936" spans="3:4">
      <c r="C1936" s="2009"/>
      <c r="D1936" s="2009"/>
    </row>
    <row r="1937" spans="3:4">
      <c r="C1937" s="2009"/>
      <c r="D1937" s="2009"/>
    </row>
    <row r="1938" spans="3:4">
      <c r="C1938" s="2009"/>
      <c r="D1938" s="2009"/>
    </row>
    <row r="1939" spans="3:4">
      <c r="C1939" s="2009"/>
      <c r="D1939" s="2009"/>
    </row>
    <row r="1940" spans="3:4">
      <c r="C1940" s="2009"/>
      <c r="D1940" s="2009"/>
    </row>
    <row r="1941" spans="3:4">
      <c r="C1941" s="2009"/>
      <c r="D1941" s="2009"/>
    </row>
    <row r="1942" spans="3:4">
      <c r="C1942" s="2009"/>
      <c r="D1942" s="2009"/>
    </row>
    <row r="1943" spans="3:4">
      <c r="C1943" s="2009"/>
      <c r="D1943" s="2009"/>
    </row>
    <row r="1944" spans="3:4">
      <c r="C1944" s="2009"/>
      <c r="D1944" s="2009"/>
    </row>
    <row r="1945" spans="3:4">
      <c r="C1945" s="2009"/>
      <c r="D1945" s="2009"/>
    </row>
    <row r="1946" spans="3:4">
      <c r="C1946" s="2009"/>
      <c r="D1946" s="2009"/>
    </row>
    <row r="1947" spans="3:4">
      <c r="C1947" s="2009"/>
      <c r="D1947" s="2009"/>
    </row>
    <row r="1948" spans="3:4">
      <c r="C1948" s="2009"/>
      <c r="D1948" s="2009"/>
    </row>
    <row r="1949" spans="3:4">
      <c r="C1949" s="2009"/>
      <c r="D1949" s="2009"/>
    </row>
    <row r="1950" spans="3:4">
      <c r="C1950" s="2009"/>
      <c r="D1950" s="2009"/>
    </row>
    <row r="1951" spans="3:4">
      <c r="C1951" s="2009"/>
      <c r="D1951" s="2009"/>
    </row>
    <row r="1952" spans="3:4">
      <c r="C1952" s="2009"/>
      <c r="D1952" s="2009"/>
    </row>
    <row r="1953" spans="3:4">
      <c r="C1953" s="2009"/>
      <c r="D1953" s="2009"/>
    </row>
    <row r="1954" spans="3:4">
      <c r="C1954" s="2009"/>
      <c r="D1954" s="2009"/>
    </row>
    <row r="1955" spans="3:4">
      <c r="C1955" s="2009"/>
      <c r="D1955" s="2009"/>
    </row>
    <row r="1956" spans="3:4">
      <c r="C1956" s="2009"/>
      <c r="D1956" s="2009"/>
    </row>
    <row r="1957" spans="3:4">
      <c r="C1957" s="2009"/>
      <c r="D1957" s="2009"/>
    </row>
    <row r="1958" spans="3:4">
      <c r="C1958" s="2009"/>
      <c r="D1958" s="2009"/>
    </row>
    <row r="1959" spans="3:4">
      <c r="C1959" s="2009"/>
      <c r="D1959" s="2009"/>
    </row>
    <row r="1960" spans="3:4">
      <c r="C1960" s="2009"/>
      <c r="D1960" s="2009"/>
    </row>
    <row r="1961" spans="3:4">
      <c r="C1961" s="2009"/>
      <c r="D1961" s="2009"/>
    </row>
    <row r="1962" spans="3:4">
      <c r="C1962" s="2009"/>
      <c r="D1962" s="2009"/>
    </row>
    <row r="1963" spans="3:4">
      <c r="C1963" s="2009"/>
      <c r="D1963" s="2009"/>
    </row>
    <row r="1964" spans="3:4">
      <c r="C1964" s="2009"/>
      <c r="D1964" s="2009"/>
    </row>
    <row r="1965" spans="3:4">
      <c r="C1965" s="2009"/>
      <c r="D1965" s="2009"/>
    </row>
    <row r="1966" spans="3:4">
      <c r="C1966" s="2009"/>
      <c r="D1966" s="2009"/>
    </row>
    <row r="1967" spans="3:4">
      <c r="C1967" s="2009"/>
      <c r="D1967" s="2009"/>
    </row>
    <row r="1968" spans="3:4">
      <c r="C1968" s="2009"/>
      <c r="D1968" s="2009"/>
    </row>
    <row r="1969" spans="3:4">
      <c r="C1969" s="2009"/>
      <c r="D1969" s="2009"/>
    </row>
    <row r="1970" spans="3:4">
      <c r="C1970" s="2009"/>
      <c r="D1970" s="2009"/>
    </row>
    <row r="1971" spans="3:4">
      <c r="C1971" s="2009"/>
      <c r="D1971" s="2009"/>
    </row>
    <row r="1972" spans="3:4">
      <c r="C1972" s="2009"/>
      <c r="D1972" s="2009"/>
    </row>
    <row r="1973" spans="3:4">
      <c r="C1973" s="2009"/>
      <c r="D1973" s="2009"/>
    </row>
    <row r="1974" spans="3:4">
      <c r="C1974" s="2009"/>
      <c r="D1974" s="2009"/>
    </row>
    <row r="1975" spans="3:4">
      <c r="C1975" s="2009"/>
      <c r="D1975" s="2009"/>
    </row>
    <row r="1976" spans="3:4">
      <c r="C1976" s="2009"/>
      <c r="D1976" s="2009"/>
    </row>
    <row r="1977" spans="3:4">
      <c r="C1977" s="2009"/>
      <c r="D1977" s="2009"/>
    </row>
    <row r="1978" spans="3:4">
      <c r="C1978" s="2009"/>
      <c r="D1978" s="2009"/>
    </row>
    <row r="1979" spans="3:4">
      <c r="C1979" s="2009"/>
      <c r="D1979" s="2009"/>
    </row>
    <row r="1980" spans="3:4">
      <c r="C1980" s="2009"/>
      <c r="D1980" s="2009"/>
    </row>
    <row r="1981" spans="3:4">
      <c r="C1981" s="2009"/>
      <c r="D1981" s="2009"/>
    </row>
    <row r="1982" spans="3:4">
      <c r="C1982" s="2009"/>
      <c r="D1982" s="2009"/>
    </row>
    <row r="1983" spans="3:4">
      <c r="C1983" s="2009"/>
      <c r="D1983" s="2009"/>
    </row>
    <row r="1984" spans="3:4">
      <c r="C1984" s="2009"/>
      <c r="D1984" s="2009"/>
    </row>
  </sheetData>
  <phoneticPr fontId="0" type="noConversion"/>
  <printOptions horizontalCentered="1"/>
  <pageMargins left="0.78740157480314965" right="0.78740157480314965" top="0.39370078740157483" bottom="0.11811023622047245" header="0.51181102362204722" footer="3.937007874015748E-2"/>
  <pageSetup paperSize="9" scale="85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>
    <tabColor rgb="FFFFC000"/>
  </sheetPr>
  <dimension ref="A1:N55"/>
  <sheetViews>
    <sheetView workbookViewId="0">
      <pane ySplit="9" topLeftCell="A46" activePane="bottomLeft" state="frozenSplit"/>
      <selection activeCell="B32" sqref="A1:XFD1048576"/>
      <selection pane="bottomLeft" activeCell="B27" sqref="B27"/>
    </sheetView>
  </sheetViews>
  <sheetFormatPr defaultColWidth="9.109375" defaultRowHeight="13.2"/>
  <cols>
    <col min="1" max="1" width="4.6640625" style="2009" customWidth="1"/>
    <col min="2" max="2" width="47" style="2009" customWidth="1"/>
    <col min="3" max="3" width="11.33203125" style="2009" customWidth="1"/>
    <col min="4" max="4" width="11" style="2009" customWidth="1"/>
    <col min="5" max="5" width="11.44140625" style="2009" customWidth="1"/>
    <col min="6" max="6" width="11" style="2009" customWidth="1"/>
    <col min="7" max="7" width="0" style="2231" hidden="1" customWidth="1"/>
    <col min="8" max="8" width="0" style="2009" hidden="1" customWidth="1"/>
    <col min="9" max="9" width="17.44140625" style="2009" hidden="1" customWidth="1"/>
    <col min="10" max="13" width="0" style="2009" hidden="1" customWidth="1"/>
    <col min="14" max="16384" width="9.109375" style="2009"/>
  </cols>
  <sheetData>
    <row r="1" spans="1:10">
      <c r="F1" s="2154" t="s">
        <v>429</v>
      </c>
    </row>
    <row r="2" spans="1:10" ht="15.6">
      <c r="A2" s="2007" t="s">
        <v>93</v>
      </c>
      <c r="B2" s="2007"/>
      <c r="C2" s="2151"/>
      <c r="D2" s="2007"/>
      <c r="E2" s="2007"/>
      <c r="F2" s="2007"/>
    </row>
    <row r="3" spans="1:10" ht="15.6">
      <c r="A3" s="2007" t="s">
        <v>94</v>
      </c>
      <c r="B3" s="2007"/>
      <c r="C3" s="2151"/>
      <c r="D3" s="2007"/>
      <c r="E3" s="2007"/>
      <c r="F3" s="2007"/>
    </row>
    <row r="4" spans="1:10" ht="15.6">
      <c r="A4" s="2007" t="s">
        <v>2487</v>
      </c>
      <c r="B4" s="2007"/>
      <c r="C4" s="2151"/>
      <c r="D4" s="2007"/>
      <c r="E4" s="2007"/>
      <c r="F4" s="2007"/>
      <c r="G4" s="2009"/>
    </row>
    <row r="5" spans="1:10" ht="15.6">
      <c r="A5" s="2007"/>
      <c r="B5" s="2007"/>
      <c r="C5" s="2151"/>
      <c r="D5" s="2007"/>
      <c r="E5" s="2007"/>
      <c r="F5" s="2007"/>
      <c r="G5" s="2009"/>
    </row>
    <row r="6" spans="1:10">
      <c r="E6" s="3384" t="s">
        <v>1401</v>
      </c>
      <c r="F6" s="2154" t="s">
        <v>24</v>
      </c>
      <c r="G6" s="2009"/>
    </row>
    <row r="7" spans="1:10" s="3409" customFormat="1" ht="24" customHeight="1">
      <c r="A7" s="4165" t="s">
        <v>673</v>
      </c>
      <c r="B7" s="4165" t="s">
        <v>95</v>
      </c>
      <c r="C7" s="4167" t="s">
        <v>799</v>
      </c>
      <c r="D7" s="4168"/>
      <c r="E7" s="4169" t="s">
        <v>688</v>
      </c>
      <c r="F7" s="4168"/>
    </row>
    <row r="8" spans="1:10" s="3409" customFormat="1" ht="37.5" customHeight="1">
      <c r="A8" s="4166"/>
      <c r="B8" s="4166"/>
      <c r="C8" s="3758" t="s">
        <v>96</v>
      </c>
      <c r="D8" s="3759" t="s">
        <v>130</v>
      </c>
      <c r="E8" s="3760" t="s">
        <v>96</v>
      </c>
      <c r="F8" s="3761" t="s">
        <v>130</v>
      </c>
    </row>
    <row r="9" spans="1:10" s="3409" customFormat="1">
      <c r="A9" s="3762">
        <v>1</v>
      </c>
      <c r="B9" s="3762">
        <v>2</v>
      </c>
      <c r="C9" s="3762">
        <v>3</v>
      </c>
      <c r="D9" s="3762">
        <v>4</v>
      </c>
      <c r="E9" s="3762">
        <v>5</v>
      </c>
      <c r="F9" s="3762">
        <v>6</v>
      </c>
    </row>
    <row r="10" spans="1:10" ht="19.5" customHeight="1">
      <c r="A10" s="3763" t="s">
        <v>682</v>
      </c>
      <c r="B10" s="3752" t="s">
        <v>97</v>
      </c>
      <c r="C10" s="3764">
        <v>7653.5116800000014</v>
      </c>
      <c r="D10" s="3764"/>
      <c r="E10" s="3764">
        <v>7951.9980134400002</v>
      </c>
      <c r="F10" s="3765"/>
      <c r="G10" s="2009"/>
      <c r="H10" s="3766"/>
      <c r="I10" s="3767">
        <v>1.0389999187196639</v>
      </c>
    </row>
    <row r="11" spans="1:10" ht="27.75" customHeight="1">
      <c r="A11" s="3763" t="s">
        <v>684</v>
      </c>
      <c r="B11" s="3752" t="s">
        <v>98</v>
      </c>
      <c r="C11" s="2162">
        <v>0</v>
      </c>
      <c r="D11" s="2162"/>
      <c r="E11" s="2162">
        <v>0</v>
      </c>
      <c r="F11" s="3765"/>
      <c r="G11" s="2009"/>
      <c r="I11" s="3465">
        <v>0.28600085902266648</v>
      </c>
      <c r="J11" s="2009" t="s">
        <v>1143</v>
      </c>
    </row>
    <row r="12" spans="1:10" ht="27" customHeight="1">
      <c r="A12" s="3763" t="s">
        <v>685</v>
      </c>
      <c r="B12" s="3549" t="s">
        <v>2554</v>
      </c>
      <c r="C12" s="3764">
        <v>2426.1632025600006</v>
      </c>
      <c r="D12" s="3764"/>
      <c r="E12" s="3764">
        <v>2520.7833702604803</v>
      </c>
      <c r="F12" s="3765"/>
      <c r="G12" s="2009"/>
      <c r="I12" s="3465">
        <v>0.317</v>
      </c>
      <c r="J12" s="3465">
        <v>0.317</v>
      </c>
    </row>
    <row r="13" spans="1:10" ht="25.5" customHeight="1">
      <c r="A13" s="3763" t="s">
        <v>686</v>
      </c>
      <c r="B13" s="3752" t="s">
        <v>99</v>
      </c>
      <c r="C13" s="3764">
        <v>500.5817986737253</v>
      </c>
      <c r="D13" s="3764"/>
      <c r="E13" s="3764">
        <v>464.61630598638686</v>
      </c>
      <c r="F13" s="3765"/>
      <c r="G13" s="2009"/>
      <c r="I13" s="3768">
        <v>518.71176517482468</v>
      </c>
      <c r="J13" s="3769">
        <v>1261.4026568425147</v>
      </c>
    </row>
    <row r="14" spans="1:10" ht="15.75" customHeight="1">
      <c r="A14" s="3763" t="s">
        <v>100</v>
      </c>
      <c r="B14" s="3752" t="s">
        <v>101</v>
      </c>
      <c r="C14" s="3764">
        <v>134.62179867372532</v>
      </c>
      <c r="D14" s="3764"/>
      <c r="E14" s="3764">
        <v>110.98691922805301</v>
      </c>
      <c r="F14" s="3765"/>
      <c r="G14" s="2009"/>
    </row>
    <row r="15" spans="1:10">
      <c r="A15" s="3763"/>
      <c r="B15" s="3752" t="s">
        <v>102</v>
      </c>
      <c r="C15" s="2162">
        <v>0</v>
      </c>
      <c r="D15" s="2162"/>
      <c r="E15" s="2162">
        <v>0</v>
      </c>
      <c r="F15" s="3765"/>
      <c r="G15" s="2009"/>
    </row>
    <row r="16" spans="1:10">
      <c r="A16" s="3763"/>
      <c r="B16" s="3752" t="s">
        <v>103</v>
      </c>
      <c r="C16" s="2162">
        <v>0</v>
      </c>
      <c r="D16" s="2162"/>
      <c r="E16" s="2162">
        <v>0</v>
      </c>
      <c r="F16" s="3765"/>
      <c r="G16" s="2009"/>
    </row>
    <row r="17" spans="1:14">
      <c r="A17" s="3763"/>
      <c r="B17" s="3752" t="s">
        <v>104</v>
      </c>
      <c r="C17" s="3764">
        <v>134.62179867372532</v>
      </c>
      <c r="D17" s="3764"/>
      <c r="E17" s="3764">
        <v>110.98691922805301</v>
      </c>
      <c r="F17" s="3765"/>
      <c r="G17" s="2009"/>
    </row>
    <row r="18" spans="1:14">
      <c r="A18" s="3763"/>
      <c r="B18" s="3752" t="s">
        <v>105</v>
      </c>
      <c r="C18" s="2162">
        <v>0</v>
      </c>
      <c r="D18" s="2162"/>
      <c r="E18" s="2162">
        <v>0</v>
      </c>
      <c r="F18" s="3765"/>
      <c r="G18" s="2009"/>
    </row>
    <row r="19" spans="1:14" ht="13.5" customHeight="1">
      <c r="A19" s="3763" t="s">
        <v>106</v>
      </c>
      <c r="B19" s="3752" t="s">
        <v>428</v>
      </c>
      <c r="C19" s="2162">
        <v>0</v>
      </c>
      <c r="D19" s="2162"/>
      <c r="E19" s="2162">
        <v>0</v>
      </c>
      <c r="F19" s="3765"/>
      <c r="G19" s="2009"/>
      <c r="H19" s="2009">
        <v>365.96</v>
      </c>
      <c r="J19" s="3770"/>
      <c r="K19" s="3770"/>
    </row>
    <row r="20" spans="1:14" ht="27" customHeight="1">
      <c r="A20" s="3763" t="s">
        <v>107</v>
      </c>
      <c r="B20" s="3752" t="s">
        <v>2819</v>
      </c>
      <c r="C20" s="3764">
        <v>365.96</v>
      </c>
      <c r="D20" s="3764"/>
      <c r="E20" s="3764">
        <v>353.62938675833385</v>
      </c>
      <c r="F20" s="3765"/>
      <c r="G20" s="2231">
        <v>365.96</v>
      </c>
      <c r="H20" s="2009">
        <v>353.62938675833385</v>
      </c>
      <c r="I20" s="2077"/>
      <c r="J20" s="3770">
        <v>353.62938675833385</v>
      </c>
      <c r="K20" s="3771"/>
    </row>
    <row r="21" spans="1:14" ht="27" customHeight="1">
      <c r="A21" s="3763" t="s">
        <v>741</v>
      </c>
      <c r="B21" s="3752" t="s">
        <v>108</v>
      </c>
      <c r="C21" s="2162">
        <v>0</v>
      </c>
      <c r="D21" s="2162"/>
      <c r="E21" s="2162">
        <v>0</v>
      </c>
      <c r="F21" s="3765"/>
      <c r="G21" s="3772">
        <v>353.62938675833385</v>
      </c>
      <c r="H21" s="3773" t="s">
        <v>1219</v>
      </c>
      <c r="I21" s="3773" t="s">
        <v>1142</v>
      </c>
      <c r="J21" s="3773" t="s">
        <v>1220</v>
      </c>
      <c r="K21" s="3773" t="s">
        <v>1236</v>
      </c>
      <c r="L21" s="3773" t="s">
        <v>871</v>
      </c>
      <c r="M21" s="3773"/>
      <c r="N21" s="3409"/>
    </row>
    <row r="22" spans="1:14" ht="14.25" customHeight="1">
      <c r="A22" s="3763" t="s">
        <v>747</v>
      </c>
      <c r="B22" s="3752" t="s">
        <v>420</v>
      </c>
      <c r="C22" s="3764">
        <v>6243.0091102080005</v>
      </c>
      <c r="D22" s="3764"/>
      <c r="E22" s="3764">
        <v>6486.4854499410731</v>
      </c>
      <c r="F22" s="3765"/>
      <c r="G22" s="2009"/>
      <c r="H22" s="3773">
        <v>4925.1977600160008</v>
      </c>
      <c r="I22" s="3773">
        <v>1758.2956003257123</v>
      </c>
      <c r="J22" s="3773">
        <v>0</v>
      </c>
      <c r="K22" s="3773"/>
      <c r="L22" s="3773">
        <v>6683.493360341713</v>
      </c>
      <c r="M22" s="3773"/>
      <c r="N22" s="3409"/>
    </row>
    <row r="23" spans="1:14" ht="15.75" customHeight="1">
      <c r="A23" s="3763" t="s">
        <v>749</v>
      </c>
      <c r="B23" s="3752" t="s">
        <v>109</v>
      </c>
      <c r="C23" s="3764">
        <v>53.47</v>
      </c>
      <c r="D23" s="3764"/>
      <c r="E23" s="3764">
        <v>51.668388102437731</v>
      </c>
      <c r="F23" s="3765"/>
      <c r="G23" s="2009"/>
      <c r="I23" s="3746"/>
      <c r="J23" s="3746"/>
      <c r="K23" s="3746"/>
      <c r="L23" s="3746"/>
      <c r="M23" s="3746"/>
    </row>
    <row r="24" spans="1:14" ht="12.75" customHeight="1">
      <c r="A24" s="3763" t="s">
        <v>110</v>
      </c>
      <c r="B24" s="3752" t="s">
        <v>111</v>
      </c>
      <c r="C24" s="2162">
        <v>0</v>
      </c>
      <c r="D24" s="3764"/>
      <c r="E24" s="2162">
        <v>0</v>
      </c>
      <c r="F24" s="3765"/>
      <c r="G24" s="2009"/>
    </row>
    <row r="25" spans="1:14" ht="12.75" customHeight="1">
      <c r="A25" s="3763" t="s">
        <v>112</v>
      </c>
      <c r="B25" s="3752" t="s">
        <v>113</v>
      </c>
      <c r="C25" s="2162">
        <v>0</v>
      </c>
      <c r="D25" s="2162"/>
      <c r="E25" s="2162">
        <v>0</v>
      </c>
      <c r="F25" s="3765"/>
      <c r="G25" s="2009"/>
    </row>
    <row r="26" spans="1:14" ht="25.5" customHeight="1">
      <c r="A26" s="3763" t="s">
        <v>114</v>
      </c>
      <c r="B26" s="3752" t="s">
        <v>889</v>
      </c>
      <c r="C26" s="2162">
        <v>0</v>
      </c>
      <c r="D26" s="2162"/>
      <c r="E26" s="2162">
        <v>0</v>
      </c>
      <c r="F26" s="3765"/>
      <c r="G26" s="2009"/>
      <c r="H26" s="3770">
        <v>16823.265791441729</v>
      </c>
      <c r="I26" s="3770">
        <v>22928.26700962794</v>
      </c>
      <c r="J26" s="2009" t="s">
        <v>881</v>
      </c>
      <c r="K26" s="3770">
        <v>17423.883139627938</v>
      </c>
    </row>
    <row r="27" spans="1:14" ht="24.75" customHeight="1">
      <c r="A27" s="3763" t="s">
        <v>115</v>
      </c>
      <c r="B27" s="3752" t="s">
        <v>116</v>
      </c>
      <c r="C27" s="2162">
        <v>0</v>
      </c>
      <c r="D27" s="3764"/>
      <c r="E27" s="2162">
        <v>0</v>
      </c>
      <c r="F27" s="3765"/>
      <c r="G27" s="2009"/>
      <c r="I27" s="3465">
        <v>2.2534798674815398E-3</v>
      </c>
      <c r="J27" s="2009" t="s">
        <v>888</v>
      </c>
    </row>
    <row r="28" spans="1:14" ht="45.6" customHeight="1">
      <c r="A28" s="3763" t="s">
        <v>117</v>
      </c>
      <c r="B28" s="3752" t="s">
        <v>1233</v>
      </c>
      <c r="C28" s="2162">
        <v>0</v>
      </c>
      <c r="D28" s="3764"/>
      <c r="E28" s="2162">
        <v>0</v>
      </c>
      <c r="F28" s="3765"/>
      <c r="G28" s="2009"/>
      <c r="I28" s="2009">
        <v>0</v>
      </c>
      <c r="J28" s="2009">
        <v>0</v>
      </c>
    </row>
    <row r="29" spans="1:14" ht="17.399999999999999" customHeight="1">
      <c r="A29" s="3763"/>
      <c r="B29" s="3752" t="s">
        <v>118</v>
      </c>
      <c r="C29" s="2162">
        <v>0</v>
      </c>
      <c r="D29" s="3764"/>
      <c r="E29" s="2162">
        <v>0</v>
      </c>
      <c r="F29" s="3765"/>
      <c r="G29" s="2009"/>
      <c r="I29" s="3772">
        <v>0</v>
      </c>
      <c r="J29" s="3772">
        <v>0</v>
      </c>
    </row>
    <row r="30" spans="1:14">
      <c r="A30" s="3763"/>
      <c r="B30" s="3752" t="s">
        <v>102</v>
      </c>
      <c r="C30" s="2162">
        <v>0</v>
      </c>
      <c r="D30" s="2162"/>
      <c r="E30" s="2162">
        <v>0</v>
      </c>
      <c r="F30" s="3765"/>
      <c r="G30" s="2009"/>
    </row>
    <row r="31" spans="1:14">
      <c r="A31" s="3763"/>
      <c r="B31" s="3752" t="s">
        <v>103</v>
      </c>
      <c r="C31" s="2162">
        <v>0</v>
      </c>
      <c r="D31" s="2162"/>
      <c r="E31" s="2162">
        <v>0</v>
      </c>
      <c r="F31" s="3765"/>
      <c r="G31" s="2009"/>
    </row>
    <row r="32" spans="1:14">
      <c r="A32" s="3763"/>
      <c r="B32" s="3752" t="s">
        <v>104</v>
      </c>
      <c r="C32" s="2162">
        <v>0</v>
      </c>
      <c r="D32" s="3764"/>
      <c r="E32" s="2162">
        <v>0</v>
      </c>
      <c r="F32" s="3765"/>
      <c r="G32" s="2009"/>
    </row>
    <row r="33" spans="1:10">
      <c r="A33" s="3763"/>
      <c r="B33" s="3752" t="s">
        <v>105</v>
      </c>
      <c r="C33" s="2162">
        <v>0</v>
      </c>
      <c r="D33" s="3764"/>
      <c r="E33" s="2162">
        <v>0</v>
      </c>
      <c r="F33" s="3765"/>
      <c r="G33" s="2009"/>
    </row>
    <row r="34" spans="1:10" ht="26.25" customHeight="1">
      <c r="A34" s="3774" t="s">
        <v>119</v>
      </c>
      <c r="B34" s="3775" t="s">
        <v>120</v>
      </c>
      <c r="C34" s="3776">
        <v>53.47</v>
      </c>
      <c r="D34" s="3776"/>
      <c r="E34" s="3776">
        <v>51.668388102437731</v>
      </c>
      <c r="F34" s="3765"/>
      <c r="G34" s="2009"/>
    </row>
    <row r="35" spans="1:10" ht="12.75" customHeight="1">
      <c r="A35" s="3777" t="s">
        <v>551</v>
      </c>
      <c r="B35" s="3777" t="s">
        <v>121</v>
      </c>
      <c r="C35" s="2162">
        <v>0</v>
      </c>
      <c r="D35" s="3778"/>
      <c r="E35" s="3778">
        <v>5504.48387</v>
      </c>
      <c r="F35" s="3779"/>
      <c r="G35" s="2009"/>
    </row>
    <row r="36" spans="1:10" ht="29.25" customHeight="1">
      <c r="A36" s="3777" t="s">
        <v>552</v>
      </c>
      <c r="B36" s="3777" t="s">
        <v>122</v>
      </c>
      <c r="C36" s="2162">
        <v>0</v>
      </c>
      <c r="D36" s="2162"/>
      <c r="E36" s="2162">
        <v>0</v>
      </c>
      <c r="F36" s="3779"/>
      <c r="G36" s="2009"/>
    </row>
    <row r="37" spans="1:10" ht="14.25" customHeight="1">
      <c r="A37" s="3777" t="s">
        <v>550</v>
      </c>
      <c r="B37" s="3780" t="s">
        <v>123</v>
      </c>
      <c r="C37" s="3781">
        <v>16876.73579144173</v>
      </c>
      <c r="D37" s="3781"/>
      <c r="E37" s="3781">
        <v>22979.935397730376</v>
      </c>
      <c r="F37" s="3782"/>
      <c r="G37" s="2009"/>
      <c r="H37" s="2009">
        <v>6930.6700345141326</v>
      </c>
      <c r="J37" s="2009">
        <v>7404.8586348971294</v>
      </c>
    </row>
    <row r="38" spans="1:10" ht="14.25" customHeight="1">
      <c r="A38" s="3763"/>
      <c r="B38" s="3752" t="s">
        <v>124</v>
      </c>
      <c r="C38" s="3764"/>
      <c r="D38" s="3764"/>
      <c r="E38" s="3764"/>
      <c r="F38" s="3783"/>
      <c r="G38" s="2009"/>
      <c r="H38" s="3770">
        <v>-8497.1107935753171</v>
      </c>
      <c r="J38" s="3770">
        <v>-9744.8184141090387</v>
      </c>
    </row>
    <row r="39" spans="1:10">
      <c r="A39" s="3763"/>
      <c r="B39" s="3752" t="s">
        <v>102</v>
      </c>
      <c r="C39" s="3764">
        <v>7533.8692654193983</v>
      </c>
      <c r="D39" s="3764"/>
      <c r="E39" s="3764">
        <v>7813.9689926789197</v>
      </c>
      <c r="F39" s="3784"/>
      <c r="G39" s="2009"/>
      <c r="H39" s="3507"/>
    </row>
    <row r="40" spans="1:10">
      <c r="A40" s="3763"/>
      <c r="B40" s="3752" t="s">
        <v>103</v>
      </c>
      <c r="C40" s="3764">
        <v>0</v>
      </c>
      <c r="D40" s="3764"/>
      <c r="E40" s="3764">
        <v>0</v>
      </c>
      <c r="F40" s="3784"/>
      <c r="G40" s="2009"/>
      <c r="H40" s="3770">
        <v>25373.846585017047</v>
      </c>
      <c r="I40" s="3770">
        <v>32724.753811839415</v>
      </c>
    </row>
    <row r="41" spans="1:10">
      <c r="A41" s="3763"/>
      <c r="B41" s="3752" t="s">
        <v>104</v>
      </c>
      <c r="C41" s="3764">
        <v>8566.051554777212</v>
      </c>
      <c r="D41" s="3764"/>
      <c r="E41" s="3764">
        <v>8855.8865660200318</v>
      </c>
      <c r="F41" s="3784"/>
      <c r="G41" s="2009"/>
      <c r="H41" s="3770">
        <v>25373.846585017047</v>
      </c>
      <c r="I41" s="3770">
        <v>32724.753811839415</v>
      </c>
    </row>
    <row r="42" spans="1:10">
      <c r="A42" s="3763"/>
      <c r="B42" s="3752" t="s">
        <v>105</v>
      </c>
      <c r="C42" s="3764">
        <v>776.81497124511952</v>
      </c>
      <c r="D42" s="3764"/>
      <c r="E42" s="3764">
        <v>6310.0798390314249</v>
      </c>
      <c r="F42" s="3784"/>
      <c r="G42" s="2009"/>
    </row>
    <row r="43" spans="1:10" ht="13.5" customHeight="1">
      <c r="A43" s="3763" t="s">
        <v>553</v>
      </c>
      <c r="B43" s="3752" t="s">
        <v>125</v>
      </c>
      <c r="C43" s="3764">
        <v>21.388889000000002</v>
      </c>
      <c r="D43" s="3764"/>
      <c r="E43" s="3764">
        <v>23.344686391399996</v>
      </c>
      <c r="F43" s="3785"/>
      <c r="G43" s="2009"/>
    </row>
    <row r="44" spans="1:10" ht="15" customHeight="1">
      <c r="A44" s="3763" t="s">
        <v>778</v>
      </c>
      <c r="B44" s="3752" t="s">
        <v>126</v>
      </c>
      <c r="C44" s="3764">
        <v>789.04218874770572</v>
      </c>
      <c r="D44" s="3764"/>
      <c r="E44" s="3764">
        <v>984.37541684843575</v>
      </c>
      <c r="F44" s="3785"/>
      <c r="G44" s="2009"/>
    </row>
    <row r="45" spans="1:10" ht="15" customHeight="1">
      <c r="A45" s="3763" t="s">
        <v>418</v>
      </c>
      <c r="B45" s="3752" t="s">
        <v>127</v>
      </c>
      <c r="C45" s="3764">
        <v>53.47</v>
      </c>
      <c r="D45" s="3764"/>
      <c r="E45" s="3764">
        <v>51.668388102437731</v>
      </c>
      <c r="F45" s="3783"/>
      <c r="G45" s="2009"/>
    </row>
    <row r="46" spans="1:10" ht="14.25" customHeight="1">
      <c r="A46" s="3763" t="s">
        <v>554</v>
      </c>
      <c r="B46" s="3752" t="s">
        <v>128</v>
      </c>
      <c r="C46" s="3764">
        <v>53.47</v>
      </c>
      <c r="D46" s="3764"/>
      <c r="E46" s="3764">
        <v>51.668388102437731</v>
      </c>
      <c r="F46" s="3783"/>
      <c r="G46" s="2009"/>
    </row>
    <row r="47" spans="1:10" ht="98.4" customHeight="1">
      <c r="A47" s="3777" t="s">
        <v>555</v>
      </c>
      <c r="B47" s="3777" t="s">
        <v>129</v>
      </c>
      <c r="C47" s="2090">
        <v>8497.1107935753171</v>
      </c>
      <c r="D47" s="2090"/>
      <c r="E47" s="2090">
        <v>9744.8184141090387</v>
      </c>
      <c r="F47" s="3783"/>
      <c r="G47" s="2009"/>
    </row>
    <row r="48" spans="1:10" ht="27" customHeight="1"/>
    <row r="49" spans="1:9" s="2171" customFormat="1" ht="23.25" customHeight="1">
      <c r="A49" s="3404" t="s">
        <v>1266</v>
      </c>
      <c r="B49" s="3404"/>
      <c r="C49" s="3405"/>
      <c r="I49" s="3406"/>
    </row>
    <row r="50" spans="1:9" s="2171" customFormat="1" ht="15" customHeight="1">
      <c r="A50" s="3404" t="s">
        <v>1304</v>
      </c>
      <c r="B50" s="3407"/>
      <c r="C50" s="3405"/>
      <c r="F50" s="3408" t="s">
        <v>2876</v>
      </c>
    </row>
    <row r="51" spans="1:9" ht="11.25" customHeight="1">
      <c r="G51" s="2009"/>
    </row>
    <row r="52" spans="1:9">
      <c r="A52" s="3410"/>
      <c r="G52" s="2009"/>
    </row>
    <row r="53" spans="1:9">
      <c r="A53" s="3410"/>
      <c r="G53" s="2009"/>
    </row>
    <row r="54" spans="1:9">
      <c r="A54" s="3410"/>
      <c r="B54" s="3410"/>
      <c r="G54" s="2009"/>
    </row>
    <row r="55" spans="1:9">
      <c r="A55" s="3786"/>
      <c r="B55" s="3410"/>
      <c r="G55" s="2009"/>
    </row>
  </sheetData>
  <mergeCells count="4">
    <mergeCell ref="A7:A8"/>
    <mergeCell ref="B7:B8"/>
    <mergeCell ref="C7:D7"/>
    <mergeCell ref="E7:F7"/>
  </mergeCells>
  <phoneticPr fontId="0" type="noConversion"/>
  <printOptions horizontalCentered="1"/>
  <pageMargins left="0.78740157480314965" right="0.78740157480314965" top="0.39370078740157483" bottom="0.11811023622047245" header="0.51181102362204722" footer="3.937007874015748E-2"/>
  <pageSetup paperSize="9" scale="81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>
    <tabColor rgb="FF7030A0"/>
  </sheetPr>
  <dimension ref="A1:T29"/>
  <sheetViews>
    <sheetView workbookViewId="0">
      <selection activeCell="B32" sqref="A1:XFD1048576"/>
    </sheetView>
  </sheetViews>
  <sheetFormatPr defaultColWidth="9.109375" defaultRowHeight="13.2"/>
  <cols>
    <col min="1" max="1" width="54.109375" style="879" customWidth="1"/>
    <col min="2" max="2" width="9.88671875" style="879" customWidth="1"/>
    <col min="3" max="8" width="11" style="879" customWidth="1"/>
    <col min="9" max="9" width="9.109375" style="878"/>
    <col min="10" max="16384" width="9.109375" style="879"/>
  </cols>
  <sheetData>
    <row r="1" spans="1:10" ht="21" customHeight="1">
      <c r="A1" s="876" t="s">
        <v>2487</v>
      </c>
      <c r="B1" s="595"/>
      <c r="C1" s="877"/>
      <c r="D1" s="877"/>
      <c r="E1" s="877"/>
      <c r="F1" s="877"/>
      <c r="G1" s="877"/>
      <c r="H1" s="877"/>
    </row>
    <row r="2" spans="1:10" ht="21" customHeight="1">
      <c r="A2" s="880" t="s">
        <v>1703</v>
      </c>
      <c r="B2" s="876"/>
      <c r="C2" s="877"/>
      <c r="D2" s="877"/>
      <c r="E2" s="877"/>
      <c r="F2" s="877"/>
      <c r="G2" s="877"/>
      <c r="H2" s="877"/>
    </row>
    <row r="3" spans="1:10" ht="20.25" customHeight="1">
      <c r="A3" s="880" t="s">
        <v>1686</v>
      </c>
      <c r="B3" s="881"/>
      <c r="C3" s="881"/>
      <c r="D3" s="881"/>
      <c r="E3" s="881"/>
      <c r="F3" s="881"/>
      <c r="G3" s="881"/>
      <c r="H3" s="881"/>
    </row>
    <row r="4" spans="1:10" ht="20.25" customHeight="1">
      <c r="A4" s="880"/>
      <c r="B4" s="881"/>
      <c r="C4" s="881"/>
      <c r="D4" s="881"/>
      <c r="E4" s="881"/>
      <c r="F4" s="881"/>
      <c r="G4" s="881"/>
      <c r="H4" s="881"/>
    </row>
    <row r="5" spans="1:10" ht="15.6">
      <c r="A5" s="1309" t="s">
        <v>2833</v>
      </c>
      <c r="C5" s="1259"/>
    </row>
    <row r="6" spans="1:10" ht="21.75" customHeight="1">
      <c r="C6" s="882"/>
      <c r="D6" s="882"/>
      <c r="E6" s="882"/>
      <c r="F6" s="882"/>
      <c r="G6" s="595" t="s">
        <v>2900</v>
      </c>
      <c r="H6" s="882"/>
    </row>
    <row r="7" spans="1:10" s="884" customFormat="1" ht="46.5" customHeight="1">
      <c r="A7" s="4170" t="s">
        <v>1309</v>
      </c>
      <c r="B7" s="4170" t="s">
        <v>1310</v>
      </c>
      <c r="C7" s="1315" t="s">
        <v>1685</v>
      </c>
      <c r="D7" s="1315"/>
      <c r="E7" s="1315"/>
      <c r="F7" s="1315" t="s">
        <v>1687</v>
      </c>
      <c r="G7" s="1315"/>
      <c r="H7" s="1315"/>
      <c r="I7" s="883"/>
      <c r="J7" s="1260">
        <v>16.769818745732007</v>
      </c>
    </row>
    <row r="8" spans="1:10" s="884" customFormat="1" ht="28.8">
      <c r="A8" s="4171"/>
      <c r="B8" s="4171"/>
      <c r="C8" s="1315" t="s">
        <v>1411</v>
      </c>
      <c r="D8" s="1315" t="s">
        <v>1689</v>
      </c>
      <c r="E8" s="1315" t="s">
        <v>679</v>
      </c>
      <c r="F8" s="1315" t="s">
        <v>1411</v>
      </c>
      <c r="G8" s="1315" t="s">
        <v>1689</v>
      </c>
      <c r="H8" s="1315" t="s">
        <v>679</v>
      </c>
      <c r="I8" s="883"/>
    </row>
    <row r="9" spans="1:10" s="897" customFormat="1" ht="21.75" customHeight="1">
      <c r="A9" s="893" t="s">
        <v>1412</v>
      </c>
      <c r="B9" s="894" t="s">
        <v>1413</v>
      </c>
      <c r="C9" s="895">
        <v>100</v>
      </c>
      <c r="D9" s="895">
        <v>56</v>
      </c>
      <c r="E9" s="895">
        <v>156</v>
      </c>
      <c r="F9" s="895">
        <v>16</v>
      </c>
      <c r="G9" s="895">
        <v>9</v>
      </c>
      <c r="H9" s="895">
        <v>25</v>
      </c>
      <c r="I9" s="896"/>
    </row>
    <row r="10" spans="1:10" s="897" customFormat="1" ht="21.75" customHeight="1">
      <c r="A10" s="893" t="s">
        <v>1414</v>
      </c>
      <c r="B10" s="894" t="s">
        <v>238</v>
      </c>
      <c r="C10" s="898">
        <v>28808.499929999998</v>
      </c>
      <c r="D10" s="898">
        <v>17404.89647625</v>
      </c>
      <c r="E10" s="899">
        <v>46213.396406250002</v>
      </c>
      <c r="F10" s="898">
        <v>4722.9849599999998</v>
      </c>
      <c r="G10" s="898">
        <v>2879.1337439999998</v>
      </c>
      <c r="H10" s="898">
        <v>7602.1187039999995</v>
      </c>
      <c r="I10" s="896"/>
    </row>
    <row r="11" spans="1:10" s="897" customFormat="1" ht="21.75" customHeight="1">
      <c r="A11" s="893" t="s">
        <v>1415</v>
      </c>
      <c r="B11" s="894" t="s">
        <v>601</v>
      </c>
      <c r="C11" s="899">
        <v>24007.083275000001</v>
      </c>
      <c r="D11" s="899">
        <v>25900.143565848215</v>
      </c>
      <c r="E11" s="899">
        <v>24686.643379407051</v>
      </c>
      <c r="F11" s="899">
        <v>24598.880000000001</v>
      </c>
      <c r="G11" s="899">
        <v>26658.64577777778</v>
      </c>
      <c r="H11" s="899">
        <v>25340.400000000001</v>
      </c>
      <c r="I11" s="896"/>
    </row>
    <row r="12" spans="1:10" s="897" customFormat="1" ht="29.25" customHeight="1">
      <c r="A12" s="893" t="s">
        <v>1706</v>
      </c>
      <c r="B12" s="894" t="s">
        <v>238</v>
      </c>
      <c r="C12" s="898">
        <v>11717.121150000003</v>
      </c>
      <c r="D12" s="898">
        <v>5868.872910000001</v>
      </c>
      <c r="E12" s="898">
        <v>17585.994060000005</v>
      </c>
      <c r="F12" s="898">
        <v>1985.9308799999999</v>
      </c>
      <c r="G12" s="898">
        <v>978.29083199999991</v>
      </c>
      <c r="H12" s="898">
        <v>2964.2217119999996</v>
      </c>
      <c r="I12" s="896"/>
    </row>
    <row r="13" spans="1:10" s="897" customFormat="1" ht="33" customHeight="1">
      <c r="A13" s="893" t="s">
        <v>636</v>
      </c>
      <c r="B13" s="894" t="s">
        <v>601</v>
      </c>
      <c r="C13" s="899">
        <v>9764.2676250000022</v>
      </c>
      <c r="D13" s="899">
        <v>8733.4418303571456</v>
      </c>
      <c r="E13" s="899">
        <v>9394.2275961538508</v>
      </c>
      <c r="F13" s="899">
        <v>10343.39</v>
      </c>
      <c r="G13" s="899">
        <v>9058.2484444444435</v>
      </c>
      <c r="H13" s="899">
        <v>9880.7390399999967</v>
      </c>
      <c r="I13" s="896"/>
    </row>
    <row r="14" spans="1:10" s="897" customFormat="1" ht="21.75" customHeight="1">
      <c r="A14" s="893" t="s">
        <v>1416</v>
      </c>
      <c r="B14" s="894" t="s">
        <v>244</v>
      </c>
      <c r="C14" s="900">
        <v>40.672444516273721</v>
      </c>
      <c r="D14" s="900">
        <v>33.719665715957696</v>
      </c>
      <c r="E14" s="900">
        <v>38.053887893038819</v>
      </c>
      <c r="F14" s="900">
        <v>42.048215203293807</v>
      </c>
      <c r="G14" s="900">
        <v>33.978651878840957</v>
      </c>
      <c r="H14" s="900">
        <v>38.99204718337689</v>
      </c>
      <c r="I14" s="896"/>
    </row>
    <row r="15" spans="1:10" s="897" customFormat="1" ht="21.75" customHeight="1">
      <c r="A15" s="893" t="s">
        <v>1417</v>
      </c>
      <c r="B15" s="894" t="s">
        <v>238</v>
      </c>
      <c r="C15" s="898">
        <v>5568.1499199999989</v>
      </c>
      <c r="D15" s="898">
        <v>5305.3962899999997</v>
      </c>
      <c r="E15" s="898">
        <v>10873.546209999999</v>
      </c>
      <c r="F15" s="898">
        <v>944.59584000000007</v>
      </c>
      <c r="G15" s="898">
        <v>882.90081599999996</v>
      </c>
      <c r="H15" s="898">
        <v>1827.496656</v>
      </c>
      <c r="I15" s="896"/>
    </row>
    <row r="16" spans="1:10" s="897" customFormat="1" ht="21.75" customHeight="1">
      <c r="A16" s="893" t="s">
        <v>1418</v>
      </c>
      <c r="B16" s="894" t="s">
        <v>601</v>
      </c>
      <c r="C16" s="899">
        <v>4640.1249333333326</v>
      </c>
      <c r="D16" s="899">
        <v>7894.9349553571428</v>
      </c>
      <c r="E16" s="899">
        <v>5808.5182745726488</v>
      </c>
      <c r="F16" s="899">
        <v>4919.7700000000004</v>
      </c>
      <c r="G16" s="899">
        <v>8175.0075555555559</v>
      </c>
      <c r="H16" s="899">
        <v>6091.66</v>
      </c>
      <c r="I16" s="896"/>
    </row>
    <row r="17" spans="1:20" s="897" customFormat="1" ht="21.75" customHeight="1">
      <c r="A17" s="893" t="s">
        <v>1708</v>
      </c>
      <c r="B17" s="894" t="s">
        <v>244</v>
      </c>
      <c r="C17" s="900">
        <v>19.328149447314868</v>
      </c>
      <c r="D17" s="900">
        <v>30.482205379615579</v>
      </c>
      <c r="E17" s="900">
        <v>23.528991711436809</v>
      </c>
      <c r="F17" s="900">
        <v>19.999975608645599</v>
      </c>
      <c r="G17" s="900">
        <v>30.665502005244811</v>
      </c>
      <c r="H17" s="900">
        <v>24.039320610566524</v>
      </c>
      <c r="I17" s="896"/>
    </row>
    <row r="18" spans="1:20" s="897" customFormat="1" ht="21.75" customHeight="1">
      <c r="A18" s="901" t="s">
        <v>1419</v>
      </c>
      <c r="B18" s="902" t="s">
        <v>238</v>
      </c>
      <c r="C18" s="903">
        <v>46093.770999999993</v>
      </c>
      <c r="D18" s="903">
        <v>28579.165676250002</v>
      </c>
      <c r="E18" s="903">
        <v>74672.936676249999</v>
      </c>
      <c r="F18" s="903">
        <v>7653.5116799999996</v>
      </c>
      <c r="G18" s="903">
        <v>4740.3253919999997</v>
      </c>
      <c r="H18" s="903">
        <v>12393.837071999998</v>
      </c>
      <c r="I18" s="896"/>
      <c r="J18" s="1310">
        <v>18809.616000000002</v>
      </c>
      <c r="K18" s="1310">
        <v>3154.3385099682073</v>
      </c>
      <c r="L18" s="1310">
        <v>4019.5453719130314</v>
      </c>
    </row>
    <row r="19" spans="1:20" s="897" customFormat="1" ht="21.75" customHeight="1">
      <c r="A19" s="893" t="s">
        <v>1420</v>
      </c>
      <c r="B19" s="894" t="s">
        <v>601</v>
      </c>
      <c r="C19" s="899">
        <v>38411.475833333323</v>
      </c>
      <c r="D19" s="899">
        <v>42528.520351562511</v>
      </c>
      <c r="E19" s="899">
        <v>39889.389250133543</v>
      </c>
      <c r="F19" s="899">
        <v>39862.04</v>
      </c>
      <c r="G19" s="899">
        <v>43891.901777777777</v>
      </c>
      <c r="H19" s="899">
        <v>41312.790239999995</v>
      </c>
      <c r="I19" s="896"/>
      <c r="J19" s="1311">
        <v>7653.5116799999996</v>
      </c>
      <c r="K19" s="1311">
        <v>4740.3253919999997</v>
      </c>
      <c r="L19" s="1311">
        <v>12393.837071999998</v>
      </c>
      <c r="M19" s="1308"/>
    </row>
    <row r="20" spans="1:20" ht="12.75" customHeight="1">
      <c r="J20" s="879">
        <v>15345.288486969375</v>
      </c>
    </row>
    <row r="21" spans="1:20" s="26" customFormat="1" ht="15.6" hidden="1">
      <c r="A21" s="970" t="s">
        <v>1430</v>
      </c>
      <c r="B21" s="970"/>
      <c r="C21" s="970"/>
      <c r="D21" s="758"/>
      <c r="E21" s="1253"/>
      <c r="F21" s="1253"/>
      <c r="G21" s="1253"/>
      <c r="H21" s="1253"/>
      <c r="I21" s="869"/>
      <c r="J21" s="1306">
        <v>0.16597495188563949</v>
      </c>
      <c r="K21" s="1306">
        <v>0.16604221164720936</v>
      </c>
      <c r="L21" s="1252" t="s">
        <v>1626</v>
      </c>
      <c r="M21" s="869"/>
      <c r="N21" s="869"/>
      <c r="S21" s="145"/>
      <c r="T21" s="635"/>
    </row>
    <row r="22" spans="1:20" s="26" customFormat="1" ht="15.6" hidden="1">
      <c r="A22" s="970"/>
      <c r="B22" s="198"/>
      <c r="C22" s="198"/>
      <c r="D22" s="1254" t="s">
        <v>1429</v>
      </c>
      <c r="E22" s="1255" t="s">
        <v>1302</v>
      </c>
      <c r="F22" s="970"/>
      <c r="G22" s="970"/>
      <c r="H22" s="758"/>
      <c r="J22" s="870"/>
      <c r="K22" s="869"/>
      <c r="L22" s="1251"/>
      <c r="M22" s="869"/>
      <c r="N22" s="869"/>
      <c r="P22" s="145"/>
      <c r="S22" s="146"/>
      <c r="T22" s="635"/>
    </row>
    <row r="23" spans="1:20" s="26" customFormat="1" ht="15.6" hidden="1">
      <c r="A23" s="99" t="s">
        <v>1673</v>
      </c>
      <c r="B23" s="198"/>
      <c r="C23" s="198"/>
      <c r="D23" s="1256">
        <v>25284.565391399996</v>
      </c>
      <c r="E23" s="1257">
        <v>20.549217680942228</v>
      </c>
      <c r="F23" s="1242"/>
      <c r="G23" s="198"/>
      <c r="H23" s="198"/>
      <c r="J23" s="276">
        <v>31984.329000000002</v>
      </c>
      <c r="L23" s="1252">
        <v>21.369630150413656</v>
      </c>
      <c r="M23" s="10"/>
      <c r="N23" s="10"/>
      <c r="S23" s="947">
        <v>16.778169807586245</v>
      </c>
      <c r="T23" s="635"/>
    </row>
    <row r="24" spans="1:20" s="26" customFormat="1" ht="15.6" hidden="1">
      <c r="A24" s="99" t="s">
        <v>1431</v>
      </c>
      <c r="B24" s="198"/>
      <c r="C24" s="198"/>
      <c r="D24" s="1256">
        <v>125414.62100000001</v>
      </c>
      <c r="E24" s="1257">
        <v>79.45078231905778</v>
      </c>
      <c r="F24" s="198"/>
      <c r="G24" s="198"/>
      <c r="H24" s="198"/>
      <c r="J24" s="276">
        <v>123663.1</v>
      </c>
      <c r="L24" s="10"/>
      <c r="M24" s="10"/>
      <c r="N24" s="10"/>
      <c r="S24" s="947">
        <v>83.221830192413762</v>
      </c>
      <c r="T24" s="635"/>
    </row>
    <row r="25" spans="1:20" s="26" customFormat="1" ht="15.6" hidden="1">
      <c r="A25" s="99" t="s">
        <v>419</v>
      </c>
      <c r="B25" s="198"/>
      <c r="C25" s="198"/>
      <c r="D25" s="1256">
        <v>150699.1863914</v>
      </c>
      <c r="E25" s="1258">
        <v>100</v>
      </c>
      <c r="F25" s="198"/>
      <c r="G25" s="198"/>
      <c r="H25" s="198"/>
      <c r="J25" s="276">
        <v>155647.429</v>
      </c>
      <c r="L25" s="10"/>
      <c r="M25" s="10"/>
      <c r="N25" s="10"/>
      <c r="S25" s="947">
        <v>100</v>
      </c>
      <c r="T25" s="635"/>
    </row>
    <row r="26" spans="1:20" ht="8.25" customHeight="1"/>
    <row r="27" spans="1:20">
      <c r="A27" s="98"/>
      <c r="J27" s="2220" t="s">
        <v>2339</v>
      </c>
      <c r="K27" s="2221"/>
      <c r="L27" s="2221"/>
    </row>
    <row r="28" spans="1:20">
      <c r="A28" s="98"/>
      <c r="J28" s="2222" t="s">
        <v>2340</v>
      </c>
      <c r="K28" s="2223" t="s">
        <v>2341</v>
      </c>
      <c r="L28" s="2224"/>
    </row>
    <row r="29" spans="1:20">
      <c r="J29" s="2222" t="s">
        <v>2342</v>
      </c>
      <c r="K29" s="2222" t="s">
        <v>2343</v>
      </c>
      <c r="L29" s="2224"/>
    </row>
  </sheetData>
  <mergeCells count="2">
    <mergeCell ref="A7:A8"/>
    <mergeCell ref="B7:B8"/>
  </mergeCells>
  <printOptions horizontalCentered="1"/>
  <pageMargins left="0.78740157480314965" right="0.78740157480314965" top="0.78740157480314965" bottom="0.11811023622047245" header="0.51181102362204722" footer="3.937007874015748E-2"/>
  <pageSetup paperSize="9" scale="93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2">
    <tabColor rgb="FFFFC000"/>
  </sheetPr>
  <dimension ref="A1:Y35"/>
  <sheetViews>
    <sheetView workbookViewId="0">
      <selection activeCell="B32" sqref="A1:XFD1048576"/>
    </sheetView>
  </sheetViews>
  <sheetFormatPr defaultColWidth="9.109375" defaultRowHeight="13.2"/>
  <cols>
    <col min="1" max="1" width="54.109375" style="879" customWidth="1"/>
    <col min="2" max="2" width="9.88671875" style="879" customWidth="1"/>
    <col min="3" max="8" width="11" style="879" customWidth="1"/>
    <col min="9" max="9" width="16.33203125" style="878" customWidth="1"/>
    <col min="10" max="14" width="9.109375" style="878"/>
    <col min="15" max="16384" width="9.109375" style="879"/>
  </cols>
  <sheetData>
    <row r="1" spans="1:25" ht="21" customHeight="1">
      <c r="A1" s="876" t="s">
        <v>2487</v>
      </c>
      <c r="B1" s="595"/>
      <c r="C1" s="877"/>
      <c r="D1" s="877"/>
      <c r="E1" s="877"/>
      <c r="F1" s="877"/>
      <c r="G1" s="877"/>
      <c r="H1" s="877"/>
    </row>
    <row r="2" spans="1:25" ht="21" customHeight="1">
      <c r="A2" s="880" t="s">
        <v>1425</v>
      </c>
      <c r="B2" s="876"/>
      <c r="C2" s="877"/>
      <c r="D2" s="877"/>
      <c r="E2" s="877"/>
      <c r="F2" s="877"/>
      <c r="G2" s="877"/>
      <c r="H2" s="877"/>
    </row>
    <row r="3" spans="1:25" ht="20.25" customHeight="1">
      <c r="A3" s="880" t="s">
        <v>2886</v>
      </c>
      <c r="B3" s="881"/>
      <c r="C3" s="881"/>
      <c r="D3" s="881"/>
      <c r="E3" s="881"/>
      <c r="F3" s="881"/>
      <c r="G3" s="881"/>
      <c r="H3" s="881"/>
    </row>
    <row r="4" spans="1:25" ht="11.25" customHeight="1">
      <c r="A4" s="880"/>
      <c r="B4" s="881"/>
      <c r="C4" s="881"/>
      <c r="D4" s="881"/>
      <c r="E4" s="881"/>
      <c r="F4" s="881"/>
      <c r="G4" s="881"/>
      <c r="H4" s="881"/>
    </row>
    <row r="5" spans="1:25" s="26" customFormat="1" ht="15.6">
      <c r="A5" s="183" t="s">
        <v>1430</v>
      </c>
      <c r="B5" s="183"/>
      <c r="C5" s="183"/>
      <c r="D5" s="870"/>
      <c r="E5" s="1316"/>
      <c r="F5" s="1316"/>
      <c r="G5" s="1316"/>
      <c r="H5" s="1316"/>
      <c r="I5" s="1316"/>
      <c r="J5" s="869"/>
      <c r="K5" s="869"/>
      <c r="L5" s="869"/>
      <c r="M5" s="869"/>
      <c r="N5" s="869"/>
      <c r="O5" s="870"/>
      <c r="P5" s="869"/>
      <c r="Q5" s="1252" t="s">
        <v>1626</v>
      </c>
      <c r="R5" s="869"/>
      <c r="S5" s="869"/>
      <c r="X5" s="145"/>
      <c r="Y5" s="635"/>
    </row>
    <row r="6" spans="1:25" s="26" customFormat="1" ht="15.6">
      <c r="A6" s="2219" t="s">
        <v>902</v>
      </c>
      <c r="B6" s="1330"/>
      <c r="C6" s="1331"/>
      <c r="D6" s="1332" t="s">
        <v>1698</v>
      </c>
      <c r="E6" s="1333" t="s">
        <v>1697</v>
      </c>
      <c r="F6" s="1334"/>
      <c r="G6" s="1335" t="s">
        <v>1694</v>
      </c>
      <c r="H6" s="1336"/>
      <c r="I6" s="1316"/>
      <c r="J6" s="869"/>
      <c r="K6" s="869"/>
      <c r="L6" s="869"/>
      <c r="M6" s="869"/>
      <c r="N6" s="869"/>
      <c r="O6" s="870"/>
      <c r="P6" s="869"/>
      <c r="Q6" s="1252"/>
      <c r="R6" s="869"/>
      <c r="S6" s="869"/>
      <c r="X6" s="145"/>
      <c r="Y6" s="635"/>
    </row>
    <row r="7" spans="1:25" s="26" customFormat="1" ht="15.6">
      <c r="A7" s="1348"/>
      <c r="B7" s="183"/>
      <c r="C7" s="1337"/>
      <c r="D7" s="1338" t="s">
        <v>1429</v>
      </c>
      <c r="E7" s="1339"/>
      <c r="F7" s="1340"/>
      <c r="G7" s="1341" t="s">
        <v>1695</v>
      </c>
      <c r="H7" s="1342" t="s">
        <v>1696</v>
      </c>
      <c r="I7" s="172"/>
      <c r="O7" s="870"/>
      <c r="P7" s="869"/>
      <c r="Q7" s="1251"/>
      <c r="R7" s="869"/>
      <c r="S7" s="869"/>
      <c r="U7" s="145"/>
      <c r="X7" s="146"/>
      <c r="Y7" s="635"/>
    </row>
    <row r="8" spans="1:25" s="26" customFormat="1" ht="15.6">
      <c r="A8" s="1353" t="s">
        <v>1673</v>
      </c>
      <c r="B8" s="183"/>
      <c r="C8" s="1337"/>
      <c r="D8" s="2944">
        <v>404.79700000000003</v>
      </c>
      <c r="E8" s="1344">
        <v>17.307915137568589</v>
      </c>
      <c r="F8" s="1345"/>
      <c r="G8" s="1346">
        <v>1</v>
      </c>
      <c r="H8" s="1347">
        <v>0.2</v>
      </c>
      <c r="I8" s="172"/>
      <c r="O8" s="276">
        <v>31984.329000000002</v>
      </c>
      <c r="P8" s="663">
        <v>20.549217680942228</v>
      </c>
      <c r="Q8" s="1252">
        <v>21.369630150413656</v>
      </c>
      <c r="R8" s="10"/>
      <c r="S8" s="10"/>
      <c r="X8" s="947">
        <v>17.307915137568589</v>
      </c>
      <c r="Y8" s="635"/>
    </row>
    <row r="9" spans="1:25" s="26" customFormat="1" ht="15.6">
      <c r="A9" s="1353" t="s">
        <v>1431</v>
      </c>
      <c r="B9" s="183"/>
      <c r="C9" s="1337"/>
      <c r="D9" s="2944">
        <v>1934</v>
      </c>
      <c r="E9" s="1344">
        <v>82.692084862431415</v>
      </c>
      <c r="F9" s="1337"/>
      <c r="G9" s="1346">
        <v>5</v>
      </c>
      <c r="H9" s="1347">
        <v>0.8</v>
      </c>
      <c r="I9" s="172"/>
      <c r="O9" s="276">
        <v>123663.1</v>
      </c>
      <c r="Q9" s="10"/>
      <c r="R9" s="10"/>
      <c r="S9" s="10"/>
      <c r="X9" s="947">
        <v>82.692084862431415</v>
      </c>
      <c r="Y9" s="635"/>
    </row>
    <row r="10" spans="1:25" s="26" customFormat="1" ht="15.6" hidden="1">
      <c r="A10" s="1348"/>
      <c r="B10" s="183"/>
      <c r="C10" s="1317"/>
      <c r="D10" s="392"/>
      <c r="E10" s="1348"/>
      <c r="F10" s="1337"/>
      <c r="G10" s="1329"/>
      <c r="H10" s="1329"/>
      <c r="I10" s="172"/>
      <c r="O10" s="276">
        <v>155647.429</v>
      </c>
      <c r="Q10" s="10"/>
      <c r="R10" s="10"/>
      <c r="S10" s="10"/>
      <c r="X10" s="947">
        <v>100</v>
      </c>
      <c r="Y10" s="635"/>
    </row>
    <row r="11" spans="1:25" ht="15.6">
      <c r="A11" s="1354" t="s">
        <v>419</v>
      </c>
      <c r="B11" s="409"/>
      <c r="C11" s="1349"/>
      <c r="D11" s="1350">
        <v>2338.797</v>
      </c>
      <c r="E11" s="1351">
        <v>100</v>
      </c>
      <c r="F11" s="1349"/>
      <c r="G11" s="1341">
        <v>6</v>
      </c>
      <c r="H11" s="1341">
        <v>1</v>
      </c>
      <c r="I11" s="1324"/>
    </row>
    <row r="12" spans="1:25" ht="15.6">
      <c r="A12" s="551" t="s">
        <v>1693</v>
      </c>
      <c r="B12" s="172"/>
      <c r="C12" s="172"/>
      <c r="D12" s="1318"/>
      <c r="E12" s="1319"/>
      <c r="F12" s="172"/>
      <c r="G12" s="1320"/>
      <c r="H12" s="1320"/>
      <c r="I12" s="1324"/>
    </row>
    <row r="13" spans="1:25" ht="16.2" hidden="1">
      <c r="A13" s="551" t="s">
        <v>1699</v>
      </c>
      <c r="B13" s="172"/>
      <c r="C13" s="172"/>
      <c r="D13" s="1318"/>
      <c r="E13" s="1319"/>
      <c r="F13" s="172"/>
      <c r="G13" s="1320"/>
      <c r="H13" s="1320"/>
      <c r="I13" s="1324"/>
    </row>
    <row r="14" spans="1:25" ht="15.6" hidden="1">
      <c r="A14" s="551" t="s">
        <v>1700</v>
      </c>
      <c r="B14" s="172"/>
      <c r="C14" s="172"/>
      <c r="D14" s="1318"/>
      <c r="E14" s="1319"/>
      <c r="F14" s="172"/>
      <c r="G14" s="1320"/>
      <c r="H14" s="1320"/>
      <c r="I14" s="1324"/>
    </row>
    <row r="15" spans="1:25" ht="7.5" customHeight="1">
      <c r="A15" s="1320"/>
      <c r="B15" s="1320"/>
      <c r="C15" s="1320"/>
      <c r="D15" s="1320"/>
      <c r="E15" s="1320"/>
      <c r="F15" s="1320"/>
      <c r="G15" s="1320"/>
      <c r="H15" s="1320"/>
      <c r="I15" s="1324"/>
    </row>
    <row r="16" spans="1:25" ht="38.25" hidden="1" customHeight="1">
      <c r="A16" s="1313" t="s">
        <v>1688</v>
      </c>
      <c r="B16" s="1352"/>
      <c r="C16" s="1314"/>
      <c r="D16" s="1314"/>
      <c r="E16" s="1314"/>
      <c r="F16" s="1314"/>
      <c r="G16" s="1312" t="s">
        <v>1311</v>
      </c>
      <c r="H16" s="1314"/>
      <c r="I16" s="1324"/>
    </row>
    <row r="17" spans="1:17" s="884" customFormat="1" ht="46.5" customHeight="1">
      <c r="A17" s="4170" t="s">
        <v>1309</v>
      </c>
      <c r="B17" s="4170" t="s">
        <v>1310</v>
      </c>
      <c r="C17" s="1315" t="s">
        <v>1684</v>
      </c>
      <c r="D17" s="1315"/>
      <c r="E17" s="1315"/>
      <c r="F17" s="1315" t="s">
        <v>2603</v>
      </c>
      <c r="G17" s="1315"/>
      <c r="H17" s="1315"/>
      <c r="I17" s="1325"/>
      <c r="K17" s="1260"/>
      <c r="L17" s="883"/>
      <c r="M17" s="883"/>
      <c r="N17" s="883"/>
    </row>
    <row r="18" spans="1:17" s="884" customFormat="1" ht="15.6">
      <c r="A18" s="4171"/>
      <c r="B18" s="4171"/>
      <c r="C18" s="1315" t="s">
        <v>1411</v>
      </c>
      <c r="D18" s="1315" t="s">
        <v>1690</v>
      </c>
      <c r="E18" s="1315" t="s">
        <v>679</v>
      </c>
      <c r="F18" s="1315" t="s">
        <v>1411</v>
      </c>
      <c r="G18" s="1315" t="s">
        <v>1690</v>
      </c>
      <c r="H18" s="1315" t="s">
        <v>679</v>
      </c>
      <c r="I18" s="1325"/>
      <c r="J18" s="883"/>
      <c r="K18" s="883"/>
      <c r="L18" s="883"/>
      <c r="M18" s="883"/>
      <c r="N18" s="883"/>
    </row>
    <row r="19" spans="1:17" s="897" customFormat="1" ht="21.75" customHeight="1">
      <c r="A19" s="893" t="s">
        <v>1412</v>
      </c>
      <c r="B19" s="894" t="s">
        <v>1413</v>
      </c>
      <c r="C19" s="895">
        <v>6</v>
      </c>
      <c r="D19" s="895">
        <v>1</v>
      </c>
      <c r="E19" s="895">
        <v>7</v>
      </c>
      <c r="F19" s="895">
        <v>0</v>
      </c>
      <c r="G19" s="1298">
        <v>0</v>
      </c>
      <c r="H19" s="1298">
        <v>0</v>
      </c>
      <c r="I19" s="1326"/>
      <c r="J19" s="896"/>
      <c r="K19" s="896"/>
      <c r="L19" s="896"/>
      <c r="M19" s="896"/>
      <c r="N19" s="896"/>
    </row>
    <row r="20" spans="1:17" s="897" customFormat="1" ht="21.75" customHeight="1">
      <c r="A20" s="893" t="s">
        <v>1414</v>
      </c>
      <c r="B20" s="894" t="s">
        <v>238</v>
      </c>
      <c r="C20" s="898">
        <v>1060.95993</v>
      </c>
      <c r="D20" s="898">
        <v>192.68447625000002</v>
      </c>
      <c r="E20" s="898">
        <v>1253.64440625</v>
      </c>
      <c r="F20" s="898">
        <v>0</v>
      </c>
      <c r="G20" s="898">
        <v>0</v>
      </c>
      <c r="H20" s="898">
        <v>0</v>
      </c>
      <c r="I20" s="1326"/>
      <c r="J20" s="896"/>
      <c r="K20" s="896"/>
      <c r="L20" s="896"/>
      <c r="M20" s="896"/>
      <c r="N20" s="896"/>
    </row>
    <row r="21" spans="1:17" s="897" customFormat="1" ht="21.75" customHeight="1">
      <c r="A21" s="893" t="s">
        <v>1415</v>
      </c>
      <c r="B21" s="894" t="s">
        <v>601</v>
      </c>
      <c r="C21" s="899">
        <v>14735.55</v>
      </c>
      <c r="D21" s="899">
        <v>16057.04</v>
      </c>
      <c r="E21" s="899">
        <v>14924.34</v>
      </c>
      <c r="F21" s="899">
        <v>14735.55</v>
      </c>
      <c r="G21" s="899">
        <v>16057.04</v>
      </c>
      <c r="H21" s="899">
        <v>14924.34</v>
      </c>
      <c r="I21" s="1326"/>
      <c r="J21" s="896"/>
      <c r="K21" s="896"/>
      <c r="L21" s="896"/>
      <c r="M21" s="896"/>
      <c r="N21" s="896"/>
    </row>
    <row r="22" spans="1:17" s="897" customFormat="1" ht="29.25" customHeight="1">
      <c r="A22" s="893" t="s">
        <v>1706</v>
      </c>
      <c r="B22" s="894" t="s">
        <v>238</v>
      </c>
      <c r="C22" s="898">
        <v>49.776749999999993</v>
      </c>
      <c r="D22" s="898">
        <v>20.395710000000001</v>
      </c>
      <c r="E22" s="898">
        <v>70.172460000000001</v>
      </c>
      <c r="F22" s="898">
        <v>0</v>
      </c>
      <c r="G22" s="898">
        <v>0</v>
      </c>
      <c r="H22" s="898">
        <v>0</v>
      </c>
      <c r="I22" s="1326"/>
      <c r="J22" s="896"/>
      <c r="K22" s="896"/>
      <c r="L22" s="896"/>
      <c r="M22" s="896"/>
      <c r="N22" s="896"/>
    </row>
    <row r="23" spans="1:17" s="897" customFormat="1" ht="33" customHeight="1">
      <c r="A23" s="893" t="s">
        <v>636</v>
      </c>
      <c r="B23" s="894" t="s">
        <v>601</v>
      </c>
      <c r="C23" s="899">
        <v>691.34</v>
      </c>
      <c r="D23" s="899">
        <v>1699.64</v>
      </c>
      <c r="E23" s="899">
        <v>835.39</v>
      </c>
      <c r="F23" s="899">
        <v>691.34</v>
      </c>
      <c r="G23" s="899">
        <v>1699.64</v>
      </c>
      <c r="H23" s="899">
        <v>835.39</v>
      </c>
      <c r="I23" s="1326"/>
      <c r="J23" s="896"/>
      <c r="K23" s="896"/>
      <c r="L23" s="896"/>
      <c r="M23" s="896"/>
      <c r="N23" s="896"/>
    </row>
    <row r="24" spans="1:17" s="897" customFormat="1" ht="21.75" customHeight="1">
      <c r="A24" s="893" t="s">
        <v>1416</v>
      </c>
      <c r="B24" s="894" t="s">
        <v>244</v>
      </c>
      <c r="C24" s="900">
        <v>4.6900000000000004</v>
      </c>
      <c r="D24" s="900">
        <v>10.59</v>
      </c>
      <c r="E24" s="900">
        <v>5.6</v>
      </c>
      <c r="F24" s="900" t="e">
        <v>#DIV/0!</v>
      </c>
      <c r="G24" s="900" t="e">
        <v>#DIV/0!</v>
      </c>
      <c r="H24" s="900" t="e">
        <v>#DIV/0!</v>
      </c>
      <c r="I24" s="1326"/>
      <c r="J24" s="896"/>
      <c r="K24" s="896"/>
      <c r="L24" s="896"/>
      <c r="M24" s="896"/>
      <c r="N24" s="896"/>
    </row>
    <row r="25" spans="1:17" s="897" customFormat="1" ht="21.75" customHeight="1">
      <c r="A25" s="893" t="s">
        <v>1417</v>
      </c>
      <c r="B25" s="894" t="s">
        <v>238</v>
      </c>
      <c r="C25" s="898">
        <v>18.651520000000001</v>
      </c>
      <c r="D25" s="898">
        <v>27.184889999999999</v>
      </c>
      <c r="E25" s="898">
        <v>45.836410000000001</v>
      </c>
      <c r="F25" s="898">
        <v>0</v>
      </c>
      <c r="G25" s="898">
        <v>0</v>
      </c>
      <c r="H25" s="898">
        <v>0</v>
      </c>
      <c r="I25" s="1326"/>
      <c r="J25" s="896"/>
      <c r="K25" s="896"/>
      <c r="L25" s="896"/>
      <c r="M25" s="896"/>
      <c r="N25" s="896"/>
    </row>
    <row r="26" spans="1:17" s="897" customFormat="1" ht="21.75" customHeight="1">
      <c r="A26" s="893" t="s">
        <v>1418</v>
      </c>
      <c r="B26" s="894" t="s">
        <v>601</v>
      </c>
      <c r="C26" s="899">
        <v>259.05</v>
      </c>
      <c r="D26" s="899">
        <v>2265.41</v>
      </c>
      <c r="E26" s="899">
        <v>545.66999999999996</v>
      </c>
      <c r="F26" s="899">
        <v>259.05</v>
      </c>
      <c r="G26" s="899">
        <v>2265.41</v>
      </c>
      <c r="H26" s="899">
        <v>545.66999999999996</v>
      </c>
      <c r="I26" s="1326"/>
      <c r="J26" s="896"/>
      <c r="K26" s="896"/>
      <c r="L26" s="896"/>
      <c r="M26" s="896"/>
      <c r="N26" s="896"/>
    </row>
    <row r="27" spans="1:17" s="897" customFormat="1" ht="21.75" customHeight="1">
      <c r="A27" s="893" t="s">
        <v>1708</v>
      </c>
      <c r="B27" s="894" t="s">
        <v>244</v>
      </c>
      <c r="C27" s="900">
        <v>1.76</v>
      </c>
      <c r="D27" s="900">
        <v>14.11</v>
      </c>
      <c r="E27" s="900">
        <v>3.66</v>
      </c>
      <c r="F27" s="900">
        <v>1.76</v>
      </c>
      <c r="G27" s="900">
        <v>14.11</v>
      </c>
      <c r="H27" s="900">
        <v>3.66</v>
      </c>
      <c r="I27" s="1326"/>
      <c r="K27" s="896" t="s">
        <v>1692</v>
      </c>
      <c r="L27" s="896"/>
      <c r="M27" s="896"/>
      <c r="N27" s="896"/>
    </row>
    <row r="28" spans="1:17" s="897" customFormat="1" ht="21.75" customHeight="1">
      <c r="A28" s="901" t="s">
        <v>1419</v>
      </c>
      <c r="B28" s="902" t="s">
        <v>238</v>
      </c>
      <c r="C28" s="903">
        <v>1129.3881999999999</v>
      </c>
      <c r="D28" s="903">
        <v>240.26507625000002</v>
      </c>
      <c r="E28" s="903">
        <v>1369.6532762499999</v>
      </c>
      <c r="F28" s="903">
        <v>0</v>
      </c>
      <c r="G28" s="903">
        <v>0</v>
      </c>
      <c r="H28" s="903">
        <v>0</v>
      </c>
      <c r="I28" s="1326"/>
      <c r="K28" s="896">
        <v>93.838566024503024</v>
      </c>
      <c r="L28" s="896">
        <v>37.777162526152537</v>
      </c>
      <c r="M28" s="896">
        <v>131.61572855065558</v>
      </c>
      <c r="N28" s="896"/>
      <c r="O28" s="897">
        <v>18809.616000000002</v>
      </c>
      <c r="P28" s="897">
        <v>0</v>
      </c>
      <c r="Q28" s="1263">
        <v>4019.5453719130314</v>
      </c>
    </row>
    <row r="29" spans="1:17" s="897" customFormat="1" ht="21.75" customHeight="1">
      <c r="A29" s="893" t="s">
        <v>1420</v>
      </c>
      <c r="B29" s="894" t="s">
        <v>601</v>
      </c>
      <c r="C29" s="899">
        <v>15685.947222222223</v>
      </c>
      <c r="D29" s="899">
        <v>20022.0896875</v>
      </c>
      <c r="E29" s="899">
        <v>16305.396145833332</v>
      </c>
      <c r="F29" s="899" t="e">
        <v>#DIV/0!</v>
      </c>
      <c r="G29" s="899" t="e">
        <v>#DIV/0!</v>
      </c>
      <c r="H29" s="899">
        <v>16305.4</v>
      </c>
      <c r="I29" s="1326"/>
      <c r="J29" s="896"/>
      <c r="K29" s="896"/>
      <c r="L29" s="896"/>
      <c r="M29" s="896"/>
      <c r="N29" s="896"/>
    </row>
    <row r="30" spans="1:17" ht="12" customHeight="1">
      <c r="A30" s="1320"/>
      <c r="B30" s="1320"/>
      <c r="C30" s="1320"/>
      <c r="D30" s="1320"/>
      <c r="E30" s="1320"/>
      <c r="F30" s="1320"/>
      <c r="G30" s="1320"/>
      <c r="H30" s="1320"/>
      <c r="I30" s="1324"/>
      <c r="O30" s="1307">
        <v>15685.939999999999</v>
      </c>
      <c r="P30" s="1307">
        <v>20022.09</v>
      </c>
      <c r="Q30" s="1307">
        <v>16305.4</v>
      </c>
    </row>
    <row r="31" spans="1:17">
      <c r="A31" s="98"/>
      <c r="B31" s="1320"/>
      <c r="C31" s="1320"/>
      <c r="D31" s="1320"/>
      <c r="E31" s="1320"/>
      <c r="F31" s="1320"/>
      <c r="G31" s="1320"/>
      <c r="H31" s="1320"/>
      <c r="I31" s="1324"/>
    </row>
    <row r="32" spans="1:17">
      <c r="A32" s="98"/>
      <c r="B32" s="1320"/>
      <c r="C32" s="1320"/>
      <c r="D32" s="1320"/>
      <c r="E32" s="1320"/>
      <c r="F32" s="1320"/>
      <c r="G32" s="1320"/>
      <c r="H32" s="1320"/>
      <c r="I32" s="1324"/>
    </row>
    <row r="33" spans="1:14">
      <c r="A33" s="1320"/>
      <c r="B33" s="1320"/>
      <c r="C33" s="1320"/>
      <c r="D33" s="1320"/>
      <c r="E33" s="1320"/>
      <c r="F33" s="1320"/>
      <c r="G33" s="1320"/>
      <c r="H33" s="1320"/>
      <c r="I33" s="1324"/>
    </row>
    <row r="34" spans="1:14">
      <c r="A34" s="879" t="s">
        <v>1266</v>
      </c>
      <c r="J34" s="879"/>
      <c r="K34" s="879"/>
      <c r="L34" s="879"/>
      <c r="M34" s="879"/>
      <c r="N34" s="879"/>
    </row>
    <row r="35" spans="1:14">
      <c r="A35" s="879" t="s">
        <v>1304</v>
      </c>
      <c r="E35" s="879" t="s">
        <v>2876</v>
      </c>
      <c r="J35" s="879"/>
      <c r="K35" s="879"/>
      <c r="L35" s="879"/>
      <c r="M35" s="879"/>
      <c r="N35" s="879"/>
    </row>
  </sheetData>
  <mergeCells count="2">
    <mergeCell ref="A17:A18"/>
    <mergeCell ref="B17:B18"/>
  </mergeCells>
  <printOptions horizontalCentered="1"/>
  <pageMargins left="0.78740157480314965" right="0.78740157480314965" top="0.78740157480314965" bottom="0.11811023622047245" header="0.51181102362204722" footer="3.937007874015748E-2"/>
  <pageSetup paperSize="9" scale="83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>
    <tabColor rgb="FFCCFF33"/>
  </sheetPr>
  <dimension ref="A1:AB101"/>
  <sheetViews>
    <sheetView zoomScale="85" zoomScaleNormal="85" workbookViewId="0">
      <pane ySplit="23" topLeftCell="A82" activePane="bottomLeft" state="frozenSplit"/>
      <selection activeCell="F7" sqref="F7"/>
      <selection pane="bottomLeft" activeCell="F7" sqref="F7"/>
    </sheetView>
  </sheetViews>
  <sheetFormatPr defaultColWidth="9.109375" defaultRowHeight="13.8"/>
  <cols>
    <col min="1" max="1" width="13.88671875" style="1669" customWidth="1"/>
    <col min="2" max="2" width="74.109375" style="1669" customWidth="1"/>
    <col min="3" max="3" width="12.6640625" style="1669" customWidth="1"/>
    <col min="4" max="9" width="17.6640625" style="1669" hidden="1" customWidth="1"/>
    <col min="10" max="11" width="17.6640625" style="1669" customWidth="1"/>
    <col min="12" max="14" width="17.6640625" style="1669" hidden="1" customWidth="1"/>
    <col min="15" max="15" width="20.88671875" style="1669" hidden="1" customWidth="1"/>
    <col min="16" max="16" width="11.6640625" style="1669" hidden="1" customWidth="1"/>
    <col min="17" max="17" width="11.5546875" style="1669" hidden="1" customWidth="1"/>
    <col min="18" max="18" width="10.109375" style="1669" hidden="1" customWidth="1"/>
    <col min="19" max="19" width="11.88671875" style="1669" hidden="1" customWidth="1"/>
    <col min="20" max="20" width="12.109375" style="1669" hidden="1" customWidth="1"/>
    <col min="21" max="30" width="0" style="1669" hidden="1" customWidth="1"/>
    <col min="31" max="16384" width="9.109375" style="1669"/>
  </cols>
  <sheetData>
    <row r="1" spans="1:21" ht="34.799999999999997">
      <c r="A1" s="1875" t="s">
        <v>3014</v>
      </c>
      <c r="B1" s="1876"/>
      <c r="C1" s="1876"/>
      <c r="D1" s="1876"/>
      <c r="E1" s="1876"/>
      <c r="F1" s="1876"/>
      <c r="G1" s="1876"/>
      <c r="H1" s="1876"/>
      <c r="I1" s="1876"/>
      <c r="J1" s="1876"/>
      <c r="K1" s="1876"/>
      <c r="L1" s="1876"/>
      <c r="M1" s="1876"/>
      <c r="N1" s="1876"/>
      <c r="P1" s="3675" t="s">
        <v>2150</v>
      </c>
      <c r="Q1" s="2889"/>
      <c r="R1" s="2889"/>
      <c r="S1" s="2889"/>
      <c r="T1" s="2889"/>
      <c r="U1" s="2889"/>
    </row>
    <row r="2" spans="1:21">
      <c r="P2" s="3675" t="s">
        <v>2488</v>
      </c>
      <c r="Q2" s="2889"/>
      <c r="R2" s="2889"/>
      <c r="S2" s="2889"/>
      <c r="T2" s="2889"/>
      <c r="U2" s="2889"/>
    </row>
    <row r="3" spans="1:21" ht="15.6">
      <c r="A3" s="3964" t="s">
        <v>1875</v>
      </c>
      <c r="B3" s="3965"/>
      <c r="C3" s="3965"/>
      <c r="D3" s="1886"/>
      <c r="E3" s="1886"/>
      <c r="F3" s="1886"/>
      <c r="G3" s="1886"/>
      <c r="H3" s="1886"/>
      <c r="I3" s="1886"/>
      <c r="J3" s="1886"/>
      <c r="K3" s="1886"/>
      <c r="L3" s="1886"/>
      <c r="M3" s="1886"/>
      <c r="N3" s="1886"/>
    </row>
    <row r="4" spans="1:21">
      <c r="A4" s="1887"/>
      <c r="B4" s="1887"/>
      <c r="C4" s="1887"/>
      <c r="D4" s="3676" t="s">
        <v>1164</v>
      </c>
      <c r="E4" s="2862"/>
      <c r="F4" s="2862"/>
      <c r="G4" s="3677" t="s">
        <v>1164</v>
      </c>
      <c r="H4" s="3677" t="s">
        <v>1164</v>
      </c>
      <c r="I4" s="3677" t="s">
        <v>1164</v>
      </c>
      <c r="J4" s="3677"/>
      <c r="K4" s="3678"/>
      <c r="L4" s="3678"/>
      <c r="M4" s="3678"/>
      <c r="N4" s="3678"/>
      <c r="P4" s="1669">
        <v>2019</v>
      </c>
    </row>
    <row r="5" spans="1:21" ht="27.6">
      <c r="A5" s="3679" t="s">
        <v>1514</v>
      </c>
      <c r="B5" s="1888" t="s">
        <v>902</v>
      </c>
      <c r="C5" s="1888" t="s">
        <v>389</v>
      </c>
      <c r="D5" s="1713" t="s">
        <v>2595</v>
      </c>
      <c r="E5" s="1676" t="s">
        <v>2594</v>
      </c>
      <c r="F5" s="1713" t="s">
        <v>2499</v>
      </c>
      <c r="G5" s="1713" t="s">
        <v>2607</v>
      </c>
      <c r="H5" s="1713" t="s">
        <v>2738</v>
      </c>
      <c r="I5" s="1713" t="s">
        <v>2851</v>
      </c>
      <c r="J5" s="1713" t="s">
        <v>2934</v>
      </c>
      <c r="K5" s="1713" t="s">
        <v>2739</v>
      </c>
      <c r="L5" s="1713" t="s">
        <v>2739</v>
      </c>
      <c r="M5" s="1713" t="s">
        <v>2740</v>
      </c>
      <c r="N5" s="1713" t="s">
        <v>2741</v>
      </c>
      <c r="P5" s="1669">
        <v>6343.7706721687046</v>
      </c>
    </row>
    <row r="6" spans="1:21" s="2692" customFormat="1">
      <c r="A6" s="3680">
        <v>1</v>
      </c>
      <c r="B6" s="3681">
        <v>2</v>
      </c>
      <c r="C6" s="3682">
        <v>3</v>
      </c>
      <c r="D6" s="3682"/>
      <c r="E6" s="3682"/>
      <c r="F6" s="3682"/>
      <c r="G6" s="3682"/>
      <c r="H6" s="3682"/>
      <c r="I6" s="3682"/>
      <c r="J6" s="3682">
        <v>4</v>
      </c>
      <c r="K6" s="3682">
        <v>5</v>
      </c>
      <c r="L6" s="3682">
        <v>6</v>
      </c>
      <c r="M6" s="3682">
        <v>7</v>
      </c>
      <c r="N6" s="3682">
        <v>8</v>
      </c>
      <c r="P6" s="3683">
        <v>9744.8184141090387</v>
      </c>
    </row>
    <row r="7" spans="1:21" ht="24" customHeight="1">
      <c r="A7" s="3692" t="s">
        <v>995</v>
      </c>
      <c r="B7" s="3693" t="s">
        <v>1881</v>
      </c>
      <c r="C7" s="3694" t="s">
        <v>244</v>
      </c>
      <c r="D7" s="3695">
        <v>5.5E-2</v>
      </c>
      <c r="E7" s="3696"/>
      <c r="F7" s="3697">
        <v>0.09</v>
      </c>
      <c r="G7" s="3697">
        <v>0.04</v>
      </c>
      <c r="H7" s="3697">
        <v>4.5999999999999999E-2</v>
      </c>
      <c r="I7" s="3697">
        <v>0.03</v>
      </c>
      <c r="J7" s="3697">
        <v>3.5999999999999997E-2</v>
      </c>
      <c r="K7" s="3697">
        <v>3.9E-2</v>
      </c>
      <c r="L7" s="1688">
        <v>0.04</v>
      </c>
      <c r="M7" s="1688">
        <v>0.04</v>
      </c>
      <c r="N7" s="1688">
        <v>0.04</v>
      </c>
      <c r="P7" s="2689">
        <v>4237.7267431137079</v>
      </c>
    </row>
    <row r="8" spans="1:21">
      <c r="A8" s="3692" t="s">
        <v>996</v>
      </c>
      <c r="B8" s="3693" t="s">
        <v>3015</v>
      </c>
      <c r="C8" s="3694" t="s">
        <v>244</v>
      </c>
      <c r="D8" s="3697">
        <v>0.01</v>
      </c>
      <c r="E8" s="3696"/>
      <c r="F8" s="3697">
        <v>0.01</v>
      </c>
      <c r="G8" s="3697">
        <v>0.01</v>
      </c>
      <c r="H8" s="3697">
        <v>0.01</v>
      </c>
      <c r="I8" s="3697">
        <v>7.0000000000000007E-2</v>
      </c>
      <c r="J8" s="3697">
        <v>7.0000000000000007E-2</v>
      </c>
      <c r="K8" s="3698">
        <v>7.0000000000000007E-2</v>
      </c>
      <c r="L8" s="3371">
        <v>7.0000000000000007E-2</v>
      </c>
      <c r="M8" s="1892">
        <v>7.0000000000000007E-2</v>
      </c>
      <c r="N8" s="1892">
        <v>7.0000000000000007E-2</v>
      </c>
      <c r="P8" s="2899">
        <v>20326.315829391453</v>
      </c>
    </row>
    <row r="9" spans="1:21">
      <c r="A9" s="3692" t="s">
        <v>1883</v>
      </c>
      <c r="B9" s="3693" t="s">
        <v>1884</v>
      </c>
      <c r="C9" s="3694" t="s">
        <v>1317</v>
      </c>
      <c r="D9" s="3699">
        <v>665</v>
      </c>
      <c r="E9" s="3699">
        <v>656.16269999999997</v>
      </c>
      <c r="F9" s="3699">
        <v>830</v>
      </c>
      <c r="G9" s="3700">
        <v>829.97</v>
      </c>
      <c r="H9" s="3699">
        <v>665</v>
      </c>
      <c r="I9" s="3699">
        <v>665</v>
      </c>
      <c r="J9" s="3700">
        <v>656.13</v>
      </c>
      <c r="K9" s="3701">
        <v>656.16269999999997</v>
      </c>
      <c r="L9" s="3372">
        <v>656.16269999999997</v>
      </c>
      <c r="M9" s="2900">
        <v>656.16269999999997</v>
      </c>
      <c r="N9" s="2900">
        <v>656.16269999999997</v>
      </c>
      <c r="P9" s="3037">
        <v>184.30392000000001</v>
      </c>
    </row>
    <row r="10" spans="1:21">
      <c r="A10" s="3692" t="s">
        <v>1885</v>
      </c>
      <c r="B10" s="3693" t="s">
        <v>1886</v>
      </c>
      <c r="C10" s="3694" t="s">
        <v>244</v>
      </c>
      <c r="D10" s="3702">
        <v>0</v>
      </c>
      <c r="E10" s="3702">
        <v>-1.3289172932330869E-2</v>
      </c>
      <c r="F10" s="3702">
        <v>0.24812030075187969</v>
      </c>
      <c r="G10" s="3702">
        <v>0</v>
      </c>
      <c r="H10" s="3702">
        <v>0</v>
      </c>
      <c r="I10" s="3702">
        <v>-0.1987662204658</v>
      </c>
      <c r="J10" s="3702">
        <v>-1.3338345864661661E-2</v>
      </c>
      <c r="K10" s="3703">
        <v>4.9837684605150019E-5</v>
      </c>
      <c r="L10" s="3351">
        <v>0</v>
      </c>
      <c r="M10" s="2861">
        <v>0</v>
      </c>
      <c r="N10" s="2861">
        <v>0</v>
      </c>
      <c r="P10" s="3303">
        <v>20510.619749391451</v>
      </c>
      <c r="Q10" s="3302">
        <v>-5946.438721494007</v>
      </c>
      <c r="R10" s="3303">
        <v>14564.181027897444</v>
      </c>
    </row>
    <row r="11" spans="1:21">
      <c r="A11" s="3692" t="s">
        <v>1887</v>
      </c>
      <c r="B11" s="3704" t="s">
        <v>1888</v>
      </c>
      <c r="C11" s="3705"/>
      <c r="D11" s="3706">
        <v>0.75</v>
      </c>
      <c r="E11" s="3700">
        <v>0.75</v>
      </c>
      <c r="F11" s="3700">
        <v>0.75</v>
      </c>
      <c r="G11" s="3706">
        <v>0.75</v>
      </c>
      <c r="H11" s="3706">
        <v>0.75</v>
      </c>
      <c r="I11" s="3706">
        <v>0.75</v>
      </c>
      <c r="J11" s="3706">
        <v>0.75</v>
      </c>
      <c r="K11" s="3707">
        <v>0.75</v>
      </c>
      <c r="L11" s="3352">
        <v>0.75</v>
      </c>
      <c r="M11" s="1894">
        <v>0.75</v>
      </c>
      <c r="N11" s="1894">
        <v>0.75</v>
      </c>
      <c r="P11" s="3037">
        <v>12042.400000000001</v>
      </c>
      <c r="Q11" s="3037">
        <v>10993.381278505994</v>
      </c>
    </row>
    <row r="12" spans="1:21">
      <c r="A12" s="3708" t="s">
        <v>1889</v>
      </c>
      <c r="B12" s="3704" t="s">
        <v>1890</v>
      </c>
      <c r="C12" s="3705"/>
      <c r="D12" s="3709">
        <v>1.044</v>
      </c>
      <c r="E12" s="3710">
        <v>0.99003312030075186</v>
      </c>
      <c r="F12" s="3710">
        <v>1.2789099624060154</v>
      </c>
      <c r="G12" s="3711">
        <v>1.0296000000000001</v>
      </c>
      <c r="H12" s="3711">
        <v>1.0355400000000001</v>
      </c>
      <c r="I12" s="3711">
        <v>0.81510137806185767</v>
      </c>
      <c r="J12" s="3711">
        <v>0.95404157789473676</v>
      </c>
      <c r="K12" s="3712">
        <v>0.96630611749462747</v>
      </c>
      <c r="L12" s="3353">
        <v>0.96719999999999995</v>
      </c>
      <c r="M12" s="1831">
        <v>0.96719999999999995</v>
      </c>
      <c r="N12" s="1831">
        <v>0.96719999999999995</v>
      </c>
      <c r="P12" s="3037">
        <v>7172.7700000000013</v>
      </c>
      <c r="Q12" s="3037">
        <v>3675.0412785059943</v>
      </c>
      <c r="R12" s="3302">
        <v>3497.728721494007</v>
      </c>
      <c r="S12" s="1669" t="s">
        <v>2930</v>
      </c>
    </row>
    <row r="13" spans="1:21" hidden="1">
      <c r="A13" s="1896" t="s">
        <v>1891</v>
      </c>
      <c r="B13" s="1897" t="s">
        <v>2071</v>
      </c>
      <c r="C13" s="1898" t="s">
        <v>1860</v>
      </c>
      <c r="D13" s="1899"/>
      <c r="E13" s="1900"/>
      <c r="F13" s="1900"/>
      <c r="G13" s="1899"/>
      <c r="H13" s="1899"/>
      <c r="I13" s="1899"/>
      <c r="J13" s="1899"/>
      <c r="K13" s="3359"/>
      <c r="L13" s="3354"/>
      <c r="M13" s="1899"/>
      <c r="N13" s="1899"/>
    </row>
    <row r="14" spans="1:21" ht="33.6" hidden="1">
      <c r="A14" s="1896" t="s">
        <v>1891</v>
      </c>
      <c r="B14" s="1897" t="s">
        <v>3016</v>
      </c>
      <c r="C14" s="1893" t="s">
        <v>244</v>
      </c>
      <c r="D14" s="1706">
        <v>2</v>
      </c>
      <c r="E14" s="1895"/>
      <c r="F14" s="1706">
        <v>2</v>
      </c>
      <c r="G14" s="1706">
        <v>2</v>
      </c>
      <c r="H14" s="1706">
        <v>2</v>
      </c>
      <c r="I14" s="1706">
        <v>2</v>
      </c>
      <c r="J14" s="1706">
        <v>2</v>
      </c>
      <c r="K14" s="3360">
        <v>2</v>
      </c>
      <c r="L14" s="3355">
        <v>2</v>
      </c>
      <c r="M14" s="1706">
        <v>2</v>
      </c>
      <c r="N14" s="1706">
        <v>2</v>
      </c>
    </row>
    <row r="15" spans="1:21" ht="33.6" hidden="1">
      <c r="A15" s="1896" t="s">
        <v>1893</v>
      </c>
      <c r="B15" s="1897" t="s">
        <v>3017</v>
      </c>
      <c r="C15" s="1893"/>
      <c r="D15" s="1878">
        <v>8.6999999999999994E-3</v>
      </c>
      <c r="E15" s="2624"/>
      <c r="F15" s="1878">
        <v>8.6999999999999994E-3</v>
      </c>
      <c r="G15" s="1878">
        <v>8.6694999999999984E-3</v>
      </c>
      <c r="H15" s="1878">
        <v>8.6694999999999984E-3</v>
      </c>
      <c r="I15" s="1878">
        <v>8.6694999999999984E-3</v>
      </c>
      <c r="J15" s="1878">
        <v>8.6694999999999984E-3</v>
      </c>
      <c r="K15" s="3362">
        <v>8.7394574999999988E-3</v>
      </c>
      <c r="L15" s="3357">
        <v>8.8083656374999993E-3</v>
      </c>
      <c r="M15" s="1878">
        <v>8.8762401529375E-3</v>
      </c>
      <c r="N15" s="1878">
        <v>8.9430965506434382E-3</v>
      </c>
    </row>
    <row r="16" spans="1:21" ht="27.6" hidden="1">
      <c r="A16" s="1896" t="s">
        <v>1895</v>
      </c>
      <c r="B16" s="1897" t="s">
        <v>3018</v>
      </c>
      <c r="C16" s="1893"/>
      <c r="D16" s="1877">
        <v>1</v>
      </c>
      <c r="E16" s="1895"/>
      <c r="F16" s="1877">
        <v>1</v>
      </c>
      <c r="G16" s="1877">
        <v>1</v>
      </c>
      <c r="H16" s="1877">
        <v>1</v>
      </c>
      <c r="I16" s="1877">
        <v>0</v>
      </c>
      <c r="J16" s="1877">
        <v>1</v>
      </c>
      <c r="K16" s="3361">
        <v>1</v>
      </c>
      <c r="L16" s="3356">
        <v>1</v>
      </c>
      <c r="M16" s="1877">
        <v>1</v>
      </c>
      <c r="N16" s="1877">
        <v>1</v>
      </c>
    </row>
    <row r="17" spans="1:28" hidden="1">
      <c r="A17" s="1896" t="s">
        <v>1897</v>
      </c>
      <c r="B17" s="1897" t="s">
        <v>1896</v>
      </c>
      <c r="C17" s="1893"/>
      <c r="D17" s="1878">
        <v>0.89749999999999996</v>
      </c>
      <c r="E17" s="1895"/>
      <c r="F17" s="1878">
        <v>0.89749999999999996</v>
      </c>
      <c r="G17" s="1878">
        <v>0.89749999999999996</v>
      </c>
      <c r="H17" s="1878">
        <v>0.89749999999999996</v>
      </c>
      <c r="I17" s="1878">
        <v>0</v>
      </c>
      <c r="J17" s="1878">
        <v>0.89749999999999996</v>
      </c>
      <c r="K17" s="3362">
        <v>0.89749999999999996</v>
      </c>
      <c r="L17" s="3357">
        <v>0.89749999999999996</v>
      </c>
      <c r="M17" s="1878">
        <v>0.89749999999999996</v>
      </c>
      <c r="N17" s="1878">
        <v>0.89749999999999996</v>
      </c>
    </row>
    <row r="18" spans="1:28" ht="19.8" hidden="1">
      <c r="A18" s="1896" t="s">
        <v>2072</v>
      </c>
      <c r="B18" s="1897" t="s">
        <v>3019</v>
      </c>
      <c r="C18" s="1893"/>
      <c r="D18" s="1706"/>
      <c r="E18" s="1895"/>
      <c r="F18" s="1895"/>
      <c r="G18" s="1706"/>
      <c r="H18" s="1706"/>
      <c r="I18" s="1706"/>
      <c r="J18" s="1706"/>
      <c r="K18" s="3360"/>
      <c r="L18" s="3355"/>
      <c r="M18" s="1706"/>
      <c r="N18" s="1706"/>
    </row>
    <row r="19" spans="1:28" hidden="1">
      <c r="E19" s="1709"/>
      <c r="K19" s="3363"/>
    </row>
    <row r="20" spans="1:28">
      <c r="A20" s="3966" t="s">
        <v>1899</v>
      </c>
      <c r="B20" s="3967"/>
      <c r="C20" s="3967"/>
      <c r="D20" s="1889"/>
      <c r="E20" s="1889"/>
      <c r="F20" s="1889"/>
      <c r="G20" s="1889"/>
      <c r="H20" s="1889"/>
      <c r="I20" s="1889"/>
      <c r="J20" s="1889"/>
      <c r="K20" s="3364"/>
      <c r="L20" s="1889"/>
      <c r="M20" s="1889"/>
      <c r="N20" s="1889"/>
    </row>
    <row r="21" spans="1:28">
      <c r="A21" s="1711"/>
      <c r="B21" s="1711"/>
      <c r="C21" s="1711"/>
      <c r="E21" s="1712"/>
      <c r="K21" s="3363"/>
    </row>
    <row r="22" spans="1:28" ht="27.6">
      <c r="A22" s="3684" t="s">
        <v>1514</v>
      </c>
      <c r="B22" s="1890" t="s">
        <v>902</v>
      </c>
      <c r="C22" s="1890" t="s">
        <v>389</v>
      </c>
      <c r="D22" s="1713" t="s">
        <v>2595</v>
      </c>
      <c r="E22" s="1676" t="s">
        <v>2594</v>
      </c>
      <c r="F22" s="1676" t="s">
        <v>2499</v>
      </c>
      <c r="G22" s="1713" t="s">
        <v>2607</v>
      </c>
      <c r="H22" s="1713" t="s">
        <v>2738</v>
      </c>
      <c r="I22" s="1713" t="s">
        <v>2851</v>
      </c>
      <c r="J22" s="1713" t="s">
        <v>2934</v>
      </c>
      <c r="K22" s="3365" t="s">
        <v>2739</v>
      </c>
      <c r="L22" s="3358" t="s">
        <v>2739</v>
      </c>
      <c r="M22" s="1713" t="s">
        <v>2740</v>
      </c>
      <c r="N22" s="1713" t="s">
        <v>2741</v>
      </c>
      <c r="P22" s="3037">
        <v>4869.63</v>
      </c>
      <c r="Q22" s="3301">
        <v>7318.34</v>
      </c>
      <c r="R22" s="3302">
        <v>-2448.71</v>
      </c>
      <c r="S22" s="1669" t="s">
        <v>2931</v>
      </c>
    </row>
    <row r="23" spans="1:28" s="2692" customFormat="1">
      <c r="A23" s="3681">
        <v>1</v>
      </c>
      <c r="B23" s="3681">
        <v>2</v>
      </c>
      <c r="C23" s="3682">
        <v>3</v>
      </c>
      <c r="D23" s="3682"/>
      <c r="E23" s="3682"/>
      <c r="F23" s="3682"/>
      <c r="G23" s="3682">
        <v>0</v>
      </c>
      <c r="H23" s="3682">
        <v>0</v>
      </c>
      <c r="I23" s="3682">
        <v>0</v>
      </c>
      <c r="J23" s="3682">
        <v>4</v>
      </c>
      <c r="K23" s="3685">
        <v>5</v>
      </c>
      <c r="L23" s="3686">
        <v>6</v>
      </c>
      <c r="M23" s="3682">
        <v>7</v>
      </c>
      <c r="N23" s="3682">
        <v>8</v>
      </c>
      <c r="S23" s="3687">
        <v>-5946.438721494007</v>
      </c>
    </row>
    <row r="24" spans="1:28">
      <c r="K24" s="3363"/>
    </row>
    <row r="25" spans="1:28">
      <c r="A25" s="1715" t="s">
        <v>698</v>
      </c>
      <c r="B25" s="1891" t="s">
        <v>1328</v>
      </c>
      <c r="C25" s="1880" t="s">
        <v>238</v>
      </c>
      <c r="D25" s="1718">
        <v>314.70999999999998</v>
      </c>
      <c r="E25" s="1719">
        <v>7884.0400000000009</v>
      </c>
      <c r="F25" s="1719">
        <v>2119.698318389831</v>
      </c>
      <c r="G25" s="2864">
        <v>340.31</v>
      </c>
      <c r="H25" s="1718">
        <v>307.8028544743168</v>
      </c>
      <c r="I25" s="2864">
        <v>383.59</v>
      </c>
      <c r="J25" s="2864">
        <v>365.96</v>
      </c>
      <c r="K25" s="3374">
        <v>353.62938675833385</v>
      </c>
      <c r="L25" s="3367">
        <v>342.03034287266047</v>
      </c>
      <c r="M25" s="1718">
        <v>330.81174762643724</v>
      </c>
      <c r="N25" s="1718">
        <v>319.96112230429009</v>
      </c>
      <c r="Q25" s="2875"/>
      <c r="R25" s="2875" t="s">
        <v>2511</v>
      </c>
      <c r="S25" s="2875" t="s">
        <v>2600</v>
      </c>
      <c r="T25" s="2896" t="s">
        <v>2622</v>
      </c>
      <c r="U25" s="2896" t="s">
        <v>2625</v>
      </c>
      <c r="V25" s="2896"/>
      <c r="W25" s="2875" t="s">
        <v>2626</v>
      </c>
      <c r="X25" s="2875"/>
      <c r="Y25" s="2875"/>
      <c r="Z25" s="2875"/>
      <c r="AA25" s="2875"/>
      <c r="AB25" s="2875"/>
    </row>
    <row r="26" spans="1:28" s="2143" customFormat="1">
      <c r="A26" s="3713" t="s">
        <v>260</v>
      </c>
      <c r="B26" s="3714" t="s">
        <v>1330</v>
      </c>
      <c r="C26" s="3715" t="s">
        <v>238</v>
      </c>
      <c r="D26" s="2717"/>
      <c r="E26" s="2717">
        <v>2226.5700000000002</v>
      </c>
      <c r="F26" s="2717">
        <v>1781.2983183898309</v>
      </c>
      <c r="G26" s="2911">
        <v>0</v>
      </c>
      <c r="H26" s="2717">
        <v>0</v>
      </c>
      <c r="I26" s="2911">
        <v>66.56</v>
      </c>
      <c r="J26" s="2911">
        <v>63.5</v>
      </c>
      <c r="K26" s="3375">
        <v>61.360438460908846</v>
      </c>
      <c r="L26" s="3366">
        <v>59.347816079391031</v>
      </c>
      <c r="M26" s="2717">
        <v>57.401207711986999</v>
      </c>
      <c r="N26" s="2717">
        <v>55.518448099033819</v>
      </c>
      <c r="Q26" s="2143" t="s">
        <v>2602</v>
      </c>
      <c r="R26" s="3716">
        <v>1506.1806440677965</v>
      </c>
      <c r="S26" s="3716">
        <v>2226.6</v>
      </c>
      <c r="T26" s="3716">
        <v>2173.46</v>
      </c>
      <c r="U26" s="2143">
        <v>0.14580965755621186</v>
      </c>
      <c r="W26" s="2143">
        <v>1924.6983151320051</v>
      </c>
      <c r="X26" s="2143" t="s">
        <v>2627</v>
      </c>
    </row>
    <row r="27" spans="1:28" s="2143" customFormat="1" ht="27.6">
      <c r="A27" s="3713" t="s">
        <v>1901</v>
      </c>
      <c r="B27" s="3714" t="s">
        <v>1332</v>
      </c>
      <c r="C27" s="3715" t="s">
        <v>238</v>
      </c>
      <c r="D27" s="2717">
        <v>314.70999999999998</v>
      </c>
      <c r="E27" s="2717">
        <v>5657.47</v>
      </c>
      <c r="F27" s="2717">
        <v>338.4</v>
      </c>
      <c r="G27" s="2911">
        <v>340.31</v>
      </c>
      <c r="H27" s="2717">
        <v>307.8028544743168</v>
      </c>
      <c r="I27" s="2911">
        <v>317.02999999999997</v>
      </c>
      <c r="J27" s="2911">
        <v>302.45999999999998</v>
      </c>
      <c r="K27" s="3375">
        <v>292.26894829742503</v>
      </c>
      <c r="L27" s="3366">
        <v>282.68252679326946</v>
      </c>
      <c r="M27" s="2717">
        <v>273.41053991445023</v>
      </c>
      <c r="N27" s="2717">
        <v>264.44267420525625</v>
      </c>
      <c r="O27" s="2143" t="s">
        <v>2601</v>
      </c>
      <c r="R27" s="3716">
        <v>1656.7987084745762</v>
      </c>
    </row>
    <row r="28" spans="1:28" s="2143" customFormat="1">
      <c r="A28" s="2867" t="s">
        <v>699</v>
      </c>
      <c r="B28" s="3717" t="s">
        <v>1333</v>
      </c>
      <c r="C28" s="3343" t="s">
        <v>238</v>
      </c>
      <c r="D28" s="2625">
        <v>2062.65</v>
      </c>
      <c r="E28" s="2625">
        <v>9038.5</v>
      </c>
      <c r="F28" s="2625">
        <v>9494.7000000000007</v>
      </c>
      <c r="G28" s="2863">
        <v>2230.44</v>
      </c>
      <c r="H28" s="2863">
        <v>2017.39</v>
      </c>
      <c r="I28" s="2863">
        <v>6441.79</v>
      </c>
      <c r="J28" s="2863">
        <v>6145.55</v>
      </c>
      <c r="K28" s="3377">
        <v>12877.195773456002</v>
      </c>
      <c r="L28" s="3373">
        <v>12454.823752086644</v>
      </c>
      <c r="M28" s="2625">
        <v>12046.305533018201</v>
      </c>
      <c r="N28" s="2625">
        <v>11651.186711535203</v>
      </c>
      <c r="O28" s="3718">
        <v>5938.4825603691079</v>
      </c>
      <c r="P28" s="2143" t="s">
        <v>2512</v>
      </c>
      <c r="R28" s="3716">
        <v>1600.974727456181</v>
      </c>
    </row>
    <row r="29" spans="1:28" s="2143" customFormat="1">
      <c r="A29" s="2867" t="s">
        <v>241</v>
      </c>
      <c r="B29" s="3717" t="s">
        <v>1334</v>
      </c>
      <c r="C29" s="3343" t="s">
        <v>238</v>
      </c>
      <c r="D29" s="2625">
        <v>57.3</v>
      </c>
      <c r="E29" s="2625">
        <v>643.05000000000007</v>
      </c>
      <c r="F29" s="2625">
        <v>61.6</v>
      </c>
      <c r="G29" s="2863">
        <v>61.96</v>
      </c>
      <c r="H29" s="2863">
        <v>56.041447101844398</v>
      </c>
      <c r="I29" s="2863">
        <v>56.04</v>
      </c>
      <c r="J29" s="2863">
        <v>53.47</v>
      </c>
      <c r="K29" s="2625">
        <v>51.668388102437731</v>
      </c>
      <c r="L29" s="2625">
        <v>49.973664972677774</v>
      </c>
      <c r="M29" s="2625">
        <v>48.334528761573942</v>
      </c>
      <c r="N29" s="2625">
        <v>46.749156218194315</v>
      </c>
      <c r="P29" s="2143">
        <v>9650.6189999999988</v>
      </c>
      <c r="Q29" s="3719"/>
    </row>
    <row r="30" spans="1:28" s="2143" customFormat="1">
      <c r="A30" s="3713" t="s">
        <v>1902</v>
      </c>
      <c r="B30" s="3714" t="s">
        <v>1336</v>
      </c>
      <c r="C30" s="3715" t="s">
        <v>238</v>
      </c>
      <c r="D30" s="2717"/>
      <c r="E30" s="2717">
        <v>529.62</v>
      </c>
      <c r="F30" s="2717">
        <v>0</v>
      </c>
      <c r="G30" s="2717"/>
      <c r="H30" s="2717"/>
      <c r="I30" s="2717"/>
      <c r="J30" s="2717"/>
      <c r="K30" s="2717">
        <v>0</v>
      </c>
      <c r="L30" s="2717">
        <v>0</v>
      </c>
      <c r="M30" s="2717">
        <v>0</v>
      </c>
      <c r="N30" s="2717">
        <v>0</v>
      </c>
    </row>
    <row r="31" spans="1:28" s="2143" customFormat="1">
      <c r="A31" s="3713" t="s">
        <v>1903</v>
      </c>
      <c r="B31" s="3714" t="s">
        <v>1339</v>
      </c>
      <c r="C31" s="3715" t="s">
        <v>238</v>
      </c>
      <c r="D31" s="2717"/>
      <c r="E31" s="2717">
        <v>83.57</v>
      </c>
      <c r="F31" s="2717">
        <v>0</v>
      </c>
      <c r="G31" s="2717"/>
      <c r="H31" s="2717"/>
      <c r="I31" s="2717"/>
      <c r="J31" s="2717"/>
      <c r="K31" s="2717">
        <v>0</v>
      </c>
      <c r="L31" s="2717">
        <v>0</v>
      </c>
      <c r="M31" s="2717">
        <v>0</v>
      </c>
      <c r="N31" s="2717">
        <v>0</v>
      </c>
    </row>
    <row r="32" spans="1:28" s="2143" customFormat="1" ht="14.4">
      <c r="A32" s="3720" t="s">
        <v>1904</v>
      </c>
      <c r="B32" s="3721" t="s">
        <v>1341</v>
      </c>
      <c r="C32" s="3715" t="s">
        <v>238</v>
      </c>
      <c r="D32" s="2717"/>
      <c r="E32" s="2717"/>
      <c r="F32" s="2717">
        <v>0</v>
      </c>
      <c r="G32" s="2717"/>
      <c r="H32" s="2717"/>
      <c r="I32" s="2717"/>
      <c r="J32" s="2717"/>
      <c r="K32" s="2717">
        <v>0</v>
      </c>
      <c r="L32" s="2717">
        <v>0</v>
      </c>
      <c r="M32" s="2717">
        <v>0</v>
      </c>
      <c r="N32" s="2717">
        <v>0</v>
      </c>
    </row>
    <row r="33" spans="1:16" s="2143" customFormat="1" ht="28.8">
      <c r="A33" s="3720" t="s">
        <v>1905</v>
      </c>
      <c r="B33" s="3721" t="s">
        <v>1343</v>
      </c>
      <c r="C33" s="3715" t="s">
        <v>238</v>
      </c>
      <c r="D33" s="2698"/>
      <c r="E33" s="2698"/>
      <c r="F33" s="2698">
        <v>0</v>
      </c>
      <c r="G33" s="2717"/>
      <c r="H33" s="2717"/>
      <c r="I33" s="2717"/>
      <c r="J33" s="2717"/>
      <c r="K33" s="2717">
        <v>0</v>
      </c>
      <c r="L33" s="2717">
        <v>0</v>
      </c>
      <c r="M33" s="2717">
        <v>0</v>
      </c>
      <c r="N33" s="2717">
        <v>0</v>
      </c>
    </row>
    <row r="34" spans="1:16" s="2143" customFormat="1" ht="14.4">
      <c r="A34" s="3720" t="s">
        <v>1906</v>
      </c>
      <c r="B34" s="3721" t="s">
        <v>1345</v>
      </c>
      <c r="C34" s="3715" t="s">
        <v>238</v>
      </c>
      <c r="D34" s="2717"/>
      <c r="E34" s="2717"/>
      <c r="F34" s="2717">
        <v>0</v>
      </c>
      <c r="G34" s="2717"/>
      <c r="H34" s="2717"/>
      <c r="I34" s="2717"/>
      <c r="J34" s="2717"/>
      <c r="K34" s="2717">
        <v>0</v>
      </c>
      <c r="L34" s="2717">
        <v>0</v>
      </c>
      <c r="M34" s="2717">
        <v>0</v>
      </c>
      <c r="N34" s="2717">
        <v>0</v>
      </c>
    </row>
    <row r="35" spans="1:16" s="2143" customFormat="1" ht="14.4">
      <c r="A35" s="3720" t="s">
        <v>1907</v>
      </c>
      <c r="B35" s="3721" t="s">
        <v>1347</v>
      </c>
      <c r="C35" s="3715" t="s">
        <v>238</v>
      </c>
      <c r="D35" s="2698"/>
      <c r="E35" s="2698"/>
      <c r="F35" s="2698">
        <v>0</v>
      </c>
      <c r="G35" s="2717"/>
      <c r="H35" s="2717"/>
      <c r="I35" s="2717"/>
      <c r="J35" s="2717"/>
      <c r="K35" s="2717">
        <v>0</v>
      </c>
      <c r="L35" s="2717">
        <v>0</v>
      </c>
      <c r="M35" s="2717">
        <v>0</v>
      </c>
      <c r="N35" s="2717">
        <v>0</v>
      </c>
    </row>
    <row r="36" spans="1:16" s="2143" customFormat="1" ht="14.4">
      <c r="A36" s="3720" t="s">
        <v>1908</v>
      </c>
      <c r="B36" s="3721" t="s">
        <v>1349</v>
      </c>
      <c r="C36" s="3715" t="s">
        <v>238</v>
      </c>
      <c r="D36" s="2717"/>
      <c r="E36" s="2717"/>
      <c r="F36" s="2717">
        <v>0</v>
      </c>
      <c r="G36" s="2717"/>
      <c r="H36" s="2717"/>
      <c r="I36" s="2717"/>
      <c r="J36" s="2717"/>
      <c r="K36" s="2717">
        <v>0</v>
      </c>
      <c r="L36" s="2717">
        <v>0</v>
      </c>
      <c r="M36" s="2717">
        <v>0</v>
      </c>
      <c r="N36" s="2717">
        <v>0</v>
      </c>
    </row>
    <row r="37" spans="1:16" s="2143" customFormat="1" ht="14.4">
      <c r="A37" s="3720" t="s">
        <v>1909</v>
      </c>
      <c r="B37" s="3722" t="s">
        <v>1351</v>
      </c>
      <c r="C37" s="3715" t="s">
        <v>238</v>
      </c>
      <c r="D37" s="2698"/>
      <c r="E37" s="2698">
        <v>83.57</v>
      </c>
      <c r="F37" s="2698">
        <v>0</v>
      </c>
      <c r="G37" s="2698"/>
      <c r="H37" s="2698"/>
      <c r="I37" s="2698"/>
      <c r="J37" s="2698"/>
      <c r="K37" s="2717">
        <v>0</v>
      </c>
      <c r="L37" s="2717">
        <v>0</v>
      </c>
      <c r="M37" s="2717">
        <v>0</v>
      </c>
      <c r="N37" s="2717">
        <v>0</v>
      </c>
    </row>
    <row r="38" spans="1:16" s="2143" customFormat="1">
      <c r="A38" s="3713" t="s">
        <v>1910</v>
      </c>
      <c r="B38" s="3714" t="s">
        <v>1354</v>
      </c>
      <c r="C38" s="3715" t="s">
        <v>238</v>
      </c>
      <c r="D38" s="2698"/>
      <c r="E38" s="2698"/>
      <c r="F38" s="2698">
        <v>0</v>
      </c>
      <c r="G38" s="2698"/>
      <c r="H38" s="2698"/>
      <c r="I38" s="2698"/>
      <c r="J38" s="2698"/>
      <c r="K38" s="2717">
        <v>0</v>
      </c>
      <c r="L38" s="2717">
        <v>0</v>
      </c>
      <c r="M38" s="2717">
        <v>0</v>
      </c>
      <c r="N38" s="2717">
        <v>0</v>
      </c>
    </row>
    <row r="39" spans="1:16" s="2143" customFormat="1">
      <c r="A39" s="3713" t="s">
        <v>1911</v>
      </c>
      <c r="B39" s="3714" t="s">
        <v>1356</v>
      </c>
      <c r="C39" s="3715" t="s">
        <v>238</v>
      </c>
      <c r="D39" s="2698"/>
      <c r="E39" s="2698"/>
      <c r="F39" s="2698">
        <v>0</v>
      </c>
      <c r="G39" s="2698"/>
      <c r="H39" s="2698"/>
      <c r="I39" s="2698"/>
      <c r="J39" s="2698"/>
      <c r="K39" s="2717">
        <v>0</v>
      </c>
      <c r="L39" s="2717">
        <v>0</v>
      </c>
      <c r="M39" s="2717">
        <v>0</v>
      </c>
      <c r="N39" s="2717">
        <v>0</v>
      </c>
    </row>
    <row r="40" spans="1:16" s="2143" customFormat="1" ht="27.6">
      <c r="A40" s="3713" t="s">
        <v>1912</v>
      </c>
      <c r="B40" s="3714" t="s">
        <v>1358</v>
      </c>
      <c r="C40" s="3715" t="s">
        <v>238</v>
      </c>
      <c r="D40" s="2922"/>
      <c r="E40" s="2922"/>
      <c r="F40" s="2922">
        <v>0</v>
      </c>
      <c r="G40" s="2922"/>
      <c r="H40" s="2922"/>
      <c r="I40" s="2922"/>
      <c r="J40" s="2922"/>
      <c r="K40" s="2717">
        <v>0</v>
      </c>
      <c r="L40" s="2717">
        <v>0</v>
      </c>
      <c r="M40" s="2717">
        <v>0</v>
      </c>
      <c r="N40" s="2717">
        <v>0</v>
      </c>
    </row>
    <row r="41" spans="1:16" s="2143" customFormat="1">
      <c r="A41" s="3713" t="s">
        <v>1913</v>
      </c>
      <c r="B41" s="3714" t="s">
        <v>1361</v>
      </c>
      <c r="C41" s="3715" t="s">
        <v>238</v>
      </c>
      <c r="D41" s="2717"/>
      <c r="E41" s="2717"/>
      <c r="F41" s="2717">
        <v>0</v>
      </c>
      <c r="G41" s="2717"/>
      <c r="H41" s="2717"/>
      <c r="I41" s="2717"/>
      <c r="J41" s="2717"/>
      <c r="K41" s="2717">
        <v>0</v>
      </c>
      <c r="L41" s="2717">
        <v>0</v>
      </c>
      <c r="M41" s="2717">
        <v>0</v>
      </c>
      <c r="N41" s="2717">
        <v>0</v>
      </c>
    </row>
    <row r="42" spans="1:16" s="2143" customFormat="1">
      <c r="A42" s="3713" t="s">
        <v>1914</v>
      </c>
      <c r="B42" s="3714" t="s">
        <v>1915</v>
      </c>
      <c r="C42" s="3715" t="s">
        <v>238</v>
      </c>
      <c r="D42" s="2698">
        <v>57.3</v>
      </c>
      <c r="E42" s="2698">
        <v>29.86</v>
      </c>
      <c r="F42" s="2698">
        <v>61.6</v>
      </c>
      <c r="G42" s="2911">
        <v>61.96</v>
      </c>
      <c r="H42" s="2911">
        <v>56.041447101844398</v>
      </c>
      <c r="I42" s="2911">
        <v>56.04</v>
      </c>
      <c r="J42" s="2911">
        <v>53.47</v>
      </c>
      <c r="K42" s="2717">
        <v>51.668388102437731</v>
      </c>
      <c r="L42" s="2717">
        <v>49.973664972677774</v>
      </c>
      <c r="M42" s="2717">
        <v>48.334528761573942</v>
      </c>
      <c r="N42" s="2717">
        <v>46.749156218194315</v>
      </c>
    </row>
    <row r="43" spans="1:16" s="2439" customFormat="1">
      <c r="A43" s="2867" t="s">
        <v>544</v>
      </c>
      <c r="B43" s="2874" t="s">
        <v>1372</v>
      </c>
      <c r="C43" s="3343" t="s">
        <v>238</v>
      </c>
      <c r="D43" s="3723">
        <v>0</v>
      </c>
      <c r="E43" s="3723">
        <v>0</v>
      </c>
      <c r="F43" s="3723">
        <v>0</v>
      </c>
      <c r="G43" s="3723">
        <v>0</v>
      </c>
      <c r="H43" s="3723"/>
      <c r="I43" s="3723"/>
      <c r="J43" s="3723"/>
      <c r="K43" s="3723"/>
      <c r="L43" s="3366">
        <v>0</v>
      </c>
      <c r="M43" s="2717">
        <v>0</v>
      </c>
      <c r="N43" s="2717">
        <v>0</v>
      </c>
    </row>
    <row r="44" spans="1:16" s="2143" customFormat="1">
      <c r="A44" s="2867" t="s">
        <v>2073</v>
      </c>
      <c r="B44" s="3724" t="s">
        <v>1363</v>
      </c>
      <c r="C44" s="3343" t="s">
        <v>238</v>
      </c>
      <c r="D44" s="2866">
        <v>64.400000000000006</v>
      </c>
      <c r="E44" s="2866">
        <v>0</v>
      </c>
      <c r="F44" s="2866">
        <v>69.2</v>
      </c>
      <c r="G44" s="2912">
        <v>69.64</v>
      </c>
      <c r="H44" s="2912">
        <v>62.987836929832866</v>
      </c>
      <c r="I44" s="2922">
        <v>0</v>
      </c>
      <c r="J44" s="2922">
        <v>0</v>
      </c>
      <c r="K44" s="2866">
        <v>107</v>
      </c>
      <c r="L44" s="3725">
        <v>103.49039999999999</v>
      </c>
      <c r="M44" s="2866">
        <v>100.09591488</v>
      </c>
      <c r="N44" s="2866">
        <v>96.812768871935987</v>
      </c>
    </row>
    <row r="45" spans="1:16" s="2143" customFormat="1">
      <c r="A45" s="3726" t="s">
        <v>474</v>
      </c>
      <c r="B45" s="3714" t="s">
        <v>1365</v>
      </c>
      <c r="C45" s="3715" t="s">
        <v>238</v>
      </c>
      <c r="D45" s="2922">
        <v>0</v>
      </c>
      <c r="E45" s="2922">
        <v>0</v>
      </c>
      <c r="F45" s="2922"/>
      <c r="G45" s="2922">
        <v>0</v>
      </c>
      <c r="H45" s="2922">
        <v>0</v>
      </c>
      <c r="I45" s="2922">
        <v>0</v>
      </c>
      <c r="J45" s="2922">
        <v>0</v>
      </c>
      <c r="K45" s="2922">
        <v>0</v>
      </c>
      <c r="L45" s="3369">
        <v>0</v>
      </c>
      <c r="M45" s="2922">
        <v>0</v>
      </c>
      <c r="N45" s="2717">
        <v>0</v>
      </c>
    </row>
    <row r="46" spans="1:16" s="2143" customFormat="1">
      <c r="A46" s="3713" t="s">
        <v>2074</v>
      </c>
      <c r="B46" s="3714" t="s">
        <v>1367</v>
      </c>
      <c r="C46" s="3715" t="s">
        <v>238</v>
      </c>
      <c r="D46" s="2865">
        <v>64.400000000000006</v>
      </c>
      <c r="E46" s="2865"/>
      <c r="F46" s="2865">
        <v>69.2</v>
      </c>
      <c r="G46" s="2911">
        <v>69.64</v>
      </c>
      <c r="H46" s="2911">
        <v>62.987836929832866</v>
      </c>
      <c r="I46" s="2922">
        <v>0</v>
      </c>
      <c r="J46" s="2922">
        <v>0</v>
      </c>
      <c r="K46" s="2717">
        <v>107</v>
      </c>
      <c r="L46" s="3366">
        <v>103.49039999999999</v>
      </c>
      <c r="M46" s="2717">
        <v>100.09591488</v>
      </c>
      <c r="N46" s="2717">
        <v>96.812768871935987</v>
      </c>
      <c r="P46" s="3716">
        <v>133.75</v>
      </c>
    </row>
    <row r="47" spans="1:16" s="2143" customFormat="1">
      <c r="A47" s="3713" t="s">
        <v>2075</v>
      </c>
      <c r="B47" s="3714" t="s">
        <v>1369</v>
      </c>
      <c r="C47" s="3715" t="s">
        <v>238</v>
      </c>
      <c r="D47" s="2922">
        <v>0</v>
      </c>
      <c r="E47" s="2922">
        <v>0</v>
      </c>
      <c r="F47" s="2922">
        <v>0</v>
      </c>
      <c r="G47" s="2922">
        <v>0</v>
      </c>
      <c r="H47" s="2922"/>
      <c r="I47" s="2922"/>
      <c r="J47" s="2922"/>
      <c r="K47" s="2922"/>
      <c r="L47" s="3369">
        <v>0</v>
      </c>
      <c r="M47" s="2922">
        <v>0</v>
      </c>
      <c r="N47" s="2717">
        <v>0</v>
      </c>
    </row>
    <row r="48" spans="1:16" s="2143" customFormat="1">
      <c r="A48" s="2867" t="s">
        <v>200</v>
      </c>
      <c r="B48" s="2868" t="s">
        <v>1917</v>
      </c>
      <c r="C48" s="3343" t="s">
        <v>238</v>
      </c>
      <c r="D48" s="2625">
        <v>2499.0600000000004</v>
      </c>
      <c r="E48" s="2625">
        <v>17565.59</v>
      </c>
      <c r="F48" s="2625">
        <v>11745.198318389832</v>
      </c>
      <c r="G48" s="2863">
        <v>2702.35</v>
      </c>
      <c r="H48" s="2863">
        <v>2444.2221385059943</v>
      </c>
      <c r="I48" s="2863">
        <v>6881.43</v>
      </c>
      <c r="J48" s="2863">
        <v>6564.97</v>
      </c>
      <c r="K48" s="2625">
        <v>13389.493548316774</v>
      </c>
      <c r="L48" s="3373">
        <v>12950.318159931983</v>
      </c>
      <c r="M48" s="2625">
        <v>12525.547724286213</v>
      </c>
      <c r="N48" s="2625">
        <v>12114.709758929625</v>
      </c>
      <c r="P48" s="2717">
        <v>6824.5235483167735</v>
      </c>
    </row>
    <row r="49" spans="1:20">
      <c r="A49" s="3968" t="s">
        <v>1918</v>
      </c>
      <c r="B49" s="3969"/>
      <c r="C49" s="3969"/>
      <c r="D49" s="1902"/>
      <c r="E49" s="1902"/>
      <c r="F49" s="1902"/>
      <c r="G49" s="1902"/>
      <c r="H49" s="1902"/>
      <c r="I49" s="1902"/>
      <c r="J49" s="1902"/>
      <c r="K49" s="3370"/>
      <c r="L49" s="3368"/>
      <c r="M49" s="1902"/>
      <c r="N49" s="1902"/>
    </row>
    <row r="50" spans="1:20">
      <c r="A50" s="1711"/>
      <c r="B50" s="1711"/>
      <c r="C50" s="1711"/>
      <c r="D50" s="1711"/>
      <c r="E50" s="1711"/>
      <c r="F50" s="1711"/>
      <c r="G50" s="1711"/>
      <c r="H50" s="2952"/>
      <c r="I50" s="2952"/>
      <c r="J50" s="2952"/>
      <c r="K50" s="3348"/>
      <c r="L50" s="1711"/>
      <c r="M50" s="1711"/>
      <c r="N50" s="1711"/>
      <c r="O50" s="2875" t="s">
        <v>2976</v>
      </c>
    </row>
    <row r="51" spans="1:20" s="2143" customFormat="1">
      <c r="A51" s="2867" t="s">
        <v>138</v>
      </c>
      <c r="B51" s="2874" t="s">
        <v>2628</v>
      </c>
      <c r="C51" s="3343" t="s">
        <v>238</v>
      </c>
      <c r="D51" s="2922">
        <v>8165.45</v>
      </c>
      <c r="E51" s="2922">
        <v>7694.91</v>
      </c>
      <c r="F51" s="2922">
        <v>11026.4</v>
      </c>
      <c r="G51" s="3727">
        <v>7106.91</v>
      </c>
      <c r="H51" s="3727">
        <v>7318.34</v>
      </c>
      <c r="I51" s="3727">
        <v>8695.5300000000007</v>
      </c>
      <c r="J51" s="3727">
        <v>8497.11</v>
      </c>
      <c r="K51" s="2922">
        <v>9744.8184141090387</v>
      </c>
      <c r="L51" s="3369">
        <v>9744.8184141090387</v>
      </c>
      <c r="M51" s="2922">
        <v>9744.8184141090387</v>
      </c>
      <c r="N51" s="2922">
        <v>9744.8184141090387</v>
      </c>
      <c r="O51" s="3728">
        <v>8026.1588700000002</v>
      </c>
      <c r="P51" s="2231" t="s">
        <v>2196</v>
      </c>
      <c r="Q51" s="2929">
        <v>1434.3099999999995</v>
      </c>
      <c r="R51" s="2143">
        <v>5672.5964406779658</v>
      </c>
    </row>
    <row r="52" spans="1:20" s="2143" customFormat="1">
      <c r="A52" s="3729" t="s">
        <v>141</v>
      </c>
      <c r="B52" s="2874" t="s">
        <v>653</v>
      </c>
      <c r="C52" s="3343" t="s">
        <v>238</v>
      </c>
      <c r="D52" s="2922">
        <v>0</v>
      </c>
      <c r="E52" s="2922">
        <v>0</v>
      </c>
      <c r="F52" s="2922">
        <v>0</v>
      </c>
      <c r="G52" s="2922">
        <v>0</v>
      </c>
      <c r="H52" s="2922">
        <v>0</v>
      </c>
      <c r="I52" s="2922">
        <v>0</v>
      </c>
      <c r="J52" s="2922">
        <v>0</v>
      </c>
      <c r="K52" s="2922">
        <v>0</v>
      </c>
      <c r="L52" s="3369">
        <v>0</v>
      </c>
      <c r="M52" s="2922">
        <v>0</v>
      </c>
      <c r="N52" s="2922">
        <v>0</v>
      </c>
    </row>
    <row r="53" spans="1:20" s="2143" customFormat="1">
      <c r="A53" s="2867" t="s">
        <v>143</v>
      </c>
      <c r="B53" s="2874" t="s">
        <v>1374</v>
      </c>
      <c r="C53" s="3343" t="s">
        <v>238</v>
      </c>
      <c r="D53" s="2922"/>
      <c r="E53" s="2922"/>
      <c r="F53" s="2922"/>
      <c r="G53" s="2922"/>
      <c r="H53" s="2922"/>
      <c r="I53" s="2922"/>
      <c r="J53" s="2922"/>
      <c r="K53" s="2922"/>
      <c r="L53" s="3369"/>
      <c r="M53" s="2922"/>
      <c r="N53" s="2922"/>
    </row>
    <row r="54" spans="1:20" s="2143" customFormat="1">
      <c r="A54" s="2867" t="s">
        <v>145</v>
      </c>
      <c r="B54" s="3730" t="s">
        <v>1376</v>
      </c>
      <c r="C54" s="3343" t="s">
        <v>238</v>
      </c>
      <c r="D54" s="2866">
        <v>18.7</v>
      </c>
      <c r="E54" s="2866">
        <v>0</v>
      </c>
      <c r="F54" s="2866">
        <v>18.71</v>
      </c>
      <c r="G54" s="3731">
        <v>18.71</v>
      </c>
      <c r="H54" s="2912">
        <v>20.25</v>
      </c>
      <c r="I54" s="2912">
        <v>19.82</v>
      </c>
      <c r="J54" s="2912">
        <v>18.100000000000001</v>
      </c>
      <c r="K54" s="2866">
        <v>17.889823885654664</v>
      </c>
      <c r="L54" s="2866">
        <v>17.889823885654664</v>
      </c>
      <c r="M54" s="2866">
        <v>17.889823885654664</v>
      </c>
      <c r="N54" s="2866">
        <v>17.889823885654664</v>
      </c>
    </row>
    <row r="55" spans="1:20" s="2143" customFormat="1">
      <c r="A55" s="3713" t="s">
        <v>2076</v>
      </c>
      <c r="B55" s="3714" t="s">
        <v>1378</v>
      </c>
      <c r="C55" s="3715" t="s">
        <v>238</v>
      </c>
      <c r="D55" s="2865"/>
      <c r="E55" s="2865"/>
      <c r="F55" s="2865"/>
      <c r="G55" s="3732"/>
      <c r="H55" s="2865"/>
      <c r="I55" s="2865"/>
      <c r="J55" s="2865"/>
      <c r="K55" s="2865"/>
      <c r="L55" s="2865"/>
      <c r="M55" s="2865"/>
      <c r="N55" s="2865"/>
    </row>
    <row r="56" spans="1:20" s="2143" customFormat="1">
      <c r="A56" s="3713" t="s">
        <v>2077</v>
      </c>
      <c r="B56" s="3714" t="s">
        <v>1380</v>
      </c>
      <c r="C56" s="3715" t="s">
        <v>238</v>
      </c>
      <c r="D56" s="2922">
        <v>18.7</v>
      </c>
      <c r="E56" s="2922"/>
      <c r="F56" s="2922">
        <v>18.71</v>
      </c>
      <c r="G56" s="3727">
        <v>18.71</v>
      </c>
      <c r="H56" s="3727">
        <v>20.25</v>
      </c>
      <c r="I56" s="3727">
        <v>19.82</v>
      </c>
      <c r="J56" s="3727">
        <v>18.100000000000001</v>
      </c>
      <c r="K56" s="2923">
        <v>17.889823885654664</v>
      </c>
      <c r="L56" s="2923">
        <v>17.889823885654664</v>
      </c>
      <c r="M56" s="2923">
        <v>17.889823885654664</v>
      </c>
      <c r="N56" s="2923">
        <v>17.889823885654664</v>
      </c>
    </row>
    <row r="57" spans="1:20" s="2143" customFormat="1">
      <c r="A57" s="3713" t="s">
        <v>2078</v>
      </c>
      <c r="B57" s="3714" t="s">
        <v>1382</v>
      </c>
      <c r="C57" s="3715" t="s">
        <v>238</v>
      </c>
      <c r="D57" s="2924"/>
      <c r="E57" s="2924"/>
      <c r="F57" s="2924"/>
      <c r="G57" s="2698"/>
      <c r="H57" s="2698"/>
      <c r="I57" s="2698"/>
      <c r="J57" s="2698"/>
      <c r="K57" s="2924"/>
      <c r="L57" s="2924"/>
      <c r="M57" s="2924"/>
      <c r="N57" s="2924"/>
    </row>
    <row r="58" spans="1:20" s="2143" customFormat="1" ht="27.6">
      <c r="A58" s="2867" t="s">
        <v>147</v>
      </c>
      <c r="B58" s="2874" t="s">
        <v>2554</v>
      </c>
      <c r="C58" s="3343" t="s">
        <v>238</v>
      </c>
      <c r="D58" s="2865">
        <v>653.86</v>
      </c>
      <c r="E58" s="2865">
        <v>2865.2</v>
      </c>
      <c r="F58" s="2865">
        <v>3009.8199000000004</v>
      </c>
      <c r="G58" s="2910">
        <v>707.04948000000002</v>
      </c>
      <c r="H58" s="2910">
        <v>639.51263000000006</v>
      </c>
      <c r="I58" s="2910">
        <v>2042.0374300000001</v>
      </c>
      <c r="J58" s="2910">
        <v>1948.1393500000001</v>
      </c>
      <c r="K58" s="2910">
        <v>4082.1</v>
      </c>
      <c r="L58" s="2910">
        <v>3948.2</v>
      </c>
      <c r="M58" s="2910">
        <v>3818.7</v>
      </c>
      <c r="N58" s="2910">
        <v>3693.4</v>
      </c>
      <c r="O58" s="2143">
        <v>0.31699950212977818</v>
      </c>
    </row>
    <row r="59" spans="1:20" s="2143" customFormat="1">
      <c r="A59" s="2867" t="s">
        <v>148</v>
      </c>
      <c r="B59" s="2874" t="s">
        <v>1391</v>
      </c>
      <c r="C59" s="3343" t="s">
        <v>238</v>
      </c>
      <c r="D59" s="2865"/>
      <c r="E59" s="2865"/>
      <c r="F59" s="2865"/>
      <c r="G59" s="2865"/>
      <c r="H59" s="2865"/>
      <c r="I59" s="2865"/>
      <c r="J59" s="2865"/>
      <c r="K59" s="2865"/>
      <c r="L59" s="2865"/>
      <c r="M59" s="2865"/>
      <c r="N59" s="2865"/>
      <c r="O59" s="3960" t="s">
        <v>2885</v>
      </c>
      <c r="P59" s="3961"/>
      <c r="Q59" s="3961"/>
      <c r="R59" s="3961"/>
      <c r="S59" s="3961"/>
      <c r="T59" s="3961"/>
    </row>
    <row r="60" spans="1:20" s="2143" customFormat="1">
      <c r="A60" s="2867" t="s">
        <v>150</v>
      </c>
      <c r="B60" s="2874" t="s">
        <v>1394</v>
      </c>
      <c r="C60" s="3343" t="s">
        <v>238</v>
      </c>
      <c r="D60" s="2922">
        <v>0</v>
      </c>
      <c r="E60" s="2865">
        <v>0</v>
      </c>
      <c r="F60" s="2865">
        <v>17.3</v>
      </c>
      <c r="G60" s="2865">
        <v>0</v>
      </c>
      <c r="H60" s="2865">
        <v>0</v>
      </c>
      <c r="I60" s="2865">
        <v>0</v>
      </c>
      <c r="J60" s="2865">
        <v>0</v>
      </c>
      <c r="K60" s="2865">
        <v>26.75</v>
      </c>
      <c r="L60" s="2865">
        <v>25.872599999999995</v>
      </c>
      <c r="M60" s="2865">
        <v>25.023978719999999</v>
      </c>
      <c r="N60" s="2865">
        <v>24.203192217983997</v>
      </c>
      <c r="O60" s="3962"/>
      <c r="P60" s="3961"/>
      <c r="Q60" s="3961"/>
      <c r="R60" s="3961"/>
      <c r="S60" s="3961"/>
      <c r="T60" s="3961"/>
    </row>
    <row r="61" spans="1:20" s="2143" customFormat="1">
      <c r="A61" s="2867" t="s">
        <v>151</v>
      </c>
      <c r="B61" s="2874" t="s">
        <v>2070</v>
      </c>
      <c r="C61" s="3343" t="s">
        <v>238</v>
      </c>
      <c r="D61" s="2865"/>
      <c r="E61" s="2865"/>
      <c r="F61" s="2865"/>
      <c r="G61" s="2865"/>
      <c r="H61" s="2865"/>
      <c r="I61" s="2865"/>
      <c r="J61" s="2865"/>
      <c r="K61" s="2865"/>
      <c r="L61" s="2865"/>
      <c r="M61" s="2865"/>
      <c r="N61" s="2865"/>
      <c r="O61" s="3962"/>
      <c r="P61" s="3961"/>
      <c r="Q61" s="3961"/>
      <c r="R61" s="3961"/>
      <c r="S61" s="3961"/>
      <c r="T61" s="3961"/>
    </row>
    <row r="62" spans="1:20" s="2143" customFormat="1">
      <c r="A62" s="2867" t="s">
        <v>153</v>
      </c>
      <c r="B62" s="2874" t="s">
        <v>1387</v>
      </c>
      <c r="C62" s="3343" t="s">
        <v>238</v>
      </c>
      <c r="D62" s="2865">
        <v>80.599999999999994</v>
      </c>
      <c r="E62" s="2865">
        <v>479.89</v>
      </c>
      <c r="F62" s="2865">
        <v>80.599999999999994</v>
      </c>
      <c r="G62" s="2910">
        <v>115.6</v>
      </c>
      <c r="H62" s="2910">
        <v>102.46</v>
      </c>
      <c r="I62" s="2910">
        <v>98.92</v>
      </c>
      <c r="J62" s="2910">
        <v>113.98</v>
      </c>
      <c r="K62" s="2865">
        <v>110.98691922805301</v>
      </c>
      <c r="L62" s="2865">
        <v>110.98691922805301</v>
      </c>
      <c r="M62" s="2865">
        <v>110.98691922805301</v>
      </c>
      <c r="N62" s="2865">
        <v>110.98691922805301</v>
      </c>
      <c r="O62" s="3962"/>
      <c r="P62" s="3961"/>
      <c r="Q62" s="3961"/>
      <c r="R62" s="3961"/>
      <c r="S62" s="3961"/>
      <c r="T62" s="3961"/>
    </row>
    <row r="63" spans="1:20" s="2143" customFormat="1">
      <c r="A63" s="2867" t="s">
        <v>155</v>
      </c>
      <c r="B63" s="2874" t="s">
        <v>1922</v>
      </c>
      <c r="C63" s="3343" t="s">
        <v>238</v>
      </c>
      <c r="D63" s="2865"/>
      <c r="E63" s="2865"/>
      <c r="F63" s="2865"/>
      <c r="G63" s="2865"/>
      <c r="H63" s="2865"/>
      <c r="I63" s="2865"/>
      <c r="J63" s="2865"/>
      <c r="K63" s="2865"/>
      <c r="L63" s="2865"/>
      <c r="M63" s="2865"/>
      <c r="N63" s="2865"/>
      <c r="O63" s="3962"/>
      <c r="P63" s="3961"/>
      <c r="Q63" s="3961"/>
      <c r="R63" s="3961"/>
      <c r="S63" s="3961"/>
      <c r="T63" s="3961"/>
    </row>
    <row r="64" spans="1:20" s="2143" customFormat="1">
      <c r="A64" s="2867" t="s">
        <v>207</v>
      </c>
      <c r="B64" s="2868" t="s">
        <v>1923</v>
      </c>
      <c r="C64" s="2868" t="s">
        <v>238</v>
      </c>
      <c r="D64" s="2866">
        <v>8918.61</v>
      </c>
      <c r="E64" s="2866">
        <v>11040</v>
      </c>
      <c r="F64" s="2866">
        <v>14152.829899999999</v>
      </c>
      <c r="G64" s="2912">
        <v>7948.2694799999999</v>
      </c>
      <c r="H64" s="2912">
        <v>8080.5726300000006</v>
      </c>
      <c r="I64" s="2912">
        <v>10856.307430000001</v>
      </c>
      <c r="J64" s="2912">
        <v>10577.33935</v>
      </c>
      <c r="K64" s="2866">
        <v>13982.545157222747</v>
      </c>
      <c r="L64" s="2866">
        <v>13847.767757222746</v>
      </c>
      <c r="M64" s="2866">
        <v>13717.419135942746</v>
      </c>
      <c r="N64" s="2866">
        <v>13591.298349440731</v>
      </c>
      <c r="O64" s="3962"/>
      <c r="P64" s="3961"/>
      <c r="Q64" s="3961"/>
      <c r="R64" s="3961"/>
      <c r="S64" s="3961"/>
      <c r="T64" s="3961"/>
    </row>
    <row r="65" spans="1:25" s="2143" customFormat="1" ht="14.4" hidden="1">
      <c r="Q65" s="2143">
        <v>3563.0700000000029</v>
      </c>
      <c r="T65" s="3580" t="s">
        <v>2146</v>
      </c>
      <c r="U65" s="2143" t="s">
        <v>2147</v>
      </c>
      <c r="W65" s="3733" t="s">
        <v>2149</v>
      </c>
      <c r="X65" s="3733"/>
      <c r="Y65" s="3733"/>
    </row>
    <row r="66" spans="1:25" s="2143" customFormat="1" ht="14.4" hidden="1">
      <c r="A66" s="3734" t="s">
        <v>2069</v>
      </c>
      <c r="B66" s="3735"/>
      <c r="C66" s="3735"/>
      <c r="D66" s="3736"/>
      <c r="E66" s="3736"/>
      <c r="F66" s="3736"/>
      <c r="G66" s="3736"/>
      <c r="H66" s="3736"/>
      <c r="I66" s="3736"/>
      <c r="J66" s="3736"/>
      <c r="K66" s="3736"/>
      <c r="L66" s="3736"/>
      <c r="M66" s="3736"/>
      <c r="N66" s="3736"/>
      <c r="O66" s="2143" t="s">
        <v>2086</v>
      </c>
      <c r="Q66" s="2143">
        <v>1297.5700000000029</v>
      </c>
      <c r="S66" s="3716">
        <v>0</v>
      </c>
      <c r="T66" s="2143" t="s">
        <v>2214</v>
      </c>
      <c r="U66" s="2143" t="s">
        <v>2148</v>
      </c>
      <c r="W66" s="3733" t="s">
        <v>2089</v>
      </c>
      <c r="X66" s="3733"/>
      <c r="Y66" s="3733"/>
    </row>
    <row r="67" spans="1:25" s="2143" customFormat="1" ht="41.4">
      <c r="A67" s="2867" t="s">
        <v>208</v>
      </c>
      <c r="B67" s="2874" t="s">
        <v>2069</v>
      </c>
      <c r="C67" s="3343" t="s">
        <v>238</v>
      </c>
      <c r="D67" s="2865"/>
      <c r="E67" s="2865"/>
      <c r="F67" s="2866">
        <v>954.4</v>
      </c>
      <c r="G67" s="2865"/>
      <c r="H67" s="2865"/>
      <c r="I67" s="2865"/>
      <c r="J67" s="2865"/>
      <c r="K67" s="2912">
        <v>5504.48387</v>
      </c>
      <c r="L67" s="2912"/>
      <c r="M67" s="2912"/>
      <c r="N67" s="2912"/>
      <c r="O67" s="2143" t="s">
        <v>2084</v>
      </c>
      <c r="Q67" s="2143">
        <v>261397.59</v>
      </c>
      <c r="R67" s="2143" t="s">
        <v>2085</v>
      </c>
      <c r="T67" s="3737">
        <v>19254.561169491528</v>
      </c>
      <c r="V67" s="2143" t="s">
        <v>2090</v>
      </c>
    </row>
    <row r="68" spans="1:25" s="2143" customFormat="1">
      <c r="A68" s="2867" t="s">
        <v>210</v>
      </c>
      <c r="B68" s="2868" t="s">
        <v>2596</v>
      </c>
      <c r="C68" s="2869" t="s">
        <v>238</v>
      </c>
      <c r="D68" s="2865"/>
      <c r="E68" s="2865"/>
      <c r="F68" s="2865"/>
      <c r="G68" s="2865"/>
      <c r="H68" s="2865"/>
      <c r="I68" s="2865"/>
      <c r="J68" s="2865"/>
      <c r="K68" s="2866"/>
      <c r="L68" s="2866"/>
      <c r="M68" s="2866"/>
      <c r="N68" s="2866"/>
      <c r="T68" s="3728">
        <v>12042.390000000001</v>
      </c>
    </row>
    <row r="69" spans="1:25" s="2143" customFormat="1" hidden="1">
      <c r="A69" s="2867" t="s">
        <v>212</v>
      </c>
      <c r="B69" s="2868" t="s">
        <v>2946</v>
      </c>
      <c r="C69" s="2869" t="s">
        <v>238</v>
      </c>
      <c r="D69" s="2866">
        <v>0</v>
      </c>
      <c r="E69" s="2866">
        <v>0</v>
      </c>
      <c r="F69" s="2866">
        <v>0</v>
      </c>
      <c r="G69" s="2913">
        <v>143.30000000000001</v>
      </c>
      <c r="H69" s="2912">
        <v>330.25</v>
      </c>
      <c r="I69" s="2913">
        <v>-2488.0340000000001</v>
      </c>
      <c r="J69" s="2913">
        <v>-7426.2979999999998</v>
      </c>
      <c r="K69" s="2912">
        <v>579.2490631981567</v>
      </c>
      <c r="L69" s="2912">
        <v>0</v>
      </c>
      <c r="M69" s="2912">
        <v>0</v>
      </c>
      <c r="N69" s="2912">
        <v>0</v>
      </c>
      <c r="O69" s="3738">
        <v>0</v>
      </c>
      <c r="R69" s="3728">
        <v>763.55298319815665</v>
      </c>
      <c r="T69" s="3728">
        <v>10993.381278505994</v>
      </c>
    </row>
    <row r="70" spans="1:25" s="2143" customFormat="1" ht="53.4" hidden="1">
      <c r="A70" s="2870" t="s">
        <v>247</v>
      </c>
      <c r="B70" s="2871" t="s">
        <v>2952</v>
      </c>
      <c r="C70" s="2869" t="s">
        <v>238</v>
      </c>
      <c r="D70" s="2865">
        <v>0</v>
      </c>
      <c r="E70" s="2865">
        <v>0</v>
      </c>
      <c r="F70" s="2865">
        <v>0</v>
      </c>
      <c r="G70" s="2865">
        <v>0</v>
      </c>
      <c r="H70" s="2865">
        <v>330.25</v>
      </c>
      <c r="I70" s="2910">
        <v>-2488.0340000000001</v>
      </c>
      <c r="J70" s="2910">
        <v>0</v>
      </c>
      <c r="K70" s="2910">
        <v>579.2490631981567</v>
      </c>
      <c r="L70" s="3249">
        <v>0</v>
      </c>
      <c r="M70" s="2910">
        <v>0</v>
      </c>
      <c r="N70" s="2910">
        <v>0</v>
      </c>
      <c r="R70" s="3718">
        <v>579.2490631981567</v>
      </c>
    </row>
    <row r="71" spans="1:25" s="2143" customFormat="1" ht="90" hidden="1" customHeight="1">
      <c r="A71" s="2870" t="s">
        <v>247</v>
      </c>
      <c r="B71" s="2871" t="s">
        <v>2855</v>
      </c>
      <c r="C71" s="2869" t="s">
        <v>238</v>
      </c>
      <c r="D71" s="2865"/>
      <c r="E71" s="2865"/>
      <c r="F71" s="2865"/>
      <c r="G71" s="2865"/>
      <c r="H71" s="2865"/>
      <c r="I71" s="2910"/>
      <c r="J71" s="2910"/>
      <c r="K71" s="3261"/>
      <c r="L71" s="3130"/>
      <c r="M71" s="2872"/>
      <c r="N71" s="2872"/>
      <c r="O71" s="3261">
        <v>-4476.9222946000009</v>
      </c>
      <c r="P71" s="3739">
        <v>-3.8718000000699249E-3</v>
      </c>
      <c r="Q71" s="2143">
        <v>83.889999999999873</v>
      </c>
    </row>
    <row r="72" spans="1:25" s="2143" customFormat="1" ht="16.8" hidden="1">
      <c r="A72" s="3689" t="s">
        <v>2597</v>
      </c>
      <c r="B72" s="3690" t="s">
        <v>3020</v>
      </c>
      <c r="C72" s="3691"/>
      <c r="D72" s="2865"/>
      <c r="E72" s="2865"/>
      <c r="F72" s="2865"/>
      <c r="G72" s="2865"/>
      <c r="H72" s="2865"/>
      <c r="I72" s="2865"/>
      <c r="J72" s="2865"/>
      <c r="K72" s="2866"/>
      <c r="L72" s="3250"/>
      <c r="M72" s="2866"/>
      <c r="N72" s="2866"/>
    </row>
    <row r="73" spans="1:25" s="2143" customFormat="1" ht="16.8" hidden="1">
      <c r="A73" s="2870"/>
      <c r="B73" s="3690" t="s">
        <v>3021</v>
      </c>
      <c r="C73" s="2869"/>
      <c r="D73" s="2865"/>
      <c r="E73" s="2865"/>
      <c r="F73" s="2865"/>
      <c r="G73" s="2865"/>
      <c r="H73" s="2865"/>
      <c r="I73" s="2865"/>
      <c r="J73" s="2865"/>
      <c r="K73" s="2866"/>
      <c r="L73" s="3250"/>
      <c r="M73" s="2866"/>
      <c r="N73" s="2866"/>
    </row>
    <row r="74" spans="1:25" s="2143" customFormat="1" ht="16.8" hidden="1">
      <c r="A74" s="2870"/>
      <c r="B74" s="3690" t="s">
        <v>3022</v>
      </c>
      <c r="C74" s="2869"/>
      <c r="D74" s="2865"/>
      <c r="E74" s="2865"/>
      <c r="F74" s="2865"/>
      <c r="G74" s="2865"/>
      <c r="H74" s="2865"/>
      <c r="I74" s="2865"/>
      <c r="J74" s="2865"/>
      <c r="K74" s="2866"/>
      <c r="L74" s="2866"/>
      <c r="M74" s="2866"/>
      <c r="N74" s="2866"/>
    </row>
    <row r="75" spans="1:25" s="2143" customFormat="1" ht="16.8" hidden="1">
      <c r="A75" s="2870"/>
      <c r="B75" s="3690" t="s">
        <v>3023</v>
      </c>
      <c r="C75" s="2869"/>
      <c r="D75" s="2865"/>
      <c r="E75" s="2865"/>
      <c r="F75" s="2865"/>
      <c r="G75" s="2865"/>
      <c r="H75" s="2865"/>
      <c r="I75" s="2865"/>
      <c r="J75" s="2865"/>
      <c r="K75" s="2866"/>
      <c r="L75" s="2866"/>
      <c r="M75" s="2866"/>
      <c r="N75" s="2866"/>
      <c r="Q75" s="2143">
        <v>290772.99</v>
      </c>
      <c r="R75" s="2143" t="s">
        <v>2085</v>
      </c>
      <c r="S75" s="2143" t="s">
        <v>2344</v>
      </c>
    </row>
    <row r="76" spans="1:25" s="2143" customFormat="1" ht="39" hidden="1" customHeight="1">
      <c r="A76" s="2870" t="s">
        <v>2598</v>
      </c>
      <c r="B76" s="2871" t="s">
        <v>2599</v>
      </c>
      <c r="C76" s="2869" t="s">
        <v>238</v>
      </c>
      <c r="D76" s="2865"/>
      <c r="E76" s="2865"/>
      <c r="F76" s="2865"/>
      <c r="G76" s="2865"/>
      <c r="H76" s="2865"/>
      <c r="I76" s="2865"/>
      <c r="J76" s="2865"/>
      <c r="K76" s="2866"/>
      <c r="L76" s="2866"/>
      <c r="M76" s="2866"/>
      <c r="N76" s="2866"/>
    </row>
    <row r="77" spans="1:25" s="2143" customFormat="1" ht="39" hidden="1" customHeight="1">
      <c r="A77" s="2870" t="s">
        <v>2852</v>
      </c>
      <c r="B77" s="2871" t="s">
        <v>2853</v>
      </c>
      <c r="C77" s="2869" t="s">
        <v>238</v>
      </c>
      <c r="D77" s="2865"/>
      <c r="E77" s="2865"/>
      <c r="F77" s="2865"/>
      <c r="G77" s="2865"/>
      <c r="H77" s="2865"/>
      <c r="I77" s="2910">
        <v>-273.67000000000007</v>
      </c>
      <c r="J77" s="2910"/>
      <c r="K77" s="2912">
        <v>0</v>
      </c>
      <c r="L77" s="2866"/>
      <c r="M77" s="2866"/>
      <c r="N77" s="2866"/>
      <c r="O77" s="2912">
        <v>-669.37113000000045</v>
      </c>
    </row>
    <row r="78" spans="1:25" s="2143" customFormat="1" ht="44.25" hidden="1" customHeight="1">
      <c r="A78" s="2870" t="s">
        <v>2849</v>
      </c>
      <c r="B78" s="2871" t="s">
        <v>2850</v>
      </c>
      <c r="C78" s="2869" t="s">
        <v>238</v>
      </c>
      <c r="D78" s="2865"/>
      <c r="E78" s="2865"/>
      <c r="F78" s="2865"/>
      <c r="G78" s="2865"/>
      <c r="H78" s="2910">
        <v>330.25</v>
      </c>
      <c r="I78" s="2914">
        <v>-2214.364</v>
      </c>
      <c r="J78" s="2914"/>
      <c r="K78" s="2866"/>
      <c r="L78" s="2866"/>
      <c r="M78" s="2866"/>
      <c r="N78" s="2866"/>
      <c r="O78" s="2866">
        <v>-6442.1961700000011</v>
      </c>
      <c r="P78" s="2439" t="s">
        <v>2854</v>
      </c>
      <c r="Q78" s="2439"/>
      <c r="R78" s="2439"/>
      <c r="T78" s="3728">
        <v>-7212.1711694915266</v>
      </c>
    </row>
    <row r="79" spans="1:25" s="2143" customFormat="1" ht="49.5" customHeight="1">
      <c r="A79" s="2867" t="s">
        <v>212</v>
      </c>
      <c r="B79" s="2871" t="s">
        <v>2999</v>
      </c>
      <c r="C79" s="2869" t="s">
        <v>238</v>
      </c>
      <c r="D79" s="2865"/>
      <c r="E79" s="2865"/>
      <c r="F79" s="2865"/>
      <c r="G79" s="2865"/>
      <c r="H79" s="2865"/>
      <c r="I79" s="2910"/>
      <c r="J79" s="2910"/>
      <c r="K79" s="2866">
        <v>579.2490631981567</v>
      </c>
      <c r="L79" s="2866"/>
      <c r="M79" s="2866"/>
      <c r="N79" s="2866"/>
      <c r="P79" s="3740">
        <v>-2289.9500000000021</v>
      </c>
      <c r="Q79" s="2439">
        <v>-3660.7000000000025</v>
      </c>
      <c r="R79" s="2912">
        <v>1370.7500000000005</v>
      </c>
      <c r="T79" s="3728">
        <v>-1049.0087214940067</v>
      </c>
    </row>
    <row r="80" spans="1:25" s="2143" customFormat="1" ht="60.6" customHeight="1">
      <c r="A80" s="2867" t="s">
        <v>215</v>
      </c>
      <c r="B80" s="2873" t="s">
        <v>2951</v>
      </c>
      <c r="C80" s="2869" t="s">
        <v>238</v>
      </c>
      <c r="D80" s="2865"/>
      <c r="E80" s="2865"/>
      <c r="F80" s="2865"/>
      <c r="G80" s="2913">
        <v>143.30000000000001</v>
      </c>
      <c r="H80" s="2912">
        <v>138.33651000000003</v>
      </c>
      <c r="I80" s="2912">
        <v>108.96197000000002</v>
      </c>
      <c r="J80" s="2912">
        <v>142.91394</v>
      </c>
      <c r="K80" s="3346">
        <v>184.30392000000001</v>
      </c>
      <c r="L80" s="3250"/>
      <c r="M80" s="2866"/>
      <c r="N80" s="2866"/>
      <c r="P80" s="3718">
        <v>108.96197000000002</v>
      </c>
    </row>
    <row r="81" spans="1:18" hidden="1">
      <c r="A81" s="2867" t="s">
        <v>215</v>
      </c>
      <c r="B81" s="2874" t="s">
        <v>2611</v>
      </c>
      <c r="C81" s="2869" t="s">
        <v>238</v>
      </c>
      <c r="D81" s="2866">
        <v>-397.31</v>
      </c>
      <c r="E81" s="2865"/>
      <c r="F81" s="2865"/>
      <c r="G81" s="2914">
        <v>-152.65</v>
      </c>
      <c r="H81" s="2865"/>
      <c r="I81" s="2865"/>
      <c r="J81" s="2865"/>
      <c r="K81" s="3347"/>
      <c r="L81" s="3344"/>
      <c r="M81" s="2865"/>
      <c r="N81" s="2865"/>
    </row>
    <row r="82" spans="1:18">
      <c r="A82" s="1711"/>
      <c r="B82" s="1711"/>
      <c r="C82" s="1711"/>
      <c r="D82" s="1711"/>
      <c r="E82" s="1711"/>
      <c r="F82" s="1711"/>
      <c r="G82" s="1711"/>
      <c r="H82" s="1711"/>
      <c r="I82" s="1711"/>
      <c r="J82" s="1711"/>
      <c r="K82" s="3348"/>
      <c r="L82" s="1711"/>
      <c r="M82" s="1711"/>
      <c r="N82" s="1711"/>
      <c r="O82" s="1669">
        <v>901.42000000000098</v>
      </c>
    </row>
    <row r="83" spans="1:18">
      <c r="A83" s="1903" t="s">
        <v>1926</v>
      </c>
      <c r="B83" s="1904"/>
      <c r="C83" s="1904"/>
      <c r="D83" s="1904"/>
      <c r="E83" s="1904"/>
      <c r="F83" s="1904"/>
      <c r="G83" s="1904"/>
      <c r="H83" s="1904"/>
      <c r="I83" s="1904"/>
      <c r="J83" s="1904"/>
      <c r="K83" s="3349"/>
      <c r="L83" s="1904"/>
      <c r="M83" s="1904"/>
      <c r="N83" s="1904"/>
      <c r="O83" s="1669" t="s">
        <v>2087</v>
      </c>
      <c r="P83" s="1669" t="s">
        <v>2088</v>
      </c>
      <c r="R83" s="1669">
        <v>1369.3409999999999</v>
      </c>
    </row>
    <row r="84" spans="1:18" ht="46.2" customHeight="1">
      <c r="A84" s="1715" t="s">
        <v>218</v>
      </c>
      <c r="B84" s="1739" t="s">
        <v>1927</v>
      </c>
      <c r="C84" s="1880" t="s">
        <v>238</v>
      </c>
      <c r="D84" s="2625">
        <v>11020.360000000002</v>
      </c>
      <c r="E84" s="2625">
        <v>28605.59</v>
      </c>
      <c r="F84" s="2625">
        <v>26852.428218389832</v>
      </c>
      <c r="G84" s="2863">
        <v>10641.269479999999</v>
      </c>
      <c r="H84" s="2863">
        <v>10993.381278505994</v>
      </c>
      <c r="I84" s="2863">
        <v>15358.655400000001</v>
      </c>
      <c r="J84" s="2863">
        <v>9858.9152900000008</v>
      </c>
      <c r="K84" s="3350">
        <v>33640.075558737677</v>
      </c>
      <c r="L84" s="3345">
        <v>26798.085917154727</v>
      </c>
      <c r="M84" s="2625">
        <v>26242.96686022896</v>
      </c>
      <c r="N84" s="2625">
        <v>25706.008108370355</v>
      </c>
      <c r="P84" s="1669">
        <v>25500.366122245425</v>
      </c>
      <c r="Q84" s="3037">
        <v>31004.849992245425</v>
      </c>
      <c r="R84" s="3688">
        <v>1369.3409999999999</v>
      </c>
    </row>
    <row r="86" spans="1:18" s="2143" customFormat="1" ht="30" customHeight="1">
      <c r="A86" s="2867" t="s">
        <v>226</v>
      </c>
      <c r="B86" s="2868" t="s">
        <v>2079</v>
      </c>
      <c r="C86" s="3343" t="s">
        <v>238</v>
      </c>
      <c r="D86" s="2625">
        <v>3517.33</v>
      </c>
      <c r="E86" s="2625"/>
      <c r="F86" s="2625"/>
      <c r="G86" s="2625">
        <v>3131.52</v>
      </c>
      <c r="H86" s="3741">
        <v>3863.8</v>
      </c>
      <c r="I86" s="3741">
        <v>4318.63</v>
      </c>
      <c r="J86" s="3741">
        <v>3889.76</v>
      </c>
      <c r="K86" s="3741">
        <v>4806.2425218834042</v>
      </c>
      <c r="L86" s="2625">
        <v>4950.4297975399068</v>
      </c>
      <c r="M86" s="2625">
        <v>5098.9426914661044</v>
      </c>
      <c r="N86" s="2625">
        <v>5251.9109722100875</v>
      </c>
      <c r="O86" s="3716"/>
      <c r="Q86" s="2143">
        <v>4790.0801664674182</v>
      </c>
      <c r="R86" s="3716">
        <v>16.162355415985985</v>
      </c>
    </row>
    <row r="87" spans="1:18" ht="41.4" customHeight="1">
      <c r="A87" s="1762"/>
      <c r="B87" s="1881"/>
      <c r="C87" s="1882"/>
      <c r="D87" s="1883"/>
      <c r="E87" s="1883"/>
      <c r="F87" s="1883"/>
      <c r="G87" s="1883"/>
      <c r="H87" s="1883"/>
      <c r="I87" s="1883"/>
      <c r="J87" s="1883"/>
      <c r="K87" s="1883"/>
      <c r="L87" s="1883"/>
      <c r="M87" s="1883"/>
      <c r="N87" s="1883"/>
    </row>
    <row r="88" spans="1:18" s="1905" customFormat="1" ht="15">
      <c r="A88" s="1905" t="s">
        <v>1266</v>
      </c>
      <c r="Q88" s="2926">
        <v>38262.014160621082</v>
      </c>
    </row>
    <row r="89" spans="1:18" ht="15.6">
      <c r="A89" s="1905" t="s">
        <v>1304</v>
      </c>
      <c r="B89" s="1884"/>
      <c r="C89" s="1884"/>
      <c r="D89" s="1884"/>
      <c r="K89" s="3376" t="s">
        <v>2876</v>
      </c>
      <c r="L89" s="2876"/>
      <c r="M89" s="2876"/>
      <c r="N89" s="2876"/>
      <c r="R89" s="1669">
        <v>1667.5000000000005</v>
      </c>
    </row>
    <row r="90" spans="1:18">
      <c r="A90" s="1760"/>
      <c r="B90" s="3963"/>
      <c r="C90" s="3963"/>
      <c r="D90" s="3963"/>
    </row>
    <row r="91" spans="1:18">
      <c r="A91" s="1884"/>
      <c r="B91" s="1885"/>
      <c r="C91" s="1885"/>
      <c r="D91" s="1885"/>
    </row>
    <row r="92" spans="1:18">
      <c r="A92" s="1884"/>
      <c r="B92" s="3963"/>
      <c r="C92" s="3963"/>
      <c r="D92" s="3963"/>
    </row>
    <row r="93" spans="1:18">
      <c r="B93" s="3963"/>
      <c r="C93" s="3963"/>
      <c r="D93" s="3963"/>
    </row>
    <row r="101" spans="2:2">
      <c r="B101" s="1711"/>
    </row>
  </sheetData>
  <mergeCells count="7">
    <mergeCell ref="O59:T64"/>
    <mergeCell ref="B93:D93"/>
    <mergeCell ref="A3:C3"/>
    <mergeCell ref="A20:C20"/>
    <mergeCell ref="A49:C49"/>
    <mergeCell ref="B90:D90"/>
    <mergeCell ref="B92:D92"/>
  </mergeCells>
  <dataValidations count="1">
    <dataValidation type="decimal" allowBlank="1" showInputMessage="1" showErrorMessage="1" errorTitle="Внимание" error="Допускается ввод только действительных чисел!" sqref="E13:E18 D11:E11 D7:E9 F8:F9 K8:N8 G7:J9 G11:J11">
      <formula1>-9.99999999999999E+23</formula1>
      <formula2>9.99999999999999E+23</formula2>
    </dataValidation>
  </dataValidations>
  <printOptions horizontalCentered="1"/>
  <pageMargins left="0.27559055118110237" right="0.27559055118110237" top="0.78740157480314965" bottom="0.11811023622047245" header="0.31496062992125984" footer="3.937007874015748E-2"/>
  <pageSetup paperSize="9" scale="64" orientation="landscape" horizontalDpi="300" verticalDpi="300" r:id="rId1"/>
  <headerFooter>
    <oddFooter>&amp;R&amp;P</oddFooter>
  </headerFooter>
  <rowBreaks count="1" manualBreakCount="1">
    <brk id="48" max="13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4">
    <tabColor rgb="FFCCFF33"/>
  </sheetPr>
  <dimension ref="A1:AC102"/>
  <sheetViews>
    <sheetView topLeftCell="F1" zoomScaleSheetLayoutView="100" workbookViewId="0">
      <pane ySplit="7" topLeftCell="A31" activePane="bottomLeft" state="frozen"/>
      <selection pane="bottomLeft" activeCell="A3" sqref="A3"/>
    </sheetView>
  </sheetViews>
  <sheetFormatPr defaultColWidth="9.109375" defaultRowHeight="13.2"/>
  <cols>
    <col min="1" max="1" width="3" style="2173" customWidth="1"/>
    <col min="2" max="2" width="23.33203125" style="2173" customWidth="1"/>
    <col min="3" max="3" width="3.88671875" style="2201" customWidth="1"/>
    <col min="4" max="4" width="6.33203125" style="2173" customWidth="1"/>
    <col min="5" max="5" width="5.33203125" style="2173" customWidth="1"/>
    <col min="6" max="6" width="8.44140625" style="2173" customWidth="1"/>
    <col min="7" max="7" width="8.6640625" style="2173" customWidth="1"/>
    <col min="8" max="8" width="7.44140625" style="2173" customWidth="1"/>
    <col min="9" max="9" width="6.44140625" style="2173" customWidth="1"/>
    <col min="10" max="10" width="6.33203125" style="2173" customWidth="1"/>
    <col min="11" max="11" width="8.5546875" style="2173" customWidth="1"/>
    <col min="12" max="12" width="7.88671875" style="2173" customWidth="1"/>
    <col min="13" max="13" width="6.6640625" style="2173" customWidth="1"/>
    <col min="14" max="14" width="6.5546875" style="2173" customWidth="1"/>
    <col min="15" max="15" width="7" style="2173" customWidth="1"/>
    <col min="16" max="16" width="8.5546875" style="2173" customWidth="1"/>
    <col min="17" max="17" width="6.5546875" style="2173" customWidth="1"/>
    <col min="18" max="18" width="7" style="2173" customWidth="1"/>
    <col min="19" max="19" width="9.109375" style="2215" customWidth="1"/>
    <col min="20" max="20" width="8.44140625" style="2215" customWidth="1"/>
    <col min="21" max="21" width="9.109375" style="2215" customWidth="1"/>
    <col min="22" max="22" width="9.88671875" style="2886" customWidth="1"/>
    <col min="23" max="23" width="8.5546875" style="2215" customWidth="1"/>
    <col min="24" max="25" width="9" style="2215" customWidth="1"/>
    <col min="26" max="26" width="8.6640625" style="2215" customWidth="1"/>
    <col min="27" max="27" width="11.88671875" style="2173" bestFit="1" customWidth="1"/>
    <col min="28" max="28" width="9.109375" style="2173"/>
    <col min="29" max="29" width="10" style="2173" bestFit="1" customWidth="1"/>
    <col min="30" max="16384" width="9.109375" style="2173"/>
  </cols>
  <sheetData>
    <row r="1" spans="1:29" ht="21" customHeight="1">
      <c r="A1" s="1109" t="s">
        <v>2258</v>
      </c>
      <c r="B1" s="2174"/>
      <c r="C1" s="2198"/>
      <c r="D1" s="2174"/>
      <c r="E1" s="1116"/>
      <c r="F1" s="2175"/>
      <c r="G1" s="2175"/>
      <c r="H1" s="2175"/>
      <c r="I1" s="2175"/>
      <c r="J1" s="2175"/>
      <c r="K1" s="2175"/>
      <c r="L1" s="2175"/>
      <c r="M1" s="2175"/>
      <c r="N1" s="2175"/>
      <c r="O1" s="2175"/>
      <c r="P1" s="2175"/>
      <c r="Q1" s="2175"/>
      <c r="R1" s="2175"/>
      <c r="S1" s="2209"/>
      <c r="T1" s="2209"/>
      <c r="U1" s="2209"/>
      <c r="V1" s="2881"/>
      <c r="W1" s="2209"/>
      <c r="X1" s="2209"/>
      <c r="Y1" s="2209"/>
      <c r="Z1" s="2209"/>
    </row>
    <row r="2" spans="1:29" s="2176" customFormat="1" ht="21" customHeight="1">
      <c r="A2" s="1109" t="s">
        <v>2871</v>
      </c>
      <c r="B2" s="2174"/>
      <c r="C2" s="2198"/>
      <c r="D2" s="2174"/>
      <c r="E2" s="2181"/>
      <c r="F2" s="2177"/>
      <c r="G2" s="2177"/>
      <c r="H2" s="2177"/>
      <c r="I2" s="2177"/>
      <c r="J2" s="2177"/>
      <c r="K2" s="2177"/>
      <c r="L2" s="2177"/>
      <c r="M2" s="2177"/>
      <c r="N2" s="2177"/>
      <c r="O2" s="2177"/>
      <c r="P2" s="2177"/>
      <c r="Q2" s="2177"/>
      <c r="R2" s="2177"/>
      <c r="S2" s="2210"/>
      <c r="T2" s="2210"/>
      <c r="U2" s="2210"/>
      <c r="V2" s="2881"/>
      <c r="W2" s="2210"/>
      <c r="X2" s="2210"/>
      <c r="Y2" s="2210"/>
      <c r="Z2" s="2210"/>
    </row>
    <row r="3" spans="1:29" ht="21" customHeight="1">
      <c r="A3" s="2205" t="s">
        <v>2826</v>
      </c>
      <c r="B3" s="1116"/>
      <c r="C3" s="2199"/>
      <c r="D3" s="2175"/>
      <c r="E3" s="2175"/>
      <c r="F3" s="2175"/>
      <c r="G3" s="2175"/>
      <c r="H3" s="2175"/>
      <c r="I3" s="2175"/>
      <c r="J3" s="2175"/>
      <c r="K3" s="2175"/>
      <c r="L3" s="2175"/>
      <c r="M3" s="2175"/>
      <c r="N3" s="2175"/>
      <c r="O3" s="2175"/>
      <c r="P3" s="2175"/>
      <c r="Q3" s="2175"/>
      <c r="R3" s="2175"/>
      <c r="S3" s="2209"/>
      <c r="T3" s="2209"/>
      <c r="U3" s="2209"/>
      <c r="V3" s="2881"/>
      <c r="W3" s="2209"/>
      <c r="X3" s="2209"/>
      <c r="Y3" s="2209"/>
      <c r="Z3" s="2209"/>
    </row>
    <row r="4" spans="1:29" ht="15.75" customHeight="1">
      <c r="A4" s="2175"/>
      <c r="B4" s="2178"/>
      <c r="C4" s="2199"/>
      <c r="D4" s="2175"/>
      <c r="E4" s="2175"/>
      <c r="F4" s="2175"/>
      <c r="G4" s="2175"/>
      <c r="H4" s="2175"/>
      <c r="I4" s="2175"/>
      <c r="J4" s="2175"/>
      <c r="K4" s="2175"/>
      <c r="L4" s="2175"/>
      <c r="M4" s="2175"/>
      <c r="N4" s="2175"/>
      <c r="O4" s="2175"/>
      <c r="P4" s="2175"/>
      <c r="Q4" s="2175"/>
      <c r="R4" s="2175"/>
      <c r="S4" s="2209"/>
      <c r="T4" s="2209"/>
      <c r="U4" s="2209"/>
      <c r="V4" s="2882"/>
      <c r="W4" s="2209"/>
      <c r="X4" s="2209"/>
      <c r="Y4" s="2209"/>
      <c r="Z4" s="2211"/>
    </row>
    <row r="5" spans="1:29" s="2179" customFormat="1" ht="16.5" customHeight="1">
      <c r="A5" s="4172" t="s">
        <v>1514</v>
      </c>
      <c r="B5" s="4172" t="s">
        <v>2259</v>
      </c>
      <c r="C5" s="4177" t="s">
        <v>2273</v>
      </c>
      <c r="D5" s="4177" t="s">
        <v>2260</v>
      </c>
      <c r="E5" s="4172" t="s">
        <v>2331</v>
      </c>
      <c r="F5" s="4182" t="s">
        <v>2831</v>
      </c>
      <c r="G5" s="4183"/>
      <c r="H5" s="4183"/>
      <c r="I5" s="4183"/>
      <c r="J5" s="4183"/>
      <c r="K5" s="4183"/>
      <c r="L5" s="4183"/>
      <c r="M5" s="4183"/>
      <c r="N5" s="4183"/>
      <c r="O5" s="4183"/>
      <c r="P5" s="4183"/>
      <c r="Q5" s="4183"/>
      <c r="R5" s="4184"/>
      <c r="S5" s="2212" t="s">
        <v>2321</v>
      </c>
      <c r="T5" s="2212"/>
      <c r="U5" s="2212"/>
      <c r="V5" s="2883"/>
      <c r="W5" s="2212" t="s">
        <v>2832</v>
      </c>
      <c r="X5" s="2212"/>
      <c r="Y5" s="2212"/>
      <c r="Z5" s="2213"/>
    </row>
    <row r="6" spans="1:29" s="2179" customFormat="1" ht="16.5" customHeight="1">
      <c r="A6" s="4176"/>
      <c r="B6" s="4176"/>
      <c r="C6" s="4178"/>
      <c r="D6" s="4178"/>
      <c r="E6" s="4176"/>
      <c r="F6" s="4172" t="s">
        <v>2261</v>
      </c>
      <c r="G6" s="4172" t="s">
        <v>2263</v>
      </c>
      <c r="H6" s="2183" t="s">
        <v>2262</v>
      </c>
      <c r="I6" s="2183"/>
      <c r="J6" s="2183"/>
      <c r="K6" s="2183"/>
      <c r="L6" s="2183"/>
      <c r="M6" s="2183"/>
      <c r="N6" s="2183"/>
      <c r="O6" s="2183"/>
      <c r="P6" s="2183"/>
      <c r="Q6" s="2183"/>
      <c r="R6" s="2183"/>
      <c r="S6" s="4172" t="s">
        <v>2261</v>
      </c>
      <c r="T6" s="4174" t="s">
        <v>2322</v>
      </c>
      <c r="U6" s="4174" t="s">
        <v>2323</v>
      </c>
      <c r="V6" s="4180" t="s">
        <v>2266</v>
      </c>
      <c r="W6" s="4172" t="s">
        <v>2261</v>
      </c>
      <c r="X6" s="4174" t="s">
        <v>2322</v>
      </c>
      <c r="Y6" s="4174" t="s">
        <v>2323</v>
      </c>
      <c r="Z6" s="4174" t="s">
        <v>2324</v>
      </c>
    </row>
    <row r="7" spans="1:29" s="2179" customFormat="1" ht="84" customHeight="1">
      <c r="A7" s="4176"/>
      <c r="B7" s="4176"/>
      <c r="C7" s="4179"/>
      <c r="D7" s="4179"/>
      <c r="E7" s="4176"/>
      <c r="F7" s="4173"/>
      <c r="G7" s="4173"/>
      <c r="H7" s="2182" t="s">
        <v>2264</v>
      </c>
      <c r="I7" s="2182" t="s">
        <v>2327</v>
      </c>
      <c r="J7" s="2182" t="s">
        <v>2332</v>
      </c>
      <c r="K7" s="2182" t="s">
        <v>2265</v>
      </c>
      <c r="L7" s="2182" t="s">
        <v>2267</v>
      </c>
      <c r="M7" s="2182" t="s">
        <v>2333</v>
      </c>
      <c r="N7" s="2182" t="s">
        <v>2328</v>
      </c>
      <c r="O7" s="2182" t="s">
        <v>2268</v>
      </c>
      <c r="P7" s="2182" t="s">
        <v>2269</v>
      </c>
      <c r="Q7" s="2206" t="s">
        <v>2270</v>
      </c>
      <c r="R7" s="2206" t="s">
        <v>2271</v>
      </c>
      <c r="S7" s="4173"/>
      <c r="T7" s="4175"/>
      <c r="U7" s="4175"/>
      <c r="V7" s="4181"/>
      <c r="W7" s="4173"/>
      <c r="X7" s="4175"/>
      <c r="Y7" s="4175"/>
      <c r="Z7" s="4175"/>
      <c r="AA7" s="2184"/>
    </row>
    <row r="8" spans="1:29" s="2190" customFormat="1" ht="15.75" customHeight="1">
      <c r="A8" s="2185" t="s">
        <v>2272</v>
      </c>
      <c r="B8" s="2186"/>
      <c r="C8" s="2200"/>
      <c r="D8" s="2187"/>
      <c r="E8" s="2187"/>
      <c r="F8" s="2188"/>
      <c r="G8" s="2188"/>
      <c r="H8" s="2188"/>
      <c r="I8" s="2188"/>
      <c r="J8" s="2188"/>
      <c r="K8" s="2188"/>
      <c r="L8" s="2188"/>
      <c r="M8" s="2188"/>
      <c r="N8" s="2188"/>
      <c r="O8" s="2188"/>
      <c r="P8" s="2208"/>
      <c r="Q8" s="2208"/>
      <c r="R8" s="2208"/>
      <c r="S8" s="2208"/>
      <c r="T8" s="2208"/>
      <c r="U8" s="2208"/>
      <c r="V8" s="2884"/>
      <c r="W8" s="2208"/>
      <c r="X8" s="2208"/>
      <c r="Y8" s="2208"/>
      <c r="Z8" s="2208"/>
      <c r="AA8" s="2189"/>
      <c r="AC8" s="2191"/>
    </row>
    <row r="9" spans="1:29" s="2196" customFormat="1" ht="27.6">
      <c r="A9" s="2887">
        <v>1</v>
      </c>
      <c r="B9" s="2193" t="s">
        <v>2329</v>
      </c>
      <c r="C9" s="2194">
        <v>3</v>
      </c>
      <c r="D9" s="2194" t="s">
        <v>2274</v>
      </c>
      <c r="E9" s="2905">
        <v>2</v>
      </c>
      <c r="F9" s="2202">
        <v>16780</v>
      </c>
      <c r="G9" s="2203">
        <f>F9*20%</f>
        <v>3356</v>
      </c>
      <c r="H9" s="2203"/>
      <c r="I9" s="2203">
        <v>336</v>
      </c>
      <c r="J9" s="2203"/>
      <c r="K9" s="2203">
        <v>2517</v>
      </c>
      <c r="L9" s="2203">
        <v>6050</v>
      </c>
      <c r="M9" s="2203"/>
      <c r="N9" s="2203">
        <v>1650</v>
      </c>
      <c r="O9" s="2203"/>
      <c r="P9" s="2203"/>
      <c r="Q9" s="2203"/>
      <c r="R9" s="2203"/>
      <c r="S9" s="2214">
        <f>E9*F9</f>
        <v>33560</v>
      </c>
      <c r="T9" s="2214">
        <f>E9*G9</f>
        <v>6712</v>
      </c>
      <c r="U9" s="2214">
        <f>SUM(H9:R9)*E9</f>
        <v>21106</v>
      </c>
      <c r="V9" s="2214">
        <f>SUM(F9:R9)*E9</f>
        <v>61378</v>
      </c>
      <c r="W9" s="2216">
        <f t="shared" ref="W9:Y10" si="0">S9/1000*12</f>
        <v>402.72</v>
      </c>
      <c r="X9" s="2216">
        <f t="shared" si="0"/>
        <v>80.543999999999997</v>
      </c>
      <c r="Y9" s="2216">
        <f t="shared" si="0"/>
        <v>253.27200000000002</v>
      </c>
      <c r="Z9" s="2216">
        <f>SUM(W9:Y9)</f>
        <v>736.53600000000006</v>
      </c>
      <c r="AA9" s="2195">
        <f>(SUM(H9:R9))*E9/1000*12</f>
        <v>253.27200000000002</v>
      </c>
      <c r="AB9" s="2207">
        <f>SUM(S9:U9)</f>
        <v>61378</v>
      </c>
      <c r="AC9" s="2197"/>
    </row>
    <row r="10" spans="1:29" s="2196" customFormat="1" ht="27.6">
      <c r="A10" s="2192">
        <f>A9+1</f>
        <v>2</v>
      </c>
      <c r="B10" s="2193" t="s">
        <v>2329</v>
      </c>
      <c r="C10" s="2194">
        <v>4</v>
      </c>
      <c r="D10" s="2194" t="s">
        <v>2274</v>
      </c>
      <c r="E10" s="2905">
        <v>8</v>
      </c>
      <c r="F10" s="2202">
        <v>19008</v>
      </c>
      <c r="G10" s="2203">
        <f t="shared" ref="G10:G18" si="1">F10*20%</f>
        <v>3801.6000000000004</v>
      </c>
      <c r="H10" s="2203">
        <v>2500</v>
      </c>
      <c r="I10" s="2203">
        <v>100</v>
      </c>
      <c r="J10" s="2203"/>
      <c r="K10" s="2203">
        <v>2851</v>
      </c>
      <c r="L10" s="2203">
        <v>6875</v>
      </c>
      <c r="M10" s="2203"/>
      <c r="N10" s="2203">
        <v>1650</v>
      </c>
      <c r="O10" s="2203"/>
      <c r="P10" s="2203"/>
      <c r="Q10" s="2203"/>
      <c r="R10" s="2203"/>
      <c r="S10" s="2214">
        <f>E10*F10</f>
        <v>152064</v>
      </c>
      <c r="T10" s="2214">
        <f>E10*G10</f>
        <v>30412.800000000003</v>
      </c>
      <c r="U10" s="2214">
        <f>SUM(H10:R10)*E10</f>
        <v>111808</v>
      </c>
      <c r="V10" s="2214">
        <f>SUM(F10:R10)*E10+1</f>
        <v>294285.8</v>
      </c>
      <c r="W10" s="2216">
        <f t="shared" si="0"/>
        <v>1824.768</v>
      </c>
      <c r="X10" s="2216">
        <f t="shared" si="0"/>
        <v>364.95360000000005</v>
      </c>
      <c r="Y10" s="2216">
        <f t="shared" si="0"/>
        <v>1341.6960000000001</v>
      </c>
      <c r="Z10" s="2216">
        <f>SUM(W10:Y10)</f>
        <v>3531.4175999999998</v>
      </c>
      <c r="AA10" s="2195">
        <f>(SUM(H10:R10))*E10/1000*12</f>
        <v>1341.6960000000001</v>
      </c>
      <c r="AB10" s="2207">
        <f t="shared" ref="AB10:AB40" si="2">SUM(S10:U10)</f>
        <v>294284.79999999999</v>
      </c>
      <c r="AC10" s="2197"/>
    </row>
    <row r="11" spans="1:29" s="2196" customFormat="1" ht="27.6">
      <c r="A11" s="2192">
        <f t="shared" ref="A11:A29" si="3">A10+1</f>
        <v>3</v>
      </c>
      <c r="B11" s="2193" t="s">
        <v>2329</v>
      </c>
      <c r="C11" s="2194">
        <v>5</v>
      </c>
      <c r="D11" s="2194" t="s">
        <v>2274</v>
      </c>
      <c r="E11" s="2905">
        <v>28</v>
      </c>
      <c r="F11" s="2202">
        <v>21499</v>
      </c>
      <c r="G11" s="2203">
        <f t="shared" si="1"/>
        <v>4299.8</v>
      </c>
      <c r="H11" s="2203">
        <v>1500</v>
      </c>
      <c r="I11" s="2203">
        <v>150</v>
      </c>
      <c r="J11" s="2203"/>
      <c r="K11" s="2203">
        <v>3225</v>
      </c>
      <c r="L11" s="2203">
        <v>7777</v>
      </c>
      <c r="M11" s="2203">
        <v>200</v>
      </c>
      <c r="N11" s="2203">
        <v>2420</v>
      </c>
      <c r="O11" s="2203">
        <v>2150</v>
      </c>
      <c r="P11" s="2203"/>
      <c r="Q11" s="2203"/>
      <c r="R11" s="2203"/>
      <c r="S11" s="2214">
        <f t="shared" ref="S11:S33" si="4">E11*F11</f>
        <v>601972</v>
      </c>
      <c r="T11" s="2214">
        <f t="shared" ref="T11:T33" si="5">E11*G11</f>
        <v>120394.40000000001</v>
      </c>
      <c r="U11" s="2214">
        <f t="shared" ref="U11:U33" si="6">SUM(H11:R11)*E11</f>
        <v>487816</v>
      </c>
      <c r="V11" s="2214">
        <f>SUM(F11:R11)*E11-7</f>
        <v>1210175.4000000001</v>
      </c>
      <c r="W11" s="2216">
        <f t="shared" ref="W11:W33" si="7">S11/1000*12</f>
        <v>7223.6639999999998</v>
      </c>
      <c r="X11" s="2216">
        <f t="shared" ref="X11:X33" si="8">T11/1000*12</f>
        <v>1444.7328</v>
      </c>
      <c r="Y11" s="2216">
        <f t="shared" ref="Y11:Y33" si="9">U11/1000*12</f>
        <v>5853.7919999999995</v>
      </c>
      <c r="Z11" s="2216">
        <f t="shared" ref="Z11:Z33" si="10">SUM(W11:Y11)</f>
        <v>14522.1888</v>
      </c>
      <c r="AA11" s="2195">
        <f t="shared" ref="AA11:AA33" si="11">(SUM(H11:R11))*E11/1000*12</f>
        <v>5853.7919999999995</v>
      </c>
      <c r="AB11" s="2207">
        <f t="shared" si="2"/>
        <v>1210182.3999999999</v>
      </c>
      <c r="AC11" s="2197"/>
    </row>
    <row r="12" spans="1:29" s="2196" customFormat="1" ht="27.6">
      <c r="A12" s="2192">
        <f t="shared" si="3"/>
        <v>4</v>
      </c>
      <c r="B12" s="2193" t="s">
        <v>2329</v>
      </c>
      <c r="C12" s="2194">
        <v>6</v>
      </c>
      <c r="D12" s="2194" t="s">
        <v>2274</v>
      </c>
      <c r="E12" s="2194">
        <v>4</v>
      </c>
      <c r="F12" s="2202">
        <v>24252</v>
      </c>
      <c r="G12" s="2203">
        <f t="shared" si="1"/>
        <v>4850.4000000000005</v>
      </c>
      <c r="H12" s="2203">
        <v>3500</v>
      </c>
      <c r="I12" s="2203"/>
      <c r="J12" s="2203"/>
      <c r="K12" s="2203">
        <v>3638</v>
      </c>
      <c r="L12" s="2203">
        <v>8778</v>
      </c>
      <c r="M12" s="2203">
        <v>2394</v>
      </c>
      <c r="N12" s="2203">
        <v>2750</v>
      </c>
      <c r="O12" s="2203">
        <v>3638</v>
      </c>
      <c r="P12" s="2203"/>
      <c r="Q12" s="2203"/>
      <c r="R12" s="2203"/>
      <c r="S12" s="2214">
        <f t="shared" si="4"/>
        <v>97008</v>
      </c>
      <c r="T12" s="2214">
        <f t="shared" si="5"/>
        <v>19401.600000000002</v>
      </c>
      <c r="U12" s="2214">
        <f t="shared" si="6"/>
        <v>98792</v>
      </c>
      <c r="V12" s="2214">
        <f>SUM(F12:R12)*E12-2</f>
        <v>215199.6</v>
      </c>
      <c r="W12" s="2216">
        <f t="shared" si="7"/>
        <v>1164.096</v>
      </c>
      <c r="X12" s="2216">
        <f t="shared" si="8"/>
        <v>232.81920000000002</v>
      </c>
      <c r="Y12" s="2216">
        <f t="shared" si="9"/>
        <v>1185.5039999999999</v>
      </c>
      <c r="Z12" s="2216">
        <f t="shared" si="10"/>
        <v>2582.4191999999998</v>
      </c>
      <c r="AA12" s="2195">
        <f t="shared" si="11"/>
        <v>1185.5039999999999</v>
      </c>
      <c r="AB12" s="2207">
        <f t="shared" si="2"/>
        <v>215201.6</v>
      </c>
    </row>
    <row r="13" spans="1:29" s="2196" customFormat="1" ht="13.8" hidden="1">
      <c r="A13" s="2192">
        <f t="shared" si="3"/>
        <v>5</v>
      </c>
      <c r="B13" s="2193" t="s">
        <v>2330</v>
      </c>
      <c r="C13" s="2194">
        <v>3</v>
      </c>
      <c r="D13" s="2194" t="s">
        <v>2275</v>
      </c>
      <c r="E13" s="2194"/>
      <c r="F13" s="2202"/>
      <c r="G13" s="2203">
        <f t="shared" si="1"/>
        <v>0</v>
      </c>
      <c r="H13" s="2203"/>
      <c r="I13" s="2203"/>
      <c r="J13" s="2203"/>
      <c r="K13" s="2203"/>
      <c r="L13" s="2203"/>
      <c r="M13" s="2203"/>
      <c r="N13" s="2203"/>
      <c r="O13" s="2203"/>
      <c r="P13" s="2203"/>
      <c r="Q13" s="2203"/>
      <c r="R13" s="2203"/>
      <c r="S13" s="2214">
        <f t="shared" si="4"/>
        <v>0</v>
      </c>
      <c r="T13" s="2214">
        <f t="shared" si="5"/>
        <v>0</v>
      </c>
      <c r="U13" s="2214">
        <f t="shared" si="6"/>
        <v>0</v>
      </c>
      <c r="V13" s="2214">
        <f t="shared" ref="V13:V32" si="12">SUM(F13:R13)*E13</f>
        <v>0</v>
      </c>
      <c r="W13" s="2216">
        <f t="shared" si="7"/>
        <v>0</v>
      </c>
      <c r="X13" s="2216">
        <f t="shared" si="8"/>
        <v>0</v>
      </c>
      <c r="Y13" s="2216">
        <f t="shared" si="9"/>
        <v>0</v>
      </c>
      <c r="Z13" s="2216">
        <f t="shared" si="10"/>
        <v>0</v>
      </c>
      <c r="AA13" s="2195">
        <f t="shared" si="11"/>
        <v>0</v>
      </c>
      <c r="AB13" s="2207">
        <f t="shared" si="2"/>
        <v>0</v>
      </c>
      <c r="AC13" s="2197"/>
    </row>
    <row r="14" spans="1:29" s="2196" customFormat="1" ht="13.8">
      <c r="A14" s="2192">
        <v>5</v>
      </c>
      <c r="B14" s="2193" t="s">
        <v>2330</v>
      </c>
      <c r="C14" s="2194">
        <v>4</v>
      </c>
      <c r="D14" s="2194" t="s">
        <v>2275</v>
      </c>
      <c r="E14" s="2905">
        <v>9</v>
      </c>
      <c r="F14" s="2202">
        <v>30412</v>
      </c>
      <c r="G14" s="2203">
        <f t="shared" si="1"/>
        <v>6082.4000000000005</v>
      </c>
      <c r="H14" s="2203"/>
      <c r="I14" s="2203">
        <v>760</v>
      </c>
      <c r="J14" s="2203"/>
      <c r="K14" s="2203">
        <v>3041</v>
      </c>
      <c r="L14" s="2203"/>
      <c r="M14" s="2203"/>
      <c r="N14" s="2203"/>
      <c r="O14" s="2203"/>
      <c r="P14" s="2203"/>
      <c r="Q14" s="2203"/>
      <c r="R14" s="2203"/>
      <c r="S14" s="2214">
        <f t="shared" si="4"/>
        <v>273708</v>
      </c>
      <c r="T14" s="2214">
        <f t="shared" si="5"/>
        <v>54741.600000000006</v>
      </c>
      <c r="U14" s="2214">
        <f t="shared" si="6"/>
        <v>34209</v>
      </c>
      <c r="V14" s="2214">
        <f t="shared" si="12"/>
        <v>362658.60000000003</v>
      </c>
      <c r="W14" s="2216">
        <f t="shared" si="7"/>
        <v>3284.4960000000001</v>
      </c>
      <c r="X14" s="2216">
        <f t="shared" si="8"/>
        <v>656.89920000000006</v>
      </c>
      <c r="Y14" s="2216">
        <f t="shared" si="9"/>
        <v>410.50800000000004</v>
      </c>
      <c r="Z14" s="2216">
        <f t="shared" si="10"/>
        <v>4351.9031999999997</v>
      </c>
      <c r="AA14" s="2195">
        <f t="shared" si="11"/>
        <v>410.50800000000004</v>
      </c>
      <c r="AB14" s="2207">
        <f t="shared" si="2"/>
        <v>362658.6</v>
      </c>
      <c r="AC14" s="2197"/>
    </row>
    <row r="15" spans="1:29" s="2196" customFormat="1" ht="13.8">
      <c r="A15" s="2192">
        <f t="shared" si="3"/>
        <v>6</v>
      </c>
      <c r="B15" s="2193" t="s">
        <v>2330</v>
      </c>
      <c r="C15" s="2194">
        <v>5</v>
      </c>
      <c r="D15" s="2194" t="s">
        <v>2275</v>
      </c>
      <c r="E15" s="2905">
        <v>9</v>
      </c>
      <c r="F15" s="2202">
        <v>36548</v>
      </c>
      <c r="G15" s="2203">
        <f t="shared" si="1"/>
        <v>7309.6</v>
      </c>
      <c r="H15" s="2203"/>
      <c r="I15" s="2203">
        <v>708</v>
      </c>
      <c r="J15" s="2203"/>
      <c r="K15" s="2203">
        <v>3224</v>
      </c>
      <c r="L15" s="2203"/>
      <c r="M15" s="2203"/>
      <c r="N15" s="2203"/>
      <c r="O15" s="2203">
        <v>3655</v>
      </c>
      <c r="P15" s="2203"/>
      <c r="Q15" s="2203"/>
      <c r="R15" s="2203"/>
      <c r="S15" s="2214">
        <f t="shared" si="4"/>
        <v>328932</v>
      </c>
      <c r="T15" s="2214">
        <f t="shared" si="5"/>
        <v>65786.400000000009</v>
      </c>
      <c r="U15" s="2214">
        <f t="shared" si="6"/>
        <v>68283</v>
      </c>
      <c r="V15" s="2214">
        <f>SUM(F15:R15)*E15-1</f>
        <v>463000.39999999997</v>
      </c>
      <c r="W15" s="2216">
        <f t="shared" si="7"/>
        <v>3947.1840000000002</v>
      </c>
      <c r="X15" s="2216">
        <f t="shared" si="8"/>
        <v>789.43680000000018</v>
      </c>
      <c r="Y15" s="2216">
        <f t="shared" si="9"/>
        <v>819.39599999999996</v>
      </c>
      <c r="Z15" s="2216">
        <f t="shared" si="10"/>
        <v>5556.0168000000003</v>
      </c>
      <c r="AA15" s="2195">
        <f t="shared" si="11"/>
        <v>819.39599999999996</v>
      </c>
      <c r="AB15" s="2207">
        <f t="shared" si="2"/>
        <v>463001.4</v>
      </c>
      <c r="AC15" s="2197"/>
    </row>
    <row r="16" spans="1:29" s="2196" customFormat="1" ht="13.8">
      <c r="A16" s="2192">
        <f t="shared" si="3"/>
        <v>7</v>
      </c>
      <c r="B16" s="2193" t="s">
        <v>2329</v>
      </c>
      <c r="C16" s="2194">
        <v>5</v>
      </c>
      <c r="D16" s="2194" t="s">
        <v>2276</v>
      </c>
      <c r="E16" s="2194">
        <v>1</v>
      </c>
      <c r="F16" s="2202">
        <v>21499</v>
      </c>
      <c r="G16" s="2203">
        <f t="shared" si="1"/>
        <v>4299.8</v>
      </c>
      <c r="H16" s="2203"/>
      <c r="I16" s="2203"/>
      <c r="J16" s="2203"/>
      <c r="K16" s="2203">
        <v>3225</v>
      </c>
      <c r="L16" s="2203"/>
      <c r="M16" s="2203"/>
      <c r="N16" s="2203"/>
      <c r="O16" s="2203">
        <v>3225</v>
      </c>
      <c r="P16" s="2203"/>
      <c r="Q16" s="2203"/>
      <c r="R16" s="2203"/>
      <c r="S16" s="2214">
        <f t="shared" si="4"/>
        <v>21499</v>
      </c>
      <c r="T16" s="2214">
        <f t="shared" si="5"/>
        <v>4299.8</v>
      </c>
      <c r="U16" s="2214">
        <f t="shared" si="6"/>
        <v>6450</v>
      </c>
      <c r="V16" s="2214">
        <f t="shared" si="12"/>
        <v>32248.799999999999</v>
      </c>
      <c r="W16" s="2216">
        <f t="shared" si="7"/>
        <v>257.988</v>
      </c>
      <c r="X16" s="2216">
        <f t="shared" si="8"/>
        <v>51.5976</v>
      </c>
      <c r="Y16" s="2216">
        <f t="shared" si="9"/>
        <v>77.400000000000006</v>
      </c>
      <c r="Z16" s="2216">
        <f t="shared" si="10"/>
        <v>386.98559999999998</v>
      </c>
      <c r="AA16" s="2195">
        <f t="shared" si="11"/>
        <v>77.400000000000006</v>
      </c>
      <c r="AB16" s="2207">
        <f t="shared" si="2"/>
        <v>32248.799999999999</v>
      </c>
      <c r="AC16" s="2197"/>
    </row>
    <row r="17" spans="1:29" s="2196" customFormat="1" ht="13.8">
      <c r="A17" s="2192">
        <f t="shared" si="3"/>
        <v>8</v>
      </c>
      <c r="B17" s="2193" t="s">
        <v>2277</v>
      </c>
      <c r="C17" s="2194"/>
      <c r="D17" s="2194"/>
      <c r="E17" s="2194">
        <v>1</v>
      </c>
      <c r="F17" s="2202">
        <v>18182</v>
      </c>
      <c r="G17" s="2203">
        <f t="shared" si="1"/>
        <v>3636.4</v>
      </c>
      <c r="H17" s="2203"/>
      <c r="I17" s="2203">
        <v>727</v>
      </c>
      <c r="J17" s="2203"/>
      <c r="K17" s="2203">
        <v>2727</v>
      </c>
      <c r="L17" s="2203"/>
      <c r="M17" s="2203"/>
      <c r="N17" s="2203"/>
      <c r="O17" s="2203">
        <v>2727</v>
      </c>
      <c r="P17" s="2203">
        <v>4546</v>
      </c>
      <c r="Q17" s="2203"/>
      <c r="R17" s="2203"/>
      <c r="S17" s="2214">
        <f t="shared" si="4"/>
        <v>18182</v>
      </c>
      <c r="T17" s="2214">
        <f t="shared" si="5"/>
        <v>3636.4</v>
      </c>
      <c r="U17" s="2214">
        <f t="shared" si="6"/>
        <v>10727</v>
      </c>
      <c r="V17" s="2214">
        <f t="shared" si="12"/>
        <v>32545.4</v>
      </c>
      <c r="W17" s="2216">
        <f t="shared" si="7"/>
        <v>218.18399999999997</v>
      </c>
      <c r="X17" s="2216">
        <f t="shared" si="8"/>
        <v>43.636800000000001</v>
      </c>
      <c r="Y17" s="2216">
        <f t="shared" si="9"/>
        <v>128.72399999999999</v>
      </c>
      <c r="Z17" s="2216">
        <f t="shared" si="10"/>
        <v>390.54479999999995</v>
      </c>
      <c r="AA17" s="2195">
        <f t="shared" si="11"/>
        <v>128.72399999999999</v>
      </c>
      <c r="AB17" s="2207">
        <f t="shared" si="2"/>
        <v>32545.4</v>
      </c>
      <c r="AC17" s="2197"/>
    </row>
    <row r="18" spans="1:29" s="2196" customFormat="1" ht="13.8" hidden="1">
      <c r="A18" s="2192">
        <f t="shared" si="3"/>
        <v>9</v>
      </c>
      <c r="B18" s="2193" t="s">
        <v>2319</v>
      </c>
      <c r="C18" s="2194"/>
      <c r="D18" s="2194"/>
      <c r="E18" s="2194"/>
      <c r="F18" s="2202"/>
      <c r="G18" s="2203">
        <f t="shared" si="1"/>
        <v>0</v>
      </c>
      <c r="H18" s="2203"/>
      <c r="I18" s="2203"/>
      <c r="J18" s="2203"/>
      <c r="K18" s="2203"/>
      <c r="L18" s="2203"/>
      <c r="M18" s="2203"/>
      <c r="N18" s="2203"/>
      <c r="O18" s="2203"/>
      <c r="P18" s="2203"/>
      <c r="Q18" s="2203"/>
      <c r="R18" s="2203"/>
      <c r="S18" s="2214">
        <f>E18*F18</f>
        <v>0</v>
      </c>
      <c r="T18" s="2214">
        <f>E18*G18</f>
        <v>0</v>
      </c>
      <c r="U18" s="2214">
        <f>SUM(H18:R18)*E18</f>
        <v>0</v>
      </c>
      <c r="V18" s="2214">
        <f>SUM(F18:R18)*E18</f>
        <v>0</v>
      </c>
      <c r="W18" s="2216">
        <f>S18/1000*12</f>
        <v>0</v>
      </c>
      <c r="X18" s="2216">
        <f>T18/1000*12</f>
        <v>0</v>
      </c>
      <c r="Y18" s="2216">
        <f>U18/1000*12</f>
        <v>0</v>
      </c>
      <c r="Z18" s="2216">
        <f>SUM(W18:Y18)</f>
        <v>0</v>
      </c>
      <c r="AA18" s="2195">
        <f>(SUM(H18:R18))*E18/1000*12</f>
        <v>0</v>
      </c>
      <c r="AB18" s="2207">
        <f>SUM(S18:U18)</f>
        <v>0</v>
      </c>
    </row>
    <row r="19" spans="1:29" s="2196" customFormat="1" ht="27.6">
      <c r="A19" s="2192">
        <v>9</v>
      </c>
      <c r="B19" s="2193" t="s">
        <v>2278</v>
      </c>
      <c r="C19" s="2194"/>
      <c r="D19" s="2194" t="s">
        <v>2279</v>
      </c>
      <c r="E19" s="2194">
        <v>3</v>
      </c>
      <c r="F19" s="2202">
        <v>26611</v>
      </c>
      <c r="G19" s="2203">
        <f>F19*20%</f>
        <v>5322.2000000000007</v>
      </c>
      <c r="H19" s="2203"/>
      <c r="I19" s="2203">
        <v>675</v>
      </c>
      <c r="J19" s="2203"/>
      <c r="K19" s="2203">
        <v>3992</v>
      </c>
      <c r="L19" s="2203"/>
      <c r="M19" s="2203"/>
      <c r="N19" s="2203"/>
      <c r="O19" s="2203"/>
      <c r="P19" s="2203"/>
      <c r="Q19" s="2203"/>
      <c r="R19" s="2203"/>
      <c r="S19" s="2214">
        <f t="shared" si="4"/>
        <v>79833</v>
      </c>
      <c r="T19" s="2214">
        <f t="shared" si="5"/>
        <v>15966.600000000002</v>
      </c>
      <c r="U19" s="2214">
        <f t="shared" si="6"/>
        <v>14001</v>
      </c>
      <c r="V19" s="2214">
        <f t="shared" si="12"/>
        <v>109800.59999999999</v>
      </c>
      <c r="W19" s="2216">
        <f t="shared" si="7"/>
        <v>957.99599999999998</v>
      </c>
      <c r="X19" s="2216">
        <f t="shared" si="8"/>
        <v>191.59920000000002</v>
      </c>
      <c r="Y19" s="2216">
        <f t="shared" si="9"/>
        <v>168.012</v>
      </c>
      <c r="Z19" s="2216">
        <f t="shared" si="10"/>
        <v>1317.6071999999999</v>
      </c>
      <c r="AA19" s="2195">
        <f t="shared" si="11"/>
        <v>168.012</v>
      </c>
      <c r="AB19" s="2207">
        <f t="shared" si="2"/>
        <v>109800.6</v>
      </c>
    </row>
    <row r="20" spans="1:29" s="2196" customFormat="1" ht="13.8">
      <c r="A20" s="2192">
        <f t="shared" si="3"/>
        <v>10</v>
      </c>
      <c r="B20" s="2193" t="s">
        <v>2329</v>
      </c>
      <c r="C20" s="2194">
        <v>4</v>
      </c>
      <c r="D20" s="2194" t="s">
        <v>2279</v>
      </c>
      <c r="E20" s="2194">
        <v>1</v>
      </c>
      <c r="F20" s="2202">
        <v>30413</v>
      </c>
      <c r="G20" s="2203">
        <f>F20*10%</f>
        <v>3041.3</v>
      </c>
      <c r="H20" s="2203"/>
      <c r="I20" s="2203">
        <v>760</v>
      </c>
      <c r="J20" s="2203"/>
      <c r="K20" s="2203">
        <v>4562</v>
      </c>
      <c r="L20" s="2203"/>
      <c r="M20" s="2203"/>
      <c r="N20" s="2203"/>
      <c r="O20" s="2203">
        <v>4562</v>
      </c>
      <c r="P20" s="2203"/>
      <c r="Q20" s="2203"/>
      <c r="R20" s="2203"/>
      <c r="S20" s="2214">
        <f t="shared" si="4"/>
        <v>30413</v>
      </c>
      <c r="T20" s="2214">
        <f t="shared" si="5"/>
        <v>3041.3</v>
      </c>
      <c r="U20" s="2214">
        <f t="shared" si="6"/>
        <v>9884</v>
      </c>
      <c r="V20" s="2214">
        <f>SUM(F20:R20)*E20</f>
        <v>43338.3</v>
      </c>
      <c r="W20" s="2216">
        <f t="shared" si="7"/>
        <v>364.95600000000002</v>
      </c>
      <c r="X20" s="2216">
        <f t="shared" si="8"/>
        <v>36.495600000000003</v>
      </c>
      <c r="Y20" s="2216">
        <f t="shared" si="9"/>
        <v>118.608</v>
      </c>
      <c r="Z20" s="2216">
        <f t="shared" si="10"/>
        <v>520.05960000000005</v>
      </c>
      <c r="AA20" s="2195">
        <f t="shared" si="11"/>
        <v>118.608</v>
      </c>
      <c r="AB20" s="2207">
        <f t="shared" si="2"/>
        <v>43338.3</v>
      </c>
      <c r="AC20" s="2197"/>
    </row>
    <row r="21" spans="1:29" s="2196" customFormat="1" ht="13.8">
      <c r="A21" s="2192">
        <f t="shared" si="3"/>
        <v>11</v>
      </c>
      <c r="B21" s="2193" t="s">
        <v>2329</v>
      </c>
      <c r="C21" s="2194">
        <v>5</v>
      </c>
      <c r="D21" s="2194" t="s">
        <v>2279</v>
      </c>
      <c r="E21" s="2194">
        <v>2</v>
      </c>
      <c r="F21" s="2202">
        <v>34398</v>
      </c>
      <c r="G21" s="2203">
        <f>F21*20%</f>
        <v>6879.6</v>
      </c>
      <c r="H21" s="2203"/>
      <c r="I21" s="2203">
        <v>860</v>
      </c>
      <c r="J21" s="2203"/>
      <c r="K21" s="2203">
        <v>5159</v>
      </c>
      <c r="L21" s="2203"/>
      <c r="M21" s="2203"/>
      <c r="N21" s="2203"/>
      <c r="O21" s="2203">
        <v>5160</v>
      </c>
      <c r="P21" s="2203"/>
      <c r="Q21" s="2203"/>
      <c r="R21" s="2203"/>
      <c r="S21" s="2214">
        <f t="shared" si="4"/>
        <v>68796</v>
      </c>
      <c r="T21" s="2214">
        <f t="shared" si="5"/>
        <v>13759.2</v>
      </c>
      <c r="U21" s="2214">
        <f t="shared" si="6"/>
        <v>22358</v>
      </c>
      <c r="V21" s="2214">
        <f t="shared" si="12"/>
        <v>104913.2</v>
      </c>
      <c r="W21" s="2216">
        <f t="shared" si="7"/>
        <v>825.55200000000013</v>
      </c>
      <c r="X21" s="2216">
        <f t="shared" si="8"/>
        <v>165.1104</v>
      </c>
      <c r="Y21" s="2216">
        <f t="shared" si="9"/>
        <v>268.29599999999999</v>
      </c>
      <c r="Z21" s="2216">
        <f t="shared" si="10"/>
        <v>1258.9584000000002</v>
      </c>
      <c r="AA21" s="2195">
        <f t="shared" si="11"/>
        <v>268.29599999999999</v>
      </c>
      <c r="AB21" s="2207">
        <f t="shared" si="2"/>
        <v>104913.2</v>
      </c>
      <c r="AC21" s="2197"/>
    </row>
    <row r="22" spans="1:29" s="2196" customFormat="1" ht="13.8" hidden="1">
      <c r="A22" s="2192">
        <f t="shared" si="3"/>
        <v>12</v>
      </c>
      <c r="B22" s="2193" t="s">
        <v>2329</v>
      </c>
      <c r="C22" s="2194">
        <v>3</v>
      </c>
      <c r="D22" s="2194" t="s">
        <v>2280</v>
      </c>
      <c r="E22" s="2194"/>
      <c r="F22" s="2202">
        <v>16780</v>
      </c>
      <c r="G22" s="2203">
        <f t="shared" ref="G22:G33" si="13">F22*20%</f>
        <v>3356</v>
      </c>
      <c r="H22" s="2203"/>
      <c r="I22" s="2203"/>
      <c r="J22" s="2203"/>
      <c r="K22" s="2203"/>
      <c r="L22" s="2203"/>
      <c r="M22" s="2203"/>
      <c r="N22" s="2203"/>
      <c r="O22" s="2203"/>
      <c r="P22" s="2203"/>
      <c r="Q22" s="2203"/>
      <c r="R22" s="2203"/>
      <c r="S22" s="2214">
        <f>E22*F22</f>
        <v>0</v>
      </c>
      <c r="T22" s="2214">
        <f>E22*G22</f>
        <v>0</v>
      </c>
      <c r="U22" s="2214">
        <f>SUM(H22:R22)*E22</f>
        <v>0</v>
      </c>
      <c r="V22" s="2214">
        <f t="shared" si="12"/>
        <v>0</v>
      </c>
      <c r="W22" s="2216">
        <f>S22/1000*12</f>
        <v>0</v>
      </c>
      <c r="X22" s="2216">
        <f>T22/1000*12</f>
        <v>0</v>
      </c>
      <c r="Y22" s="2216">
        <f>U22/1000*12</f>
        <v>0</v>
      </c>
      <c r="Z22" s="2216">
        <f>SUM(W22:Y22)</f>
        <v>0</v>
      </c>
      <c r="AA22" s="2195">
        <f>(SUM(H22:R22))*E22/1000*12</f>
        <v>0</v>
      </c>
      <c r="AB22" s="2207">
        <f>SUM(S22:U22)</f>
        <v>0</v>
      </c>
    </row>
    <row r="23" spans="1:29" s="2196" customFormat="1" ht="13.8">
      <c r="A23" s="2192">
        <f>A21+1</f>
        <v>12</v>
      </c>
      <c r="B23" s="2193" t="s">
        <v>2329</v>
      </c>
      <c r="C23" s="2194">
        <v>4</v>
      </c>
      <c r="D23" s="2194" t="s">
        <v>2280</v>
      </c>
      <c r="E23" s="2906">
        <v>2</v>
      </c>
      <c r="F23" s="2202">
        <v>19008</v>
      </c>
      <c r="G23" s="2203">
        <f t="shared" si="13"/>
        <v>3801.6000000000004</v>
      </c>
      <c r="H23" s="2203">
        <v>1420</v>
      </c>
      <c r="I23" s="2203"/>
      <c r="J23" s="2203"/>
      <c r="K23" s="2203">
        <v>2346</v>
      </c>
      <c r="L23" s="2203"/>
      <c r="M23" s="2203">
        <v>300</v>
      </c>
      <c r="N23" s="2203"/>
      <c r="O23" s="2203"/>
      <c r="P23" s="2203"/>
      <c r="Q23" s="2203"/>
      <c r="R23" s="2203"/>
      <c r="S23" s="2214">
        <f t="shared" si="4"/>
        <v>38016</v>
      </c>
      <c r="T23" s="2214">
        <f t="shared" si="5"/>
        <v>7603.2000000000007</v>
      </c>
      <c r="U23" s="2214">
        <f t="shared" si="6"/>
        <v>8132</v>
      </c>
      <c r="V23" s="2214">
        <f t="shared" si="12"/>
        <v>53751.199999999997</v>
      </c>
      <c r="W23" s="2216">
        <f t="shared" si="7"/>
        <v>456.19200000000001</v>
      </c>
      <c r="X23" s="2216">
        <f t="shared" si="8"/>
        <v>91.238400000000013</v>
      </c>
      <c r="Y23" s="2216">
        <f t="shared" si="9"/>
        <v>97.584000000000003</v>
      </c>
      <c r="Z23" s="2216">
        <f t="shared" si="10"/>
        <v>645.01440000000002</v>
      </c>
      <c r="AA23" s="2195">
        <f t="shared" si="11"/>
        <v>97.584000000000003</v>
      </c>
      <c r="AB23" s="2207">
        <f t="shared" si="2"/>
        <v>53751.199999999997</v>
      </c>
    </row>
    <row r="24" spans="1:29" s="2196" customFormat="1" ht="13.8">
      <c r="A24" s="2192">
        <f t="shared" si="3"/>
        <v>13</v>
      </c>
      <c r="B24" s="2193" t="s">
        <v>2329</v>
      </c>
      <c r="C24" s="2194">
        <v>5</v>
      </c>
      <c r="D24" s="2194" t="s">
        <v>2280</v>
      </c>
      <c r="E24" s="2194">
        <v>4</v>
      </c>
      <c r="F24" s="2202">
        <v>21499</v>
      </c>
      <c r="G24" s="2203">
        <f t="shared" si="13"/>
        <v>4299.8</v>
      </c>
      <c r="H24" s="2203">
        <v>3300</v>
      </c>
      <c r="I24" s="2203"/>
      <c r="J24" s="2203"/>
      <c r="K24" s="2203">
        <v>3225</v>
      </c>
      <c r="L24" s="2203"/>
      <c r="M24" s="2203">
        <v>650</v>
      </c>
      <c r="N24" s="2203"/>
      <c r="O24" s="2203">
        <v>3763</v>
      </c>
      <c r="P24" s="2203">
        <v>800</v>
      </c>
      <c r="Q24" s="2203"/>
      <c r="R24" s="2203"/>
      <c r="S24" s="2214">
        <f t="shared" si="4"/>
        <v>85996</v>
      </c>
      <c r="T24" s="2214">
        <f t="shared" si="5"/>
        <v>17199.2</v>
      </c>
      <c r="U24" s="2214">
        <f t="shared" si="6"/>
        <v>46952</v>
      </c>
      <c r="V24" s="2214">
        <f>SUM(F24:R24)*E24</f>
        <v>150147.20000000001</v>
      </c>
      <c r="W24" s="2216">
        <f t="shared" si="7"/>
        <v>1031.952</v>
      </c>
      <c r="X24" s="2216">
        <f t="shared" si="8"/>
        <v>206.3904</v>
      </c>
      <c r="Y24" s="2216">
        <f t="shared" si="9"/>
        <v>563.42399999999998</v>
      </c>
      <c r="Z24" s="2216">
        <f t="shared" si="10"/>
        <v>1801.7664</v>
      </c>
      <c r="AA24" s="2195">
        <f t="shared" si="11"/>
        <v>563.42399999999998</v>
      </c>
      <c r="AB24" s="2207">
        <f t="shared" si="2"/>
        <v>150147.20000000001</v>
      </c>
      <c r="AC24" s="2197"/>
    </row>
    <row r="25" spans="1:29" s="2196" customFormat="1" ht="13.8">
      <c r="A25" s="2192">
        <f t="shared" si="3"/>
        <v>14</v>
      </c>
      <c r="B25" s="2193" t="s">
        <v>2329</v>
      </c>
      <c r="C25" s="2194">
        <v>6</v>
      </c>
      <c r="D25" s="2194" t="s">
        <v>2280</v>
      </c>
      <c r="E25" s="2194">
        <v>1</v>
      </c>
      <c r="F25" s="2202">
        <v>24252</v>
      </c>
      <c r="G25" s="2203">
        <f t="shared" si="13"/>
        <v>4850.4000000000005</v>
      </c>
      <c r="H25" s="2203">
        <v>3500</v>
      </c>
      <c r="I25" s="2203"/>
      <c r="J25" s="2203"/>
      <c r="K25" s="2203">
        <v>3638</v>
      </c>
      <c r="L25" s="2203"/>
      <c r="M25" s="2203">
        <v>2736</v>
      </c>
      <c r="N25" s="2203"/>
      <c r="O25" s="2203">
        <v>6063</v>
      </c>
      <c r="P25" s="2203">
        <v>2993</v>
      </c>
      <c r="Q25" s="2203"/>
      <c r="R25" s="2203"/>
      <c r="S25" s="2214">
        <f t="shared" si="4"/>
        <v>24252</v>
      </c>
      <c r="T25" s="2214">
        <f t="shared" si="5"/>
        <v>4850.4000000000005</v>
      </c>
      <c r="U25" s="2214">
        <f t="shared" si="6"/>
        <v>18930</v>
      </c>
      <c r="V25" s="2214">
        <f>SUM(F25:R25)*E25</f>
        <v>48032.4</v>
      </c>
      <c r="W25" s="2216">
        <f t="shared" si="7"/>
        <v>291.024</v>
      </c>
      <c r="X25" s="2216">
        <f t="shared" si="8"/>
        <v>58.204800000000006</v>
      </c>
      <c r="Y25" s="2216">
        <f t="shared" si="9"/>
        <v>227.16</v>
      </c>
      <c r="Z25" s="2216">
        <f t="shared" si="10"/>
        <v>576.38879999999995</v>
      </c>
      <c r="AA25" s="2195">
        <f t="shared" si="11"/>
        <v>227.16</v>
      </c>
      <c r="AB25" s="2207">
        <f t="shared" si="2"/>
        <v>48032.4</v>
      </c>
      <c r="AC25" s="2197"/>
    </row>
    <row r="26" spans="1:29" s="2196" customFormat="1" ht="13.8">
      <c r="A26" s="2192">
        <f t="shared" si="3"/>
        <v>15</v>
      </c>
      <c r="B26" s="2193" t="s">
        <v>2329</v>
      </c>
      <c r="C26" s="2194">
        <v>3</v>
      </c>
      <c r="D26" s="2194" t="s">
        <v>2281</v>
      </c>
      <c r="E26" s="2906">
        <v>1</v>
      </c>
      <c r="F26" s="2202">
        <v>16780</v>
      </c>
      <c r="G26" s="2203">
        <f t="shared" si="13"/>
        <v>3356</v>
      </c>
      <c r="H26" s="2203">
        <v>3500</v>
      </c>
      <c r="I26" s="2203"/>
      <c r="J26" s="2203"/>
      <c r="K26" s="2203">
        <v>1678</v>
      </c>
      <c r="L26" s="2203"/>
      <c r="M26" s="2203"/>
      <c r="N26" s="2203"/>
      <c r="O26" s="2203"/>
      <c r="P26" s="2203"/>
      <c r="Q26" s="2203"/>
      <c r="R26" s="2203"/>
      <c r="S26" s="2214">
        <f t="shared" si="4"/>
        <v>16780</v>
      </c>
      <c r="T26" s="2214">
        <f t="shared" si="5"/>
        <v>3356</v>
      </c>
      <c r="U26" s="2214">
        <f t="shared" si="6"/>
        <v>5178</v>
      </c>
      <c r="V26" s="2943">
        <f>SUM(F26:R26)</f>
        <v>25314</v>
      </c>
      <c r="W26" s="2216">
        <f t="shared" si="7"/>
        <v>201.36</v>
      </c>
      <c r="X26" s="2216">
        <f t="shared" si="8"/>
        <v>40.271999999999998</v>
      </c>
      <c r="Y26" s="2216">
        <f t="shared" si="9"/>
        <v>62.135999999999996</v>
      </c>
      <c r="Z26" s="2216">
        <f t="shared" si="10"/>
        <v>303.76800000000003</v>
      </c>
      <c r="AA26" s="2195">
        <f t="shared" si="11"/>
        <v>62.135999999999996</v>
      </c>
      <c r="AB26" s="2207">
        <f t="shared" si="2"/>
        <v>25314</v>
      </c>
      <c r="AC26" s="2197"/>
    </row>
    <row r="27" spans="1:29" s="2196" customFormat="1" ht="13.8">
      <c r="A27" s="2192">
        <f t="shared" si="3"/>
        <v>16</v>
      </c>
      <c r="B27" s="2193" t="s">
        <v>2329</v>
      </c>
      <c r="C27" s="2194">
        <v>5</v>
      </c>
      <c r="D27" s="2194" t="s">
        <v>2281</v>
      </c>
      <c r="E27" s="2194">
        <v>5</v>
      </c>
      <c r="F27" s="2202">
        <v>21499</v>
      </c>
      <c r="G27" s="2203">
        <f t="shared" si="13"/>
        <v>4299.8</v>
      </c>
      <c r="H27" s="2203">
        <v>3000</v>
      </c>
      <c r="I27" s="2203"/>
      <c r="J27" s="2203"/>
      <c r="K27" s="2203">
        <v>2654</v>
      </c>
      <c r="L27" s="2203"/>
      <c r="M27" s="2203"/>
      <c r="N27" s="2203"/>
      <c r="O27" s="2203">
        <v>1505</v>
      </c>
      <c r="P27" s="2203"/>
      <c r="Q27" s="2203"/>
      <c r="R27" s="2203"/>
      <c r="S27" s="2214">
        <f t="shared" si="4"/>
        <v>107495</v>
      </c>
      <c r="T27" s="2214">
        <f t="shared" si="5"/>
        <v>21499</v>
      </c>
      <c r="U27" s="2214">
        <f t="shared" si="6"/>
        <v>35795</v>
      </c>
      <c r="V27" s="2214">
        <f>SUM(F27:R27)*E27</f>
        <v>164789</v>
      </c>
      <c r="W27" s="2216">
        <f t="shared" si="7"/>
        <v>1289.94</v>
      </c>
      <c r="X27" s="2216">
        <f t="shared" si="8"/>
        <v>257.988</v>
      </c>
      <c r="Y27" s="2216">
        <f t="shared" si="9"/>
        <v>429.54</v>
      </c>
      <c r="Z27" s="2216">
        <f t="shared" si="10"/>
        <v>1977.4680000000001</v>
      </c>
      <c r="AA27" s="2195">
        <f t="shared" si="11"/>
        <v>429.54</v>
      </c>
      <c r="AB27" s="2207">
        <f t="shared" si="2"/>
        <v>164789</v>
      </c>
      <c r="AC27" s="2197"/>
    </row>
    <row r="28" spans="1:29" s="2196" customFormat="1" ht="13.8">
      <c r="A28" s="2192">
        <f t="shared" si="3"/>
        <v>17</v>
      </c>
      <c r="B28" s="2193" t="s">
        <v>2329</v>
      </c>
      <c r="C28" s="2194">
        <v>6</v>
      </c>
      <c r="D28" s="2194" t="s">
        <v>2281</v>
      </c>
      <c r="E28" s="2194">
        <v>3</v>
      </c>
      <c r="F28" s="2202">
        <v>24252</v>
      </c>
      <c r="G28" s="2203">
        <f t="shared" si="13"/>
        <v>4850.4000000000005</v>
      </c>
      <c r="H28" s="2203">
        <v>3000</v>
      </c>
      <c r="I28" s="2203">
        <v>970</v>
      </c>
      <c r="J28" s="2203"/>
      <c r="K28" s="2203">
        <v>3638</v>
      </c>
      <c r="L28" s="2203"/>
      <c r="M28" s="2203">
        <v>800</v>
      </c>
      <c r="N28" s="2203"/>
      <c r="O28" s="2203">
        <v>3638</v>
      </c>
      <c r="P28" s="2203"/>
      <c r="Q28" s="2203"/>
      <c r="R28" s="2203"/>
      <c r="S28" s="2214">
        <f t="shared" si="4"/>
        <v>72756</v>
      </c>
      <c r="T28" s="2214">
        <f t="shared" si="5"/>
        <v>14551.2</v>
      </c>
      <c r="U28" s="2214">
        <f t="shared" si="6"/>
        <v>36138</v>
      </c>
      <c r="V28" s="2214">
        <f>SUM(F28:R28)*E28</f>
        <v>123445.20000000001</v>
      </c>
      <c r="W28" s="2216">
        <f t="shared" si="7"/>
        <v>873.072</v>
      </c>
      <c r="X28" s="2216">
        <f t="shared" si="8"/>
        <v>174.61440000000002</v>
      </c>
      <c r="Y28" s="2216">
        <f t="shared" si="9"/>
        <v>433.65599999999995</v>
      </c>
      <c r="Z28" s="2216">
        <f t="shared" si="10"/>
        <v>1481.3424</v>
      </c>
      <c r="AA28" s="2195">
        <f t="shared" si="11"/>
        <v>433.65599999999995</v>
      </c>
      <c r="AB28" s="2207">
        <f t="shared" si="2"/>
        <v>123445.2</v>
      </c>
      <c r="AC28" s="2197"/>
    </row>
    <row r="29" spans="1:29" s="2196" customFormat="1" ht="13.8" hidden="1">
      <c r="A29" s="2192">
        <f t="shared" si="3"/>
        <v>18</v>
      </c>
      <c r="B29" s="2193" t="s">
        <v>2329</v>
      </c>
      <c r="C29" s="2194">
        <v>3</v>
      </c>
      <c r="D29" s="2194" t="s">
        <v>2282</v>
      </c>
      <c r="E29" s="2905">
        <v>0</v>
      </c>
      <c r="F29" s="2202">
        <v>13806</v>
      </c>
      <c r="G29" s="2203">
        <f t="shared" si="13"/>
        <v>2761.2000000000003</v>
      </c>
      <c r="H29" s="2203">
        <v>1800</v>
      </c>
      <c r="I29" s="2203"/>
      <c r="J29" s="2203"/>
      <c r="K29" s="2203">
        <v>2071</v>
      </c>
      <c r="L29" s="2203"/>
      <c r="M29" s="2203">
        <v>280</v>
      </c>
      <c r="N29" s="2203"/>
      <c r="O29" s="2203"/>
      <c r="P29" s="2203"/>
      <c r="Q29" s="2203"/>
      <c r="R29" s="2203"/>
      <c r="S29" s="2214">
        <f t="shared" si="4"/>
        <v>0</v>
      </c>
      <c r="T29" s="2214">
        <f t="shared" si="5"/>
        <v>0</v>
      </c>
      <c r="U29" s="2214">
        <f t="shared" si="6"/>
        <v>0</v>
      </c>
      <c r="V29" s="2885">
        <f t="shared" si="12"/>
        <v>0</v>
      </c>
      <c r="W29" s="2216">
        <f t="shared" si="7"/>
        <v>0</v>
      </c>
      <c r="X29" s="2216">
        <f t="shared" si="8"/>
        <v>0</v>
      </c>
      <c r="Y29" s="2216">
        <f t="shared" si="9"/>
        <v>0</v>
      </c>
      <c r="Z29" s="2216">
        <f t="shared" si="10"/>
        <v>0</v>
      </c>
      <c r="AA29" s="2195">
        <f t="shared" si="11"/>
        <v>0</v>
      </c>
      <c r="AB29" s="2207">
        <f t="shared" si="2"/>
        <v>0</v>
      </c>
      <c r="AC29" s="2197"/>
    </row>
    <row r="30" spans="1:29" s="2196" customFormat="1" ht="13.8">
      <c r="A30" s="2192">
        <v>18</v>
      </c>
      <c r="B30" s="2193" t="s">
        <v>2329</v>
      </c>
      <c r="C30" s="2194">
        <v>2</v>
      </c>
      <c r="D30" s="2194" t="s">
        <v>2282</v>
      </c>
      <c r="E30" s="2194">
        <v>1</v>
      </c>
      <c r="F30" s="2202">
        <v>14813</v>
      </c>
      <c r="G30" s="2203">
        <f t="shared" si="13"/>
        <v>2962.6000000000004</v>
      </c>
      <c r="H30" s="2203"/>
      <c r="I30" s="2203"/>
      <c r="J30" s="2203"/>
      <c r="K30" s="2203">
        <v>740</v>
      </c>
      <c r="L30" s="2203"/>
      <c r="M30" s="2203"/>
      <c r="N30" s="2203"/>
      <c r="O30" s="2203"/>
      <c r="P30" s="2203"/>
      <c r="Q30" s="2203"/>
      <c r="R30" s="2203"/>
      <c r="S30" s="2214">
        <f>E30*F30</f>
        <v>14813</v>
      </c>
      <c r="T30" s="2214">
        <f>E30*G30</f>
        <v>2962.6000000000004</v>
      </c>
      <c r="U30" s="2214">
        <f>SUM(H30:R30)*E30</f>
        <v>740</v>
      </c>
      <c r="V30" s="2214">
        <f>SUM(F30:R30)*E30</f>
        <v>18515.599999999999</v>
      </c>
      <c r="W30" s="2216">
        <f>S30/1000*12</f>
        <v>177.756</v>
      </c>
      <c r="X30" s="2216">
        <f>T30/1000*12</f>
        <v>35.551200000000009</v>
      </c>
      <c r="Y30" s="2216">
        <f>U30/1000*12</f>
        <v>8.879999999999999</v>
      </c>
      <c r="Z30" s="2216">
        <f>SUM(W30:Y30)</f>
        <v>222.18720000000002</v>
      </c>
      <c r="AA30" s="2195">
        <f>(SUM(H30:R30))*E30/1000*12</f>
        <v>8.879999999999999</v>
      </c>
      <c r="AB30" s="2207">
        <f>SUM(S30:U30)</f>
        <v>18515.599999999999</v>
      </c>
      <c r="AC30" s="2197"/>
    </row>
    <row r="31" spans="1:29" s="2196" customFormat="1" ht="13.8">
      <c r="A31" s="2192">
        <v>19</v>
      </c>
      <c r="B31" s="2193" t="s">
        <v>2329</v>
      </c>
      <c r="C31" s="2194">
        <v>4</v>
      </c>
      <c r="D31" s="2194" t="s">
        <v>2282</v>
      </c>
      <c r="E31" s="2194">
        <v>2</v>
      </c>
      <c r="F31" s="2202">
        <v>19008</v>
      </c>
      <c r="G31" s="2203">
        <f t="shared" si="13"/>
        <v>3801.6000000000004</v>
      </c>
      <c r="H31" s="2203">
        <v>1800</v>
      </c>
      <c r="I31" s="2203"/>
      <c r="J31" s="2203"/>
      <c r="K31" s="2203">
        <v>2850</v>
      </c>
      <c r="L31" s="2203"/>
      <c r="M31" s="2203"/>
      <c r="N31" s="2203"/>
      <c r="O31" s="2203"/>
      <c r="P31" s="2203"/>
      <c r="Q31" s="2203"/>
      <c r="R31" s="2203"/>
      <c r="S31" s="2214">
        <f t="shared" si="4"/>
        <v>38016</v>
      </c>
      <c r="T31" s="2214">
        <f t="shared" si="5"/>
        <v>7603.2000000000007</v>
      </c>
      <c r="U31" s="2214">
        <f t="shared" si="6"/>
        <v>9300</v>
      </c>
      <c r="V31" s="2214">
        <f>SUM(F31:R31)*E31</f>
        <v>54919.199999999997</v>
      </c>
      <c r="W31" s="2216">
        <f t="shared" si="7"/>
        <v>456.19200000000001</v>
      </c>
      <c r="X31" s="2216">
        <f t="shared" si="8"/>
        <v>91.238400000000013</v>
      </c>
      <c r="Y31" s="2216">
        <f t="shared" si="9"/>
        <v>111.60000000000001</v>
      </c>
      <c r="Z31" s="2216">
        <f t="shared" si="10"/>
        <v>659.03039999999999</v>
      </c>
      <c r="AA31" s="2195">
        <f t="shared" si="11"/>
        <v>111.60000000000001</v>
      </c>
      <c r="AB31" s="2207">
        <f t="shared" si="2"/>
        <v>54919.199999999997</v>
      </c>
      <c r="AC31" s="2197"/>
    </row>
    <row r="32" spans="1:29" s="2196" customFormat="1" ht="13.8">
      <c r="A32" s="2192">
        <v>20</v>
      </c>
      <c r="B32" s="2193" t="s">
        <v>2329</v>
      </c>
      <c r="C32" s="2194">
        <v>5</v>
      </c>
      <c r="D32" s="2194" t="s">
        <v>2282</v>
      </c>
      <c r="E32" s="2194">
        <v>3</v>
      </c>
      <c r="F32" s="2202">
        <v>21499</v>
      </c>
      <c r="G32" s="2203">
        <f t="shared" si="13"/>
        <v>4299.8</v>
      </c>
      <c r="H32" s="2203">
        <v>3200</v>
      </c>
      <c r="I32" s="2203"/>
      <c r="J32" s="2203"/>
      <c r="K32" s="2203">
        <v>3225</v>
      </c>
      <c r="L32" s="2203"/>
      <c r="M32" s="2203"/>
      <c r="N32" s="2203"/>
      <c r="O32" s="2203">
        <v>2500</v>
      </c>
      <c r="P32" s="2203"/>
      <c r="Q32" s="2203"/>
      <c r="R32" s="2203"/>
      <c r="S32" s="2214">
        <f t="shared" si="4"/>
        <v>64497</v>
      </c>
      <c r="T32" s="2214">
        <f t="shared" si="5"/>
        <v>12899.400000000001</v>
      </c>
      <c r="U32" s="2214">
        <f t="shared" si="6"/>
        <v>26775</v>
      </c>
      <c r="V32" s="2214">
        <f t="shared" si="12"/>
        <v>104171.40000000001</v>
      </c>
      <c r="W32" s="2216">
        <f t="shared" si="7"/>
        <v>773.96399999999994</v>
      </c>
      <c r="X32" s="2216">
        <f t="shared" si="8"/>
        <v>154.79280000000003</v>
      </c>
      <c r="Y32" s="2216">
        <f t="shared" si="9"/>
        <v>321.29999999999995</v>
      </c>
      <c r="Z32" s="2216">
        <f t="shared" si="10"/>
        <v>1250.0567999999998</v>
      </c>
      <c r="AA32" s="2195">
        <f t="shared" si="11"/>
        <v>321.29999999999995</v>
      </c>
      <c r="AB32" s="2207">
        <f t="shared" si="2"/>
        <v>104171.4</v>
      </c>
      <c r="AC32" s="2197"/>
    </row>
    <row r="33" spans="1:29" s="2196" customFormat="1" ht="13.8">
      <c r="A33" s="2192">
        <v>21</v>
      </c>
      <c r="B33" s="2193" t="s">
        <v>2329</v>
      </c>
      <c r="C33" s="2194">
        <v>6</v>
      </c>
      <c r="D33" s="2194" t="s">
        <v>2282</v>
      </c>
      <c r="E33" s="2194">
        <v>3</v>
      </c>
      <c r="F33" s="2202">
        <v>24252</v>
      </c>
      <c r="G33" s="2203">
        <f t="shared" si="13"/>
        <v>4850.4000000000005</v>
      </c>
      <c r="H33" s="2203">
        <v>4000</v>
      </c>
      <c r="I33" s="2203"/>
      <c r="J33" s="2203"/>
      <c r="K33" s="2203">
        <v>3638</v>
      </c>
      <c r="L33" s="2203"/>
      <c r="M33" s="2203">
        <v>1140</v>
      </c>
      <c r="N33" s="2203"/>
      <c r="O33" s="2203">
        <v>5255</v>
      </c>
      <c r="P33" s="2203">
        <v>6063</v>
      </c>
      <c r="Q33" s="2203"/>
      <c r="R33" s="2203"/>
      <c r="S33" s="2214">
        <f t="shared" si="4"/>
        <v>72756</v>
      </c>
      <c r="T33" s="2214">
        <f t="shared" si="5"/>
        <v>14551.2</v>
      </c>
      <c r="U33" s="2214">
        <f t="shared" si="6"/>
        <v>60288</v>
      </c>
      <c r="V33" s="2214">
        <f>SUM(F33:R33)*E33</f>
        <v>147595.20000000001</v>
      </c>
      <c r="W33" s="2216">
        <f t="shared" si="7"/>
        <v>873.072</v>
      </c>
      <c r="X33" s="2216">
        <f t="shared" si="8"/>
        <v>174.61440000000002</v>
      </c>
      <c r="Y33" s="2216">
        <f t="shared" si="9"/>
        <v>723.4559999999999</v>
      </c>
      <c r="Z33" s="2216">
        <f t="shared" si="10"/>
        <v>1771.1424</v>
      </c>
      <c r="AA33" s="2195">
        <f t="shared" si="11"/>
        <v>723.4559999999999</v>
      </c>
      <c r="AB33" s="2207">
        <f t="shared" si="2"/>
        <v>147595.20000000001</v>
      </c>
      <c r="AC33" s="2197"/>
    </row>
    <row r="34" spans="1:29" s="2196" customFormat="1" ht="21" customHeight="1">
      <c r="A34" s="2194"/>
      <c r="B34" s="2194" t="s">
        <v>2325</v>
      </c>
      <c r="C34" s="2194"/>
      <c r="D34" s="2194"/>
      <c r="E34" s="2194">
        <f>SUM(E9:E33)</f>
        <v>93</v>
      </c>
      <c r="F34" s="2202"/>
      <c r="G34" s="2202"/>
      <c r="H34" s="2202"/>
      <c r="I34" s="2202"/>
      <c r="J34" s="2202"/>
      <c r="K34" s="2202"/>
      <c r="L34" s="2202"/>
      <c r="M34" s="2202"/>
      <c r="N34" s="2202"/>
      <c r="O34" s="2202"/>
      <c r="P34" s="2202"/>
      <c r="Q34" s="2202"/>
      <c r="R34" s="2202"/>
      <c r="S34" s="2214">
        <f t="shared" ref="S34:Z34" si="14">SUM(S9:S33)</f>
        <v>2241344</v>
      </c>
      <c r="T34" s="2214">
        <f t="shared" si="14"/>
        <v>445227.50000000012</v>
      </c>
      <c r="U34" s="2214">
        <f t="shared" si="14"/>
        <v>1133662</v>
      </c>
      <c r="V34" s="2214">
        <f t="shared" si="14"/>
        <v>3820224.5000000009</v>
      </c>
      <c r="W34" s="2216">
        <f t="shared" si="14"/>
        <v>26896.128000000001</v>
      </c>
      <c r="X34" s="2216">
        <f t="shared" si="14"/>
        <v>5342.7300000000032</v>
      </c>
      <c r="Y34" s="2216">
        <f t="shared" si="14"/>
        <v>13603.944000000001</v>
      </c>
      <c r="Z34" s="2216">
        <f t="shared" si="14"/>
        <v>45842.802000000003</v>
      </c>
      <c r="AA34" s="2204">
        <f>SUM(AA10:AA33)</f>
        <v>13350.672</v>
      </c>
      <c r="AB34" s="2207">
        <f t="shared" si="2"/>
        <v>3820233.5</v>
      </c>
      <c r="AC34" s="2197"/>
    </row>
    <row r="35" spans="1:29" s="2190" customFormat="1" ht="13.8">
      <c r="A35" s="2185" t="s">
        <v>2283</v>
      </c>
      <c r="B35" s="2186"/>
      <c r="C35" s="2200"/>
      <c r="D35" s="2187"/>
      <c r="E35" s="2187"/>
      <c r="F35" s="2188"/>
      <c r="G35" s="2188"/>
      <c r="H35" s="2188"/>
      <c r="I35" s="2188"/>
      <c r="J35" s="2188"/>
      <c r="K35" s="2188"/>
      <c r="L35" s="2188"/>
      <c r="M35" s="2188"/>
      <c r="N35" s="2188"/>
      <c r="O35" s="2188"/>
      <c r="P35" s="2188"/>
      <c r="Q35" s="2188"/>
      <c r="R35" s="2208"/>
      <c r="S35" s="2208"/>
      <c r="T35" s="2208"/>
      <c r="U35" s="2208"/>
      <c r="V35" s="2884"/>
      <c r="W35" s="2208"/>
      <c r="X35" s="2208"/>
      <c r="Y35" s="2208"/>
      <c r="Z35" s="2208"/>
      <c r="AA35" s="2189"/>
      <c r="AB35" s="2207">
        <f t="shared" si="2"/>
        <v>0</v>
      </c>
      <c r="AC35" s="2191"/>
    </row>
    <row r="36" spans="1:29" s="2196" customFormat="1" ht="13.8">
      <c r="A36" s="2192">
        <f>A33+1</f>
        <v>22</v>
      </c>
      <c r="B36" s="2193" t="s">
        <v>2284</v>
      </c>
      <c r="C36" s="2194"/>
      <c r="D36" s="2194"/>
      <c r="E36" s="2194">
        <v>1</v>
      </c>
      <c r="F36" s="2202">
        <v>36900</v>
      </c>
      <c r="G36" s="2203">
        <f>F36*30%</f>
        <v>11070</v>
      </c>
      <c r="H36" s="2203"/>
      <c r="I36" s="2203"/>
      <c r="J36" s="2203"/>
      <c r="K36" s="2203">
        <f>G36*50%</f>
        <v>5535</v>
      </c>
      <c r="L36" s="2203"/>
      <c r="M36" s="2203"/>
      <c r="N36" s="2203"/>
      <c r="O36" s="2203"/>
      <c r="P36" s="2203"/>
      <c r="Q36" s="2203"/>
      <c r="R36" s="2203">
        <v>3690</v>
      </c>
      <c r="S36" s="2214">
        <f t="shared" ref="S36:S78" si="15">E36*F36</f>
        <v>36900</v>
      </c>
      <c r="T36" s="2214">
        <f t="shared" ref="T36:T78" si="16">E36*G36</f>
        <v>11070</v>
      </c>
      <c r="U36" s="2214">
        <f t="shared" ref="U36:U78" si="17">SUM(H36:R36)*E36</f>
        <v>9225</v>
      </c>
      <c r="V36" s="2214">
        <f t="shared" ref="V36:V77" si="18">SUM(F36:R36)*E36</f>
        <v>57195</v>
      </c>
      <c r="W36" s="2216">
        <f t="shared" ref="W36:W78" si="19">S36/1000*12</f>
        <v>442.79999999999995</v>
      </c>
      <c r="X36" s="2216">
        <f t="shared" ref="X36:X78" si="20">T36/1000*12</f>
        <v>132.84</v>
      </c>
      <c r="Y36" s="2216">
        <f t="shared" ref="Y36:Y78" si="21">U36/1000*12</f>
        <v>110.69999999999999</v>
      </c>
      <c r="Z36" s="2216">
        <f t="shared" ref="Z36:Z78" si="22">SUM(W36:Y36)</f>
        <v>686.33999999999992</v>
      </c>
      <c r="AA36" s="2195"/>
      <c r="AB36" s="2207">
        <f t="shared" si="2"/>
        <v>57195</v>
      </c>
      <c r="AC36" s="2197"/>
    </row>
    <row r="37" spans="1:29" s="2196" customFormat="1" ht="13.8">
      <c r="A37" s="2192">
        <f>A36+1</f>
        <v>23</v>
      </c>
      <c r="B37" s="2193" t="s">
        <v>2285</v>
      </c>
      <c r="C37" s="2194"/>
      <c r="D37" s="2194"/>
      <c r="E37" s="2194">
        <v>1</v>
      </c>
      <c r="F37" s="2202">
        <v>33000</v>
      </c>
      <c r="G37" s="2203">
        <f>F37*30%</f>
        <v>9900</v>
      </c>
      <c r="H37" s="2203"/>
      <c r="I37" s="2203"/>
      <c r="J37" s="2203"/>
      <c r="K37" s="2203">
        <f>G37*50%</f>
        <v>4950</v>
      </c>
      <c r="L37" s="2203"/>
      <c r="M37" s="2203"/>
      <c r="N37" s="2203"/>
      <c r="O37" s="2203"/>
      <c r="P37" s="2203"/>
      <c r="Q37" s="2203"/>
      <c r="R37" s="2203">
        <v>3300</v>
      </c>
      <c r="S37" s="2214">
        <f t="shared" si="15"/>
        <v>33000</v>
      </c>
      <c r="T37" s="2214">
        <f t="shared" si="16"/>
        <v>9900</v>
      </c>
      <c r="U37" s="2214">
        <f t="shared" si="17"/>
        <v>8250</v>
      </c>
      <c r="V37" s="2214">
        <f t="shared" si="18"/>
        <v>51150</v>
      </c>
      <c r="W37" s="2216">
        <f t="shared" si="19"/>
        <v>396</v>
      </c>
      <c r="X37" s="2216">
        <f t="shared" si="20"/>
        <v>118.80000000000001</v>
      </c>
      <c r="Y37" s="2216">
        <f t="shared" si="21"/>
        <v>99</v>
      </c>
      <c r="Z37" s="2216">
        <f t="shared" si="22"/>
        <v>613.79999999999995</v>
      </c>
      <c r="AA37" s="2195"/>
      <c r="AB37" s="2207">
        <f t="shared" si="2"/>
        <v>51150</v>
      </c>
      <c r="AC37" s="2197"/>
    </row>
    <row r="38" spans="1:29" s="2196" customFormat="1" ht="13.8">
      <c r="A38" s="2192">
        <f t="shared" ref="A38:A49" si="23">A37+1</f>
        <v>24</v>
      </c>
      <c r="B38" s="2193" t="s">
        <v>2285</v>
      </c>
      <c r="C38" s="2194"/>
      <c r="D38" s="2194"/>
      <c r="E38" s="2194">
        <v>1</v>
      </c>
      <c r="F38" s="2202">
        <v>32100</v>
      </c>
      <c r="G38" s="2203">
        <f t="shared" ref="G38:G73" si="24">F38*30%</f>
        <v>9630</v>
      </c>
      <c r="H38" s="2203"/>
      <c r="I38" s="2203"/>
      <c r="J38" s="2203"/>
      <c r="K38" s="2203">
        <v>4815</v>
      </c>
      <c r="L38" s="2203"/>
      <c r="M38" s="2203"/>
      <c r="N38" s="2203"/>
      <c r="O38" s="2203"/>
      <c r="P38" s="2203"/>
      <c r="Q38" s="2203"/>
      <c r="R38" s="2203">
        <v>3210</v>
      </c>
      <c r="S38" s="2214">
        <f t="shared" si="15"/>
        <v>32100</v>
      </c>
      <c r="T38" s="2214">
        <f t="shared" si="16"/>
        <v>9630</v>
      </c>
      <c r="U38" s="2214">
        <f t="shared" si="17"/>
        <v>8025</v>
      </c>
      <c r="V38" s="2214">
        <f t="shared" si="18"/>
        <v>49755</v>
      </c>
      <c r="W38" s="2216">
        <f t="shared" si="19"/>
        <v>385.20000000000005</v>
      </c>
      <c r="X38" s="2216">
        <f t="shared" si="20"/>
        <v>115.56</v>
      </c>
      <c r="Y38" s="2216">
        <f t="shared" si="21"/>
        <v>96.300000000000011</v>
      </c>
      <c r="Z38" s="2216">
        <f t="shared" si="22"/>
        <v>597.06000000000006</v>
      </c>
      <c r="AA38" s="2195"/>
      <c r="AB38" s="2207">
        <f t="shared" si="2"/>
        <v>49755</v>
      </c>
      <c r="AC38" s="2197"/>
    </row>
    <row r="39" spans="1:29" s="2196" customFormat="1" ht="14.25" customHeight="1">
      <c r="A39" s="2192">
        <f t="shared" si="23"/>
        <v>25</v>
      </c>
      <c r="B39" s="2193" t="s">
        <v>2286</v>
      </c>
      <c r="C39" s="2194"/>
      <c r="D39" s="2194" t="s">
        <v>2287</v>
      </c>
      <c r="E39" s="2194">
        <v>1</v>
      </c>
      <c r="F39" s="2202">
        <v>27500</v>
      </c>
      <c r="G39" s="2203">
        <f t="shared" si="24"/>
        <v>8250</v>
      </c>
      <c r="H39" s="2203"/>
      <c r="I39" s="2203"/>
      <c r="J39" s="2203"/>
      <c r="K39" s="2203">
        <v>2750</v>
      </c>
      <c r="L39" s="2203"/>
      <c r="M39" s="2203"/>
      <c r="N39" s="2203"/>
      <c r="O39" s="2203"/>
      <c r="P39" s="2203"/>
      <c r="Q39" s="2203"/>
      <c r="R39" s="2203">
        <v>2750</v>
      </c>
      <c r="S39" s="2214">
        <f t="shared" si="15"/>
        <v>27500</v>
      </c>
      <c r="T39" s="2214">
        <f t="shared" si="16"/>
        <v>8250</v>
      </c>
      <c r="U39" s="2214">
        <f t="shared" si="17"/>
        <v>5500</v>
      </c>
      <c r="V39" s="2214">
        <f t="shared" si="18"/>
        <v>41250</v>
      </c>
      <c r="W39" s="2216">
        <f t="shared" si="19"/>
        <v>330</v>
      </c>
      <c r="X39" s="2216">
        <f t="shared" si="20"/>
        <v>99</v>
      </c>
      <c r="Y39" s="2216">
        <f t="shared" si="21"/>
        <v>66</v>
      </c>
      <c r="Z39" s="2216">
        <f t="shared" si="22"/>
        <v>495</v>
      </c>
      <c r="AA39" s="2195"/>
      <c r="AB39" s="2207">
        <f t="shared" si="2"/>
        <v>41250</v>
      </c>
      <c r="AC39" s="2197"/>
    </row>
    <row r="40" spans="1:29" s="2196" customFormat="1" ht="27.6">
      <c r="A40" s="2192">
        <f t="shared" si="23"/>
        <v>26</v>
      </c>
      <c r="B40" s="2193" t="s">
        <v>2288</v>
      </c>
      <c r="C40" s="2194"/>
      <c r="D40" s="2194" t="s">
        <v>2274</v>
      </c>
      <c r="E40" s="2194">
        <v>1</v>
      </c>
      <c r="F40" s="2202">
        <v>26200</v>
      </c>
      <c r="G40" s="2203">
        <f t="shared" si="24"/>
        <v>7860</v>
      </c>
      <c r="H40" s="2203"/>
      <c r="I40" s="2203"/>
      <c r="J40" s="2203">
        <v>7000</v>
      </c>
      <c r="K40" s="2203">
        <v>3930</v>
      </c>
      <c r="L40" s="2203"/>
      <c r="M40" s="2203"/>
      <c r="N40" s="2203"/>
      <c r="O40" s="2203"/>
      <c r="P40" s="2203"/>
      <c r="Q40" s="2203"/>
      <c r="R40" s="2203"/>
      <c r="S40" s="2214">
        <f t="shared" si="15"/>
        <v>26200</v>
      </c>
      <c r="T40" s="2214">
        <f t="shared" si="16"/>
        <v>7860</v>
      </c>
      <c r="U40" s="2214">
        <f t="shared" si="17"/>
        <v>10930</v>
      </c>
      <c r="V40" s="2214">
        <f t="shared" si="18"/>
        <v>44990</v>
      </c>
      <c r="W40" s="2216">
        <f t="shared" si="19"/>
        <v>314.39999999999998</v>
      </c>
      <c r="X40" s="2216">
        <f t="shared" si="20"/>
        <v>94.320000000000007</v>
      </c>
      <c r="Y40" s="2216">
        <f t="shared" si="21"/>
        <v>131.16</v>
      </c>
      <c r="Z40" s="2216">
        <f t="shared" si="22"/>
        <v>539.88</v>
      </c>
      <c r="AA40" s="2195"/>
      <c r="AB40" s="2207">
        <f t="shared" si="2"/>
        <v>44990</v>
      </c>
      <c r="AC40" s="2197"/>
    </row>
    <row r="41" spans="1:29" s="2196" customFormat="1" ht="13.8">
      <c r="A41" s="2192">
        <f t="shared" si="23"/>
        <v>27</v>
      </c>
      <c r="B41" s="2193" t="s">
        <v>2289</v>
      </c>
      <c r="C41" s="2194"/>
      <c r="D41" s="2194"/>
      <c r="E41" s="2194">
        <v>2</v>
      </c>
      <c r="F41" s="2202">
        <v>21850</v>
      </c>
      <c r="G41" s="2203">
        <f t="shared" si="24"/>
        <v>6555</v>
      </c>
      <c r="H41" s="2203"/>
      <c r="I41" s="2203"/>
      <c r="J41" s="2203">
        <v>4500</v>
      </c>
      <c r="K41" s="2203">
        <v>3278</v>
      </c>
      <c r="L41" s="2203"/>
      <c r="M41" s="2203"/>
      <c r="N41" s="2203"/>
      <c r="O41" s="2203"/>
      <c r="P41" s="2203"/>
      <c r="Q41" s="2203"/>
      <c r="R41" s="2203"/>
      <c r="S41" s="2214">
        <f t="shared" si="15"/>
        <v>43700</v>
      </c>
      <c r="T41" s="2214">
        <f t="shared" si="16"/>
        <v>13110</v>
      </c>
      <c r="U41" s="2214">
        <f t="shared" si="17"/>
        <v>15556</v>
      </c>
      <c r="V41" s="2214">
        <f>SUM(F41:R41)*E41-1</f>
        <v>72365</v>
      </c>
      <c r="W41" s="2216">
        <f t="shared" si="19"/>
        <v>524.40000000000009</v>
      </c>
      <c r="X41" s="2216">
        <f t="shared" si="20"/>
        <v>157.32</v>
      </c>
      <c r="Y41" s="2216">
        <f t="shared" si="21"/>
        <v>186.672</v>
      </c>
      <c r="Z41" s="2216">
        <f t="shared" si="22"/>
        <v>868.39200000000005</v>
      </c>
      <c r="AA41" s="2195"/>
      <c r="AB41" s="2207">
        <f t="shared" ref="AB41:AB72" si="25">SUM(S41:U41)</f>
        <v>72366</v>
      </c>
      <c r="AC41" s="2197"/>
    </row>
    <row r="42" spans="1:29" s="2196" customFormat="1" ht="27.6">
      <c r="A42" s="2192">
        <f t="shared" si="23"/>
        <v>28</v>
      </c>
      <c r="B42" s="2193" t="s">
        <v>2288</v>
      </c>
      <c r="C42" s="2194"/>
      <c r="D42" s="2194" t="s">
        <v>2274</v>
      </c>
      <c r="E42" s="2194">
        <v>1</v>
      </c>
      <c r="F42" s="2202">
        <v>26200</v>
      </c>
      <c r="G42" s="2203">
        <f t="shared" si="24"/>
        <v>7860</v>
      </c>
      <c r="H42" s="2203"/>
      <c r="I42" s="2203"/>
      <c r="J42" s="2203">
        <v>7000</v>
      </c>
      <c r="K42" s="2203">
        <v>3930</v>
      </c>
      <c r="L42" s="2203"/>
      <c r="M42" s="2203"/>
      <c r="N42" s="2203"/>
      <c r="O42" s="2203"/>
      <c r="P42" s="2203"/>
      <c r="Q42" s="2203"/>
      <c r="R42" s="2203">
        <v>2620</v>
      </c>
      <c r="S42" s="2214">
        <f>E42*F42</f>
        <v>26200</v>
      </c>
      <c r="T42" s="2214">
        <f>E42*G42</f>
        <v>7860</v>
      </c>
      <c r="U42" s="2214">
        <f>SUM(H42:R42)*E42</f>
        <v>13550</v>
      </c>
      <c r="V42" s="2214">
        <f>SUM(F42:R42)*E42</f>
        <v>47610</v>
      </c>
      <c r="W42" s="2216">
        <f t="shared" ref="W42:Y43" si="26">S42/1000*12</f>
        <v>314.39999999999998</v>
      </c>
      <c r="X42" s="2216">
        <f t="shared" si="26"/>
        <v>94.320000000000007</v>
      </c>
      <c r="Y42" s="2216">
        <f t="shared" si="26"/>
        <v>162.60000000000002</v>
      </c>
      <c r="Z42" s="2216">
        <f>SUM(W42:Y42)</f>
        <v>571.31999999999994</v>
      </c>
      <c r="AA42" s="2195"/>
      <c r="AB42" s="2207">
        <f>SUM(S42:U42)</f>
        <v>47610</v>
      </c>
      <c r="AC42" s="2197"/>
    </row>
    <row r="43" spans="1:29" s="2196" customFormat="1" ht="27.6">
      <c r="A43" s="2192">
        <f t="shared" si="23"/>
        <v>29</v>
      </c>
      <c r="B43" s="2193" t="s">
        <v>2290</v>
      </c>
      <c r="C43" s="2194"/>
      <c r="D43" s="2194" t="s">
        <v>2274</v>
      </c>
      <c r="E43" s="2194">
        <v>4</v>
      </c>
      <c r="F43" s="2202">
        <v>21700</v>
      </c>
      <c r="G43" s="2203">
        <f t="shared" si="24"/>
        <v>6510</v>
      </c>
      <c r="H43" s="2203"/>
      <c r="I43" s="2203"/>
      <c r="J43" s="2203">
        <v>5000</v>
      </c>
      <c r="K43" s="2203">
        <v>3255</v>
      </c>
      <c r="L43" s="2203">
        <v>7843</v>
      </c>
      <c r="M43" s="2203"/>
      <c r="N43" s="2203">
        <v>2420</v>
      </c>
      <c r="O43" s="2203"/>
      <c r="P43" s="2203"/>
      <c r="Q43" s="2203"/>
      <c r="R43" s="2203"/>
      <c r="S43" s="2214">
        <f>E43*F43</f>
        <v>86800</v>
      </c>
      <c r="T43" s="2214">
        <f>E43*G43</f>
        <v>26040</v>
      </c>
      <c r="U43" s="2214">
        <f>SUM(H43:R43)*E43</f>
        <v>74072</v>
      </c>
      <c r="V43" s="2214">
        <f>SUM(F43:R43)*E43</f>
        <v>186912</v>
      </c>
      <c r="W43" s="2216">
        <f t="shared" si="26"/>
        <v>1041.5999999999999</v>
      </c>
      <c r="X43" s="2216">
        <f t="shared" si="26"/>
        <v>312.48</v>
      </c>
      <c r="Y43" s="2216">
        <f t="shared" si="26"/>
        <v>888.86400000000003</v>
      </c>
      <c r="Z43" s="2216">
        <f>SUM(W43:Y43)</f>
        <v>2242.944</v>
      </c>
      <c r="AA43" s="2195"/>
      <c r="AB43" s="2207">
        <f>SUM(S43:U43)</f>
        <v>186912</v>
      </c>
      <c r="AC43" s="2197"/>
    </row>
    <row r="44" spans="1:29" s="2196" customFormat="1" ht="27.6">
      <c r="A44" s="2192">
        <f t="shared" si="23"/>
        <v>30</v>
      </c>
      <c r="B44" s="2193" t="s">
        <v>2291</v>
      </c>
      <c r="C44" s="2194"/>
      <c r="D44" s="2194" t="s">
        <v>2274</v>
      </c>
      <c r="E44" s="2905">
        <v>3</v>
      </c>
      <c r="F44" s="2202">
        <v>24000</v>
      </c>
      <c r="G44" s="2203">
        <f t="shared" si="24"/>
        <v>7200</v>
      </c>
      <c r="H44" s="2203"/>
      <c r="I44" s="2203"/>
      <c r="J44" s="2203"/>
      <c r="K44" s="2203">
        <v>3600</v>
      </c>
      <c r="L44" s="2203">
        <v>8252</v>
      </c>
      <c r="M44" s="2203"/>
      <c r="N44" s="2203">
        <v>2541</v>
      </c>
      <c r="O44" s="2203"/>
      <c r="P44" s="2203"/>
      <c r="Q44" s="2203">
        <v>1700</v>
      </c>
      <c r="R44" s="2203"/>
      <c r="S44" s="2214">
        <f t="shared" si="15"/>
        <v>72000</v>
      </c>
      <c r="T44" s="2214">
        <f t="shared" si="16"/>
        <v>21600</v>
      </c>
      <c r="U44" s="2214">
        <f t="shared" si="17"/>
        <v>48279</v>
      </c>
      <c r="V44" s="2214">
        <f t="shared" si="18"/>
        <v>141879</v>
      </c>
      <c r="W44" s="2216">
        <f t="shared" si="19"/>
        <v>864</v>
      </c>
      <c r="X44" s="2216">
        <f t="shared" si="20"/>
        <v>259.20000000000005</v>
      </c>
      <c r="Y44" s="2216">
        <f t="shared" si="21"/>
        <v>579.34800000000007</v>
      </c>
      <c r="Z44" s="2216">
        <f t="shared" si="22"/>
        <v>1702.5480000000002</v>
      </c>
      <c r="AA44" s="2195"/>
      <c r="AB44" s="2207">
        <f t="shared" si="25"/>
        <v>141879</v>
      </c>
      <c r="AC44" s="2197"/>
    </row>
    <row r="45" spans="1:29" s="2196" customFormat="1" ht="13.8">
      <c r="A45" s="2192">
        <f t="shared" si="23"/>
        <v>31</v>
      </c>
      <c r="B45" s="2193" t="s">
        <v>2289</v>
      </c>
      <c r="C45" s="2194"/>
      <c r="D45" s="2194" t="s">
        <v>2292</v>
      </c>
      <c r="E45" s="2194">
        <v>1</v>
      </c>
      <c r="F45" s="2202">
        <v>22200</v>
      </c>
      <c r="G45" s="2203">
        <f t="shared" si="24"/>
        <v>6660</v>
      </c>
      <c r="H45" s="2203"/>
      <c r="I45" s="2203"/>
      <c r="J45" s="2203">
        <v>5000</v>
      </c>
      <c r="K45" s="2203">
        <f>G45*50%</f>
        <v>3330</v>
      </c>
      <c r="L45" s="2203"/>
      <c r="M45" s="2203"/>
      <c r="N45" s="2203"/>
      <c r="O45" s="2203"/>
      <c r="P45" s="2203"/>
      <c r="Q45" s="2203"/>
      <c r="R45" s="2203"/>
      <c r="S45" s="2214">
        <f t="shared" si="15"/>
        <v>22200</v>
      </c>
      <c r="T45" s="2214">
        <f t="shared" si="16"/>
        <v>6660</v>
      </c>
      <c r="U45" s="2214">
        <f t="shared" si="17"/>
        <v>8330</v>
      </c>
      <c r="V45" s="2214">
        <f t="shared" si="18"/>
        <v>37190</v>
      </c>
      <c r="W45" s="2216">
        <f t="shared" si="19"/>
        <v>266.39999999999998</v>
      </c>
      <c r="X45" s="2216">
        <f t="shared" si="20"/>
        <v>79.92</v>
      </c>
      <c r="Y45" s="2216">
        <f t="shared" si="21"/>
        <v>99.960000000000008</v>
      </c>
      <c r="Z45" s="2216">
        <f t="shared" si="22"/>
        <v>446.28</v>
      </c>
      <c r="AA45" s="2195"/>
      <c r="AB45" s="2207">
        <f t="shared" si="25"/>
        <v>37190</v>
      </c>
      <c r="AC45" s="2197"/>
    </row>
    <row r="46" spans="1:29" s="2196" customFormat="1" ht="13.8">
      <c r="A46" s="2192">
        <f t="shared" si="23"/>
        <v>32</v>
      </c>
      <c r="B46" s="2193" t="s">
        <v>2293</v>
      </c>
      <c r="C46" s="2194"/>
      <c r="D46" s="2194" t="s">
        <v>2280</v>
      </c>
      <c r="E46" s="2194">
        <v>1</v>
      </c>
      <c r="F46" s="2202">
        <v>22300</v>
      </c>
      <c r="G46" s="2203">
        <f t="shared" si="24"/>
        <v>6690</v>
      </c>
      <c r="H46" s="2203"/>
      <c r="I46" s="2203"/>
      <c r="J46" s="2203">
        <v>5000</v>
      </c>
      <c r="K46" s="2203">
        <v>2230</v>
      </c>
      <c r="L46" s="2203"/>
      <c r="M46" s="2203"/>
      <c r="N46" s="2203"/>
      <c r="O46" s="2203"/>
      <c r="P46" s="2203"/>
      <c r="Q46" s="2203"/>
      <c r="R46" s="2203"/>
      <c r="S46" s="2214">
        <f t="shared" si="15"/>
        <v>22300</v>
      </c>
      <c r="T46" s="2214">
        <f t="shared" si="16"/>
        <v>6690</v>
      </c>
      <c r="U46" s="2214">
        <f t="shared" si="17"/>
        <v>7230</v>
      </c>
      <c r="V46" s="2214">
        <f>SUM(F46:R46)*E46</f>
        <v>36220</v>
      </c>
      <c r="W46" s="2216">
        <f t="shared" si="19"/>
        <v>267.60000000000002</v>
      </c>
      <c r="X46" s="2216">
        <f t="shared" si="20"/>
        <v>80.28</v>
      </c>
      <c r="Y46" s="2216">
        <f t="shared" si="21"/>
        <v>86.76</v>
      </c>
      <c r="Z46" s="2216">
        <f t="shared" si="22"/>
        <v>434.64</v>
      </c>
      <c r="AA46" s="2195"/>
      <c r="AB46" s="2207">
        <f t="shared" si="25"/>
        <v>36220</v>
      </c>
      <c r="AC46" s="2197"/>
    </row>
    <row r="47" spans="1:29" s="2196" customFormat="1" ht="13.8">
      <c r="A47" s="2192">
        <f t="shared" si="23"/>
        <v>33</v>
      </c>
      <c r="B47" s="2193" t="s">
        <v>2294</v>
      </c>
      <c r="C47" s="2194"/>
      <c r="D47" s="2194" t="s">
        <v>2282</v>
      </c>
      <c r="E47" s="2194">
        <v>1</v>
      </c>
      <c r="F47" s="2202">
        <v>28600</v>
      </c>
      <c r="G47" s="2203">
        <f t="shared" si="24"/>
        <v>8580</v>
      </c>
      <c r="H47" s="2203"/>
      <c r="I47" s="2203"/>
      <c r="J47" s="2203">
        <v>1600</v>
      </c>
      <c r="K47" s="2203">
        <v>4290</v>
      </c>
      <c r="L47" s="2203"/>
      <c r="M47" s="2203"/>
      <c r="N47" s="2203"/>
      <c r="O47" s="2203"/>
      <c r="P47" s="2203"/>
      <c r="Q47" s="2203"/>
      <c r="R47" s="2203">
        <v>2860</v>
      </c>
      <c r="S47" s="2214">
        <f t="shared" si="15"/>
        <v>28600</v>
      </c>
      <c r="T47" s="2214">
        <f t="shared" si="16"/>
        <v>8580</v>
      </c>
      <c r="U47" s="2214">
        <f t="shared" si="17"/>
        <v>8750</v>
      </c>
      <c r="V47" s="2214">
        <f t="shared" si="18"/>
        <v>45930</v>
      </c>
      <c r="W47" s="2216">
        <f t="shared" si="19"/>
        <v>343.20000000000005</v>
      </c>
      <c r="X47" s="2216">
        <f t="shared" si="20"/>
        <v>102.96000000000001</v>
      </c>
      <c r="Y47" s="2216">
        <f t="shared" si="21"/>
        <v>105</v>
      </c>
      <c r="Z47" s="2216">
        <f t="shared" si="22"/>
        <v>551.16000000000008</v>
      </c>
      <c r="AA47" s="2195"/>
      <c r="AB47" s="2207">
        <f t="shared" si="25"/>
        <v>45930</v>
      </c>
      <c r="AC47" s="2197"/>
    </row>
    <row r="48" spans="1:29" s="2196" customFormat="1" ht="13.8">
      <c r="A48" s="2192">
        <f t="shared" si="23"/>
        <v>34</v>
      </c>
      <c r="B48" s="2193" t="s">
        <v>2827</v>
      </c>
      <c r="C48" s="2194"/>
      <c r="D48" s="2194" t="s">
        <v>2287</v>
      </c>
      <c r="E48" s="2905">
        <v>1</v>
      </c>
      <c r="F48" s="2202">
        <v>25500</v>
      </c>
      <c r="G48" s="2203">
        <f>F48*30%</f>
        <v>7650</v>
      </c>
      <c r="H48" s="2203"/>
      <c r="I48" s="2203"/>
      <c r="J48" s="2203"/>
      <c r="K48" s="2203">
        <v>3825</v>
      </c>
      <c r="L48" s="2203"/>
      <c r="M48" s="2203"/>
      <c r="N48" s="2203"/>
      <c r="O48" s="2203"/>
      <c r="P48" s="2203"/>
      <c r="Q48" s="2203"/>
      <c r="R48" s="2203"/>
      <c r="S48" s="2214">
        <f t="shared" si="15"/>
        <v>25500</v>
      </c>
      <c r="T48" s="2214">
        <f t="shared" si="16"/>
        <v>7650</v>
      </c>
      <c r="U48" s="2214">
        <f t="shared" si="17"/>
        <v>3825</v>
      </c>
      <c r="V48" s="2214">
        <f t="shared" si="18"/>
        <v>36975</v>
      </c>
      <c r="W48" s="2216">
        <f t="shared" si="19"/>
        <v>306</v>
      </c>
      <c r="X48" s="2216">
        <f t="shared" si="20"/>
        <v>91.800000000000011</v>
      </c>
      <c r="Y48" s="2216">
        <f t="shared" si="21"/>
        <v>45.900000000000006</v>
      </c>
      <c r="Z48" s="2216">
        <f t="shared" si="22"/>
        <v>443.70000000000005</v>
      </c>
      <c r="AA48" s="2195"/>
      <c r="AB48" s="2207">
        <f t="shared" si="25"/>
        <v>36975</v>
      </c>
      <c r="AC48" s="2197"/>
    </row>
    <row r="49" spans="1:29" s="2196" customFormat="1" ht="13.8">
      <c r="A49" s="2192">
        <f t="shared" si="23"/>
        <v>35</v>
      </c>
      <c r="B49" s="3034" t="s">
        <v>2295</v>
      </c>
      <c r="C49" s="2194"/>
      <c r="D49" s="2194" t="s">
        <v>2282</v>
      </c>
      <c r="E49" s="2905">
        <v>2</v>
      </c>
      <c r="F49" s="2202">
        <v>25900</v>
      </c>
      <c r="G49" s="2203">
        <f t="shared" si="24"/>
        <v>7770</v>
      </c>
      <c r="H49" s="2203"/>
      <c r="I49" s="2203"/>
      <c r="J49" s="2203"/>
      <c r="K49" s="2203">
        <v>3885</v>
      </c>
      <c r="L49" s="2203"/>
      <c r="M49" s="2203"/>
      <c r="N49" s="2203"/>
      <c r="O49" s="2203"/>
      <c r="P49" s="2203"/>
      <c r="Q49" s="2203"/>
      <c r="R49" s="2203">
        <v>2590</v>
      </c>
      <c r="S49" s="2214">
        <f>E49*F49</f>
        <v>51800</v>
      </c>
      <c r="T49" s="2214">
        <f>E49*G49</f>
        <v>15540</v>
      </c>
      <c r="U49" s="2214">
        <f>SUM(H49:R49)*E49</f>
        <v>12950</v>
      </c>
      <c r="V49" s="2214">
        <f>SUM(F49:R49)*E49</f>
        <v>80290</v>
      </c>
      <c r="W49" s="2216">
        <f>S49/1000*12</f>
        <v>621.59999999999991</v>
      </c>
      <c r="X49" s="2216">
        <f>T49/1000*12</f>
        <v>186.48</v>
      </c>
      <c r="Y49" s="2216">
        <f>U49/1000*12</f>
        <v>155.39999999999998</v>
      </c>
      <c r="Z49" s="2216">
        <f>SUM(W49:Y49)</f>
        <v>963.4799999999999</v>
      </c>
      <c r="AA49" s="2195"/>
      <c r="AB49" s="2207">
        <f>SUM(S49:U49)</f>
        <v>80290</v>
      </c>
      <c r="AC49" s="2197"/>
    </row>
    <row r="50" spans="1:29" s="2196" customFormat="1" ht="13.8">
      <c r="A50" s="2192">
        <v>36</v>
      </c>
      <c r="B50" s="2193" t="s">
        <v>2296</v>
      </c>
      <c r="C50" s="2194"/>
      <c r="D50" s="2194"/>
      <c r="E50" s="2905">
        <v>2</v>
      </c>
      <c r="F50" s="2202">
        <v>24700</v>
      </c>
      <c r="G50" s="2203">
        <f t="shared" si="24"/>
        <v>7410</v>
      </c>
      <c r="H50" s="2203"/>
      <c r="I50" s="2203"/>
      <c r="J50" s="2203"/>
      <c r="K50" s="2203">
        <v>3705</v>
      </c>
      <c r="L50" s="2203"/>
      <c r="M50" s="2203"/>
      <c r="N50" s="2203"/>
      <c r="O50" s="2203"/>
      <c r="P50" s="2203"/>
      <c r="Q50" s="2203"/>
      <c r="R50" s="2203"/>
      <c r="S50" s="2214">
        <f t="shared" si="15"/>
        <v>49400</v>
      </c>
      <c r="T50" s="2214">
        <f t="shared" si="16"/>
        <v>14820</v>
      </c>
      <c r="U50" s="2214">
        <f t="shared" si="17"/>
        <v>7410</v>
      </c>
      <c r="V50" s="2214">
        <f t="shared" si="18"/>
        <v>71630</v>
      </c>
      <c r="W50" s="2216">
        <f t="shared" si="19"/>
        <v>592.79999999999995</v>
      </c>
      <c r="X50" s="2216">
        <f t="shared" si="20"/>
        <v>177.84</v>
      </c>
      <c r="Y50" s="2216">
        <f t="shared" si="21"/>
        <v>88.92</v>
      </c>
      <c r="Z50" s="2216">
        <f t="shared" si="22"/>
        <v>859.56</v>
      </c>
      <c r="AA50" s="2195"/>
      <c r="AB50" s="2207">
        <f t="shared" si="25"/>
        <v>71630</v>
      </c>
      <c r="AC50" s="2197"/>
    </row>
    <row r="51" spans="1:29" s="2196" customFormat="1" ht="13.8" hidden="1">
      <c r="A51" s="2192"/>
      <c r="B51" s="2193" t="s">
        <v>2297</v>
      </c>
      <c r="C51" s="2194"/>
      <c r="D51" s="2194"/>
      <c r="E51" s="2194"/>
      <c r="F51" s="2202">
        <v>17300</v>
      </c>
      <c r="G51" s="2203">
        <f t="shared" si="24"/>
        <v>5190</v>
      </c>
      <c r="H51" s="2203"/>
      <c r="I51" s="2203"/>
      <c r="J51" s="2203"/>
      <c r="K51" s="2203">
        <f>G51*50%</f>
        <v>2595</v>
      </c>
      <c r="L51" s="2203"/>
      <c r="M51" s="2203"/>
      <c r="N51" s="2203"/>
      <c r="O51" s="2203"/>
      <c r="P51" s="2203"/>
      <c r="Q51" s="2203"/>
      <c r="R51" s="2203"/>
      <c r="S51" s="2214">
        <f t="shared" si="15"/>
        <v>0</v>
      </c>
      <c r="T51" s="2214">
        <f t="shared" si="16"/>
        <v>0</v>
      </c>
      <c r="U51" s="2214">
        <f t="shared" si="17"/>
        <v>0</v>
      </c>
      <c r="V51" s="2885">
        <f t="shared" si="18"/>
        <v>0</v>
      </c>
      <c r="W51" s="2216">
        <f t="shared" si="19"/>
        <v>0</v>
      </c>
      <c r="X51" s="2216">
        <f t="shared" si="20"/>
        <v>0</v>
      </c>
      <c r="Y51" s="2216">
        <f t="shared" si="21"/>
        <v>0</v>
      </c>
      <c r="Z51" s="2216">
        <f t="shared" si="22"/>
        <v>0</v>
      </c>
      <c r="AA51" s="2195"/>
      <c r="AB51" s="2207">
        <f t="shared" si="25"/>
        <v>0</v>
      </c>
      <c r="AC51" s="2197"/>
    </row>
    <row r="52" spans="1:29" s="2196" customFormat="1" ht="13.8">
      <c r="A52" s="2887">
        <f>A50+1</f>
        <v>37</v>
      </c>
      <c r="B52" s="2193" t="s">
        <v>2298</v>
      </c>
      <c r="C52" s="2194"/>
      <c r="D52" s="2194"/>
      <c r="E52" s="2194">
        <v>1</v>
      </c>
      <c r="F52" s="2202">
        <v>20900</v>
      </c>
      <c r="G52" s="2203">
        <f t="shared" si="24"/>
        <v>6270</v>
      </c>
      <c r="H52" s="2203"/>
      <c r="I52" s="2203"/>
      <c r="J52" s="2203"/>
      <c r="K52" s="2203">
        <v>3135</v>
      </c>
      <c r="L52" s="2203"/>
      <c r="M52" s="2203"/>
      <c r="N52" s="2203"/>
      <c r="O52" s="2203"/>
      <c r="P52" s="2203"/>
      <c r="Q52" s="2203"/>
      <c r="R52" s="2203"/>
      <c r="S52" s="2214">
        <f t="shared" si="15"/>
        <v>20900</v>
      </c>
      <c r="T52" s="2214">
        <f t="shared" si="16"/>
        <v>6270</v>
      </c>
      <c r="U52" s="2214">
        <f t="shared" si="17"/>
        <v>3135</v>
      </c>
      <c r="V52" s="2214">
        <f t="shared" si="18"/>
        <v>30305</v>
      </c>
      <c r="W52" s="2216">
        <f t="shared" si="19"/>
        <v>250.79999999999998</v>
      </c>
      <c r="X52" s="2216">
        <f t="shared" si="20"/>
        <v>75.239999999999995</v>
      </c>
      <c r="Y52" s="2216">
        <f t="shared" si="21"/>
        <v>37.619999999999997</v>
      </c>
      <c r="Z52" s="2216">
        <f t="shared" si="22"/>
        <v>363.65999999999997</v>
      </c>
      <c r="AA52" s="2195"/>
      <c r="AB52" s="2207">
        <f t="shared" si="25"/>
        <v>30305</v>
      </c>
      <c r="AC52" s="2197"/>
    </row>
    <row r="53" spans="1:29" s="2196" customFormat="1" ht="13.8">
      <c r="A53" s="2887">
        <f>A52+1</f>
        <v>38</v>
      </c>
      <c r="B53" s="2193" t="s">
        <v>2299</v>
      </c>
      <c r="C53" s="2194"/>
      <c r="D53" s="2194"/>
      <c r="E53" s="2194">
        <v>1</v>
      </c>
      <c r="F53" s="2202">
        <v>28600</v>
      </c>
      <c r="G53" s="2203">
        <f t="shared" si="24"/>
        <v>8580</v>
      </c>
      <c r="H53" s="2203"/>
      <c r="I53" s="2203"/>
      <c r="J53" s="2203"/>
      <c r="K53" s="2203">
        <v>4290</v>
      </c>
      <c r="L53" s="2203"/>
      <c r="M53" s="2203"/>
      <c r="N53" s="2203"/>
      <c r="O53" s="2203"/>
      <c r="P53" s="2203"/>
      <c r="Q53" s="2203"/>
      <c r="R53" s="2203">
        <v>2860</v>
      </c>
      <c r="S53" s="2214">
        <f t="shared" si="15"/>
        <v>28600</v>
      </c>
      <c r="T53" s="2214">
        <f t="shared" si="16"/>
        <v>8580</v>
      </c>
      <c r="U53" s="2214">
        <f t="shared" si="17"/>
        <v>7150</v>
      </c>
      <c r="V53" s="2214">
        <f t="shared" si="18"/>
        <v>44330</v>
      </c>
      <c r="W53" s="2216">
        <f t="shared" si="19"/>
        <v>343.20000000000005</v>
      </c>
      <c r="X53" s="2216">
        <f t="shared" si="20"/>
        <v>102.96000000000001</v>
      </c>
      <c r="Y53" s="2216">
        <f t="shared" si="21"/>
        <v>85.800000000000011</v>
      </c>
      <c r="Z53" s="2216">
        <f t="shared" si="22"/>
        <v>531.96</v>
      </c>
      <c r="AA53" s="2195"/>
      <c r="AB53" s="2207">
        <f t="shared" si="25"/>
        <v>44330</v>
      </c>
      <c r="AC53" s="2197"/>
    </row>
    <row r="54" spans="1:29" s="2196" customFormat="1" ht="13.8">
      <c r="A54" s="2887">
        <f t="shared" ref="A54:A77" si="27">A53+1</f>
        <v>39</v>
      </c>
      <c r="B54" s="2193" t="s">
        <v>2300</v>
      </c>
      <c r="C54" s="2194"/>
      <c r="D54" s="2194"/>
      <c r="E54" s="2194">
        <v>1</v>
      </c>
      <c r="F54" s="2202">
        <v>21700</v>
      </c>
      <c r="G54" s="2203">
        <f t="shared" si="24"/>
        <v>6510</v>
      </c>
      <c r="H54" s="2203"/>
      <c r="I54" s="2203"/>
      <c r="J54" s="2203"/>
      <c r="K54" s="2203">
        <v>3255</v>
      </c>
      <c r="L54" s="2203"/>
      <c r="M54" s="2203"/>
      <c r="N54" s="2203"/>
      <c r="O54" s="2203"/>
      <c r="P54" s="2203"/>
      <c r="Q54" s="2203"/>
      <c r="R54" s="2203"/>
      <c r="S54" s="2214">
        <f t="shared" si="15"/>
        <v>21700</v>
      </c>
      <c r="T54" s="2214">
        <f t="shared" si="16"/>
        <v>6510</v>
      </c>
      <c r="U54" s="2214">
        <f t="shared" si="17"/>
        <v>3255</v>
      </c>
      <c r="V54" s="2214">
        <f t="shared" si="18"/>
        <v>31465</v>
      </c>
      <c r="W54" s="2216">
        <f t="shared" si="19"/>
        <v>260.39999999999998</v>
      </c>
      <c r="X54" s="2216">
        <f t="shared" si="20"/>
        <v>78.12</v>
      </c>
      <c r="Y54" s="2216">
        <f t="shared" si="21"/>
        <v>39.06</v>
      </c>
      <c r="Z54" s="2216">
        <f t="shared" si="22"/>
        <v>377.58</v>
      </c>
      <c r="AA54" s="2195"/>
      <c r="AB54" s="2207">
        <f t="shared" si="25"/>
        <v>31465</v>
      </c>
      <c r="AC54" s="2197"/>
    </row>
    <row r="55" spans="1:29" s="2196" customFormat="1" ht="13.8">
      <c r="A55" s="2887">
        <f t="shared" si="27"/>
        <v>40</v>
      </c>
      <c r="B55" s="2193" t="s">
        <v>2301</v>
      </c>
      <c r="C55" s="2194"/>
      <c r="D55" s="2194"/>
      <c r="E55" s="2194">
        <v>1</v>
      </c>
      <c r="F55" s="2202">
        <v>19600</v>
      </c>
      <c r="G55" s="2203">
        <f t="shared" si="24"/>
        <v>5880</v>
      </c>
      <c r="H55" s="2203"/>
      <c r="I55" s="2203"/>
      <c r="J55" s="2203"/>
      <c r="K55" s="2203">
        <v>2940</v>
      </c>
      <c r="L55" s="2203"/>
      <c r="M55" s="2203"/>
      <c r="N55" s="2203"/>
      <c r="O55" s="2203"/>
      <c r="P55" s="2203"/>
      <c r="Q55" s="2203"/>
      <c r="R55" s="2203"/>
      <c r="S55" s="2214">
        <f t="shared" si="15"/>
        <v>19600</v>
      </c>
      <c r="T55" s="2214">
        <f t="shared" si="16"/>
        <v>5880</v>
      </c>
      <c r="U55" s="2214">
        <f t="shared" si="17"/>
        <v>2940</v>
      </c>
      <c r="V55" s="2214">
        <f t="shared" si="18"/>
        <v>28420</v>
      </c>
      <c r="W55" s="2216">
        <f t="shared" si="19"/>
        <v>235.20000000000002</v>
      </c>
      <c r="X55" s="2216">
        <f t="shared" si="20"/>
        <v>70.56</v>
      </c>
      <c r="Y55" s="2216">
        <f t="shared" si="21"/>
        <v>35.28</v>
      </c>
      <c r="Z55" s="2216">
        <f t="shared" si="22"/>
        <v>341.03999999999996</v>
      </c>
      <c r="AA55" s="2195"/>
      <c r="AB55" s="2207">
        <f t="shared" si="25"/>
        <v>28420</v>
      </c>
      <c r="AC55" s="2197"/>
    </row>
    <row r="56" spans="1:29" s="2196" customFormat="1" ht="13.8">
      <c r="A56" s="2887">
        <f t="shared" si="27"/>
        <v>41</v>
      </c>
      <c r="B56" s="2193" t="s">
        <v>2302</v>
      </c>
      <c r="C56" s="2194"/>
      <c r="D56" s="2194"/>
      <c r="E56" s="2194">
        <v>1</v>
      </c>
      <c r="F56" s="2202">
        <v>20900</v>
      </c>
      <c r="G56" s="2203">
        <f t="shared" si="24"/>
        <v>6270</v>
      </c>
      <c r="H56" s="2203"/>
      <c r="I56" s="2203"/>
      <c r="J56" s="2203"/>
      <c r="K56" s="2203">
        <v>3135</v>
      </c>
      <c r="L56" s="2203"/>
      <c r="M56" s="2203"/>
      <c r="N56" s="2203"/>
      <c r="O56" s="2203"/>
      <c r="P56" s="2203"/>
      <c r="Q56" s="2203"/>
      <c r="R56" s="2203"/>
      <c r="S56" s="2214">
        <f t="shared" si="15"/>
        <v>20900</v>
      </c>
      <c r="T56" s="2214">
        <f t="shared" si="16"/>
        <v>6270</v>
      </c>
      <c r="U56" s="2214">
        <f t="shared" si="17"/>
        <v>3135</v>
      </c>
      <c r="V56" s="2214">
        <f t="shared" si="18"/>
        <v>30305</v>
      </c>
      <c r="W56" s="2216">
        <f t="shared" si="19"/>
        <v>250.79999999999998</v>
      </c>
      <c r="X56" s="2216">
        <f t="shared" si="20"/>
        <v>75.239999999999995</v>
      </c>
      <c r="Y56" s="2216">
        <f t="shared" si="21"/>
        <v>37.619999999999997</v>
      </c>
      <c r="Z56" s="2216">
        <f t="shared" si="22"/>
        <v>363.65999999999997</v>
      </c>
      <c r="AA56" s="2195"/>
      <c r="AB56" s="2207">
        <f t="shared" si="25"/>
        <v>30305</v>
      </c>
      <c r="AC56" s="2197"/>
    </row>
    <row r="57" spans="1:29" s="2196" customFormat="1" ht="13.8" hidden="1">
      <c r="A57" s="2887">
        <f t="shared" si="27"/>
        <v>42</v>
      </c>
      <c r="B57" s="2193" t="s">
        <v>2303</v>
      </c>
      <c r="C57" s="2194"/>
      <c r="D57" s="2194"/>
      <c r="E57" s="2194">
        <v>0</v>
      </c>
      <c r="F57" s="2202">
        <v>29700</v>
      </c>
      <c r="G57" s="2203">
        <f t="shared" si="24"/>
        <v>8910</v>
      </c>
      <c r="H57" s="2203"/>
      <c r="I57" s="2203"/>
      <c r="J57" s="2203"/>
      <c r="K57" s="2203">
        <v>4455</v>
      </c>
      <c r="L57" s="2203"/>
      <c r="M57" s="2203"/>
      <c r="N57" s="2203"/>
      <c r="O57" s="2203"/>
      <c r="P57" s="2203"/>
      <c r="Q57" s="2203"/>
      <c r="R57" s="2203"/>
      <c r="S57" s="2214">
        <f t="shared" si="15"/>
        <v>0</v>
      </c>
      <c r="T57" s="2214">
        <f t="shared" si="16"/>
        <v>0</v>
      </c>
      <c r="U57" s="2214">
        <f t="shared" si="17"/>
        <v>0</v>
      </c>
      <c r="V57" s="2214">
        <f t="shared" si="18"/>
        <v>0</v>
      </c>
      <c r="W57" s="2216">
        <f t="shared" si="19"/>
        <v>0</v>
      </c>
      <c r="X57" s="2216">
        <f t="shared" si="20"/>
        <v>0</v>
      </c>
      <c r="Y57" s="2216">
        <f t="shared" si="21"/>
        <v>0</v>
      </c>
      <c r="Z57" s="2216">
        <f t="shared" si="22"/>
        <v>0</v>
      </c>
      <c r="AA57" s="2195"/>
      <c r="AB57" s="2207">
        <f t="shared" si="25"/>
        <v>0</v>
      </c>
      <c r="AC57" s="2197"/>
    </row>
    <row r="58" spans="1:29" s="2196" customFormat="1" ht="19.5" customHeight="1">
      <c r="A58" s="2887">
        <f>A56+1</f>
        <v>42</v>
      </c>
      <c r="B58" s="2193" t="s">
        <v>2829</v>
      </c>
      <c r="C58" s="2194"/>
      <c r="D58" s="2194"/>
      <c r="E58" s="2194">
        <v>1</v>
      </c>
      <c r="F58" s="2202">
        <v>29700</v>
      </c>
      <c r="G58" s="2203">
        <f t="shared" si="24"/>
        <v>8910</v>
      </c>
      <c r="H58" s="2203"/>
      <c r="I58" s="2203"/>
      <c r="J58" s="2203"/>
      <c r="K58" s="2203">
        <v>4455</v>
      </c>
      <c r="L58" s="2203"/>
      <c r="M58" s="2203"/>
      <c r="N58" s="2203"/>
      <c r="O58" s="2203"/>
      <c r="P58" s="2203"/>
      <c r="Q58" s="2203"/>
      <c r="R58" s="2203"/>
      <c r="S58" s="2214">
        <f t="shared" si="15"/>
        <v>29700</v>
      </c>
      <c r="T58" s="2214">
        <f t="shared" si="16"/>
        <v>8910</v>
      </c>
      <c r="U58" s="2214">
        <f t="shared" si="17"/>
        <v>4455</v>
      </c>
      <c r="V58" s="2214">
        <f t="shared" si="18"/>
        <v>43065</v>
      </c>
      <c r="W58" s="2216">
        <f t="shared" si="19"/>
        <v>356.4</v>
      </c>
      <c r="X58" s="2216">
        <f t="shared" si="20"/>
        <v>106.92</v>
      </c>
      <c r="Y58" s="2216">
        <f t="shared" si="21"/>
        <v>53.46</v>
      </c>
      <c r="Z58" s="2216">
        <f t="shared" si="22"/>
        <v>516.78</v>
      </c>
      <c r="AA58" s="2195"/>
      <c r="AB58" s="2207">
        <f t="shared" si="25"/>
        <v>43065</v>
      </c>
      <c r="AC58" s="2197"/>
    </row>
    <row r="59" spans="1:29" s="2196" customFormat="1" ht="19.5" customHeight="1">
      <c r="A59" s="2887">
        <f>A57+1</f>
        <v>43</v>
      </c>
      <c r="B59" s="2193" t="s">
        <v>2828</v>
      </c>
      <c r="C59" s="2194"/>
      <c r="D59" s="2194"/>
      <c r="E59" s="2194">
        <v>1</v>
      </c>
      <c r="F59" s="2202">
        <v>24000</v>
      </c>
      <c r="G59" s="2203">
        <f t="shared" si="24"/>
        <v>7200</v>
      </c>
      <c r="H59" s="2203"/>
      <c r="I59" s="2203"/>
      <c r="J59" s="2203"/>
      <c r="K59" s="2203">
        <v>3600</v>
      </c>
      <c r="L59" s="2203"/>
      <c r="M59" s="2203"/>
      <c r="N59" s="2203"/>
      <c r="O59" s="2203"/>
      <c r="P59" s="2203"/>
      <c r="Q59" s="2203"/>
      <c r="R59" s="2203"/>
      <c r="S59" s="2214">
        <f>E59*F59</f>
        <v>24000</v>
      </c>
      <c r="T59" s="2214">
        <f>E59*G59</f>
        <v>7200</v>
      </c>
      <c r="U59" s="2214">
        <f>SUM(H59:R59)*E59</f>
        <v>3600</v>
      </c>
      <c r="V59" s="2214">
        <f>SUM(F59:R59)*E59</f>
        <v>34800</v>
      </c>
      <c r="W59" s="2216">
        <f>S59/1000*12</f>
        <v>288</v>
      </c>
      <c r="X59" s="2216">
        <f>T59/1000*12</f>
        <v>86.4</v>
      </c>
      <c r="Y59" s="2216">
        <f>U59/1000*12</f>
        <v>43.2</v>
      </c>
      <c r="Z59" s="2216">
        <f>SUM(W59:Y59)</f>
        <v>417.59999999999997</v>
      </c>
      <c r="AA59" s="2195"/>
      <c r="AB59" s="2207">
        <f>SUM(S59:U59)</f>
        <v>34800</v>
      </c>
      <c r="AC59" s="2197"/>
    </row>
    <row r="60" spans="1:29" s="2196" customFormat="1" ht="13.8">
      <c r="A60" s="2887">
        <f>A59+1</f>
        <v>44</v>
      </c>
      <c r="B60" s="2193" t="s">
        <v>2304</v>
      </c>
      <c r="C60" s="2194"/>
      <c r="D60" s="2194"/>
      <c r="E60" s="2194">
        <v>1</v>
      </c>
      <c r="F60" s="2202">
        <v>29700</v>
      </c>
      <c r="G60" s="2203">
        <f t="shared" si="24"/>
        <v>8910</v>
      </c>
      <c r="H60" s="2203"/>
      <c r="I60" s="2203"/>
      <c r="J60" s="2203"/>
      <c r="K60" s="2203">
        <f>G60*50%</f>
        <v>4455</v>
      </c>
      <c r="L60" s="2203"/>
      <c r="M60" s="2203"/>
      <c r="N60" s="2203"/>
      <c r="O60" s="2203"/>
      <c r="P60" s="2203"/>
      <c r="Q60" s="2203"/>
      <c r="R60" s="2203">
        <v>2970</v>
      </c>
      <c r="S60" s="2214">
        <f t="shared" si="15"/>
        <v>29700</v>
      </c>
      <c r="T60" s="2214">
        <f t="shared" si="16"/>
        <v>8910</v>
      </c>
      <c r="U60" s="2214">
        <f t="shared" si="17"/>
        <v>7425</v>
      </c>
      <c r="V60" s="2214">
        <f t="shared" si="18"/>
        <v>46035</v>
      </c>
      <c r="W60" s="2216">
        <f t="shared" si="19"/>
        <v>356.4</v>
      </c>
      <c r="X60" s="2216">
        <f t="shared" si="20"/>
        <v>106.92</v>
      </c>
      <c r="Y60" s="2216">
        <f t="shared" si="21"/>
        <v>89.1</v>
      </c>
      <c r="Z60" s="2216">
        <f t="shared" si="22"/>
        <v>552.41999999999996</v>
      </c>
      <c r="AA60" s="2195"/>
      <c r="AB60" s="2207">
        <f t="shared" si="25"/>
        <v>46035</v>
      </c>
      <c r="AC60" s="2197"/>
    </row>
    <row r="61" spans="1:29" s="2196" customFormat="1" ht="13.8">
      <c r="A61" s="2887">
        <f t="shared" si="27"/>
        <v>45</v>
      </c>
      <c r="B61" s="2193" t="s">
        <v>2305</v>
      </c>
      <c r="C61" s="2194"/>
      <c r="D61" s="2194"/>
      <c r="E61" s="2194">
        <v>1</v>
      </c>
      <c r="F61" s="2202">
        <v>24600</v>
      </c>
      <c r="G61" s="2203">
        <f t="shared" si="24"/>
        <v>7380</v>
      </c>
      <c r="H61" s="2203"/>
      <c r="I61" s="2203"/>
      <c r="J61" s="2203"/>
      <c r="K61" s="2203">
        <v>3690</v>
      </c>
      <c r="L61" s="2203"/>
      <c r="M61" s="2203"/>
      <c r="N61" s="2203"/>
      <c r="O61" s="2203"/>
      <c r="P61" s="2203"/>
      <c r="Q61" s="2203"/>
      <c r="R61" s="2203"/>
      <c r="S61" s="2214">
        <f t="shared" si="15"/>
        <v>24600</v>
      </c>
      <c r="T61" s="2214">
        <f t="shared" si="16"/>
        <v>7380</v>
      </c>
      <c r="U61" s="2214">
        <f t="shared" si="17"/>
        <v>3690</v>
      </c>
      <c r="V61" s="2214">
        <f>SUM(F61:R61)*E61</f>
        <v>35670</v>
      </c>
      <c r="W61" s="2216">
        <f t="shared" si="19"/>
        <v>295.20000000000005</v>
      </c>
      <c r="X61" s="2216">
        <f t="shared" si="20"/>
        <v>88.56</v>
      </c>
      <c r="Y61" s="2216">
        <f t="shared" si="21"/>
        <v>44.28</v>
      </c>
      <c r="Z61" s="2216">
        <f t="shared" si="22"/>
        <v>428.04000000000008</v>
      </c>
      <c r="AA61" s="2195"/>
      <c r="AB61" s="2207">
        <f t="shared" si="25"/>
        <v>35670</v>
      </c>
      <c r="AC61" s="2197"/>
    </row>
    <row r="62" spans="1:29" s="2196" customFormat="1" ht="13.8">
      <c r="A62" s="2887">
        <f t="shared" si="27"/>
        <v>46</v>
      </c>
      <c r="B62" s="2193" t="s">
        <v>2830</v>
      </c>
      <c r="C62" s="2194"/>
      <c r="D62" s="2194"/>
      <c r="E62" s="2194">
        <v>1</v>
      </c>
      <c r="F62" s="2202">
        <v>18100</v>
      </c>
      <c r="G62" s="2203">
        <f t="shared" si="24"/>
        <v>5430</v>
      </c>
      <c r="H62" s="2203"/>
      <c r="I62" s="2203"/>
      <c r="J62" s="2203"/>
      <c r="K62" s="2203">
        <v>1810</v>
      </c>
      <c r="L62" s="2203"/>
      <c r="M62" s="2203"/>
      <c r="N62" s="2203"/>
      <c r="O62" s="2203"/>
      <c r="P62" s="2203"/>
      <c r="Q62" s="2203"/>
      <c r="R62" s="2203"/>
      <c r="S62" s="2214">
        <f t="shared" si="15"/>
        <v>18100</v>
      </c>
      <c r="T62" s="2214">
        <f t="shared" si="16"/>
        <v>5430</v>
      </c>
      <c r="U62" s="2214">
        <f t="shared" si="17"/>
        <v>1810</v>
      </c>
      <c r="V62" s="2214">
        <f t="shared" si="18"/>
        <v>25340</v>
      </c>
      <c r="W62" s="2216">
        <f t="shared" si="19"/>
        <v>217.20000000000002</v>
      </c>
      <c r="X62" s="2216">
        <f t="shared" si="20"/>
        <v>65.16</v>
      </c>
      <c r="Y62" s="2216">
        <f t="shared" si="21"/>
        <v>21.72</v>
      </c>
      <c r="Z62" s="2216">
        <f t="shared" si="22"/>
        <v>304.08000000000004</v>
      </c>
      <c r="AA62" s="2195"/>
      <c r="AB62" s="2207">
        <f t="shared" si="25"/>
        <v>25340</v>
      </c>
      <c r="AC62" s="2197"/>
    </row>
    <row r="63" spans="1:29" s="2196" customFormat="1" ht="13.8">
      <c r="A63" s="2887">
        <f t="shared" si="27"/>
        <v>47</v>
      </c>
      <c r="B63" s="2193" t="s">
        <v>2306</v>
      </c>
      <c r="C63" s="2194"/>
      <c r="D63" s="2194"/>
      <c r="E63" s="2194">
        <v>1</v>
      </c>
      <c r="F63" s="2202">
        <v>26200</v>
      </c>
      <c r="G63" s="2203">
        <f t="shared" si="24"/>
        <v>7860</v>
      </c>
      <c r="H63" s="2203"/>
      <c r="I63" s="2203"/>
      <c r="J63" s="2203">
        <v>600</v>
      </c>
      <c r="K63" s="2203">
        <v>3930</v>
      </c>
      <c r="L63" s="2203"/>
      <c r="M63" s="2203"/>
      <c r="N63" s="2203"/>
      <c r="O63" s="2203"/>
      <c r="P63" s="2203"/>
      <c r="Q63" s="2203"/>
      <c r="R63" s="2203"/>
      <c r="S63" s="2214">
        <f t="shared" si="15"/>
        <v>26200</v>
      </c>
      <c r="T63" s="2214">
        <f t="shared" si="16"/>
        <v>7860</v>
      </c>
      <c r="U63" s="2214">
        <f t="shared" si="17"/>
        <v>4530</v>
      </c>
      <c r="V63" s="2885">
        <f t="shared" si="18"/>
        <v>38590</v>
      </c>
      <c r="W63" s="2216">
        <f t="shared" si="19"/>
        <v>314.39999999999998</v>
      </c>
      <c r="X63" s="2216">
        <f t="shared" si="20"/>
        <v>94.320000000000007</v>
      </c>
      <c r="Y63" s="2216">
        <f t="shared" si="21"/>
        <v>54.36</v>
      </c>
      <c r="Z63" s="2216">
        <f t="shared" si="22"/>
        <v>463.08</v>
      </c>
      <c r="AA63" s="2195"/>
      <c r="AB63" s="2207">
        <f t="shared" si="25"/>
        <v>38590</v>
      </c>
      <c r="AC63" s="2197"/>
    </row>
    <row r="64" spans="1:29" s="2196" customFormat="1" ht="27.6">
      <c r="A64" s="2887">
        <f t="shared" si="27"/>
        <v>48</v>
      </c>
      <c r="B64" s="2193" t="s">
        <v>2307</v>
      </c>
      <c r="C64" s="2194"/>
      <c r="D64" s="2194"/>
      <c r="E64" s="2194">
        <v>1</v>
      </c>
      <c r="F64" s="2202">
        <v>20564</v>
      </c>
      <c r="G64" s="2203">
        <f>F64*25%</f>
        <v>5141</v>
      </c>
      <c r="H64" s="2203"/>
      <c r="I64" s="2203"/>
      <c r="J64" s="2203"/>
      <c r="K64" s="2203">
        <v>2056</v>
      </c>
      <c r="L64" s="2203"/>
      <c r="M64" s="2203"/>
      <c r="N64" s="2203"/>
      <c r="O64" s="2203"/>
      <c r="P64" s="2203"/>
      <c r="Q64" s="2203"/>
      <c r="R64" s="2203"/>
      <c r="S64" s="2214">
        <f t="shared" si="15"/>
        <v>20564</v>
      </c>
      <c r="T64" s="2214">
        <f t="shared" si="16"/>
        <v>5141</v>
      </c>
      <c r="U64" s="2214">
        <f t="shared" si="17"/>
        <v>2056</v>
      </c>
      <c r="V64" s="2214">
        <f t="shared" si="18"/>
        <v>27761</v>
      </c>
      <c r="W64" s="2216">
        <f t="shared" si="19"/>
        <v>246.768</v>
      </c>
      <c r="X64" s="2216">
        <f t="shared" si="20"/>
        <v>61.692</v>
      </c>
      <c r="Y64" s="2216">
        <f t="shared" si="21"/>
        <v>24.672000000000001</v>
      </c>
      <c r="Z64" s="2216">
        <f t="shared" si="22"/>
        <v>333.13200000000001</v>
      </c>
      <c r="AA64" s="2195"/>
      <c r="AB64" s="2207">
        <f t="shared" si="25"/>
        <v>27761</v>
      </c>
      <c r="AC64" s="2197"/>
    </row>
    <row r="65" spans="1:29" s="2196" customFormat="1" ht="13.8">
      <c r="A65" s="2887">
        <f t="shared" si="27"/>
        <v>49</v>
      </c>
      <c r="B65" s="2193" t="s">
        <v>2308</v>
      </c>
      <c r="C65" s="2194"/>
      <c r="D65" s="2194"/>
      <c r="E65" s="2194">
        <v>2</v>
      </c>
      <c r="F65" s="2202">
        <v>21499</v>
      </c>
      <c r="G65" s="2203">
        <f t="shared" ref="G65:G72" si="28">F65*25%</f>
        <v>5374.75</v>
      </c>
      <c r="H65" s="2203"/>
      <c r="I65" s="2203"/>
      <c r="J65" s="2203"/>
      <c r="K65" s="2203">
        <v>2150</v>
      </c>
      <c r="L65" s="2203"/>
      <c r="M65" s="2203"/>
      <c r="N65" s="2203"/>
      <c r="O65" s="2203"/>
      <c r="P65" s="2203">
        <v>3225</v>
      </c>
      <c r="Q65" s="2203"/>
      <c r="R65" s="2203"/>
      <c r="S65" s="2214">
        <f t="shared" si="15"/>
        <v>42998</v>
      </c>
      <c r="T65" s="2214">
        <f t="shared" si="16"/>
        <v>10749.5</v>
      </c>
      <c r="U65" s="2214">
        <f t="shared" si="17"/>
        <v>10750</v>
      </c>
      <c r="V65" s="2214">
        <f>SUM(F65:R65)*E65-1</f>
        <v>64496.5</v>
      </c>
      <c r="W65" s="2216">
        <f t="shared" si="19"/>
        <v>515.976</v>
      </c>
      <c r="X65" s="2216">
        <f t="shared" si="20"/>
        <v>128.994</v>
      </c>
      <c r="Y65" s="2216">
        <f t="shared" si="21"/>
        <v>129</v>
      </c>
      <c r="Z65" s="2216">
        <f t="shared" si="22"/>
        <v>773.97</v>
      </c>
      <c r="AA65" s="2195"/>
      <c r="AB65" s="2207">
        <f t="shared" si="25"/>
        <v>64497.5</v>
      </c>
      <c r="AC65" s="2197"/>
    </row>
    <row r="66" spans="1:29" s="2196" customFormat="1" ht="13.8" hidden="1">
      <c r="A66" s="2887">
        <f t="shared" si="27"/>
        <v>50</v>
      </c>
      <c r="B66" s="2193" t="s">
        <v>2309</v>
      </c>
      <c r="C66" s="2194"/>
      <c r="D66" s="2194"/>
      <c r="E66" s="2194"/>
      <c r="F66" s="2202">
        <v>10700</v>
      </c>
      <c r="G66" s="2203">
        <f t="shared" si="28"/>
        <v>2675</v>
      </c>
      <c r="H66" s="2203"/>
      <c r="I66" s="2203"/>
      <c r="J66" s="2203"/>
      <c r="K66" s="2203">
        <f>G66*50%</f>
        <v>1337.5</v>
      </c>
      <c r="L66" s="2203">
        <v>4270</v>
      </c>
      <c r="M66" s="2203"/>
      <c r="N66" s="2203"/>
      <c r="O66" s="2203"/>
      <c r="P66" s="2203"/>
      <c r="Q66" s="2203"/>
      <c r="R66" s="2203"/>
      <c r="S66" s="2214">
        <f t="shared" si="15"/>
        <v>0</v>
      </c>
      <c r="T66" s="2214">
        <f t="shared" si="16"/>
        <v>0</v>
      </c>
      <c r="U66" s="2214">
        <f t="shared" si="17"/>
        <v>0</v>
      </c>
      <c r="V66" s="2885">
        <f t="shared" si="18"/>
        <v>0</v>
      </c>
      <c r="W66" s="2216">
        <f t="shared" si="19"/>
        <v>0</v>
      </c>
      <c r="X66" s="2216">
        <f t="shared" si="20"/>
        <v>0</v>
      </c>
      <c r="Y66" s="2216">
        <f t="shared" si="21"/>
        <v>0</v>
      </c>
      <c r="Z66" s="2216">
        <f t="shared" si="22"/>
        <v>0</v>
      </c>
      <c r="AA66" s="2195"/>
      <c r="AB66" s="2207">
        <f t="shared" si="25"/>
        <v>0</v>
      </c>
      <c r="AC66" s="2197"/>
    </row>
    <row r="67" spans="1:29" s="2196" customFormat="1" ht="13.8" hidden="1">
      <c r="A67" s="2887">
        <f t="shared" si="27"/>
        <v>51</v>
      </c>
      <c r="B67" s="2193" t="s">
        <v>2310</v>
      </c>
      <c r="C67" s="2194"/>
      <c r="D67" s="2194"/>
      <c r="E67" s="2194"/>
      <c r="F67" s="2202">
        <v>15640</v>
      </c>
      <c r="G67" s="2203">
        <f t="shared" si="28"/>
        <v>3910</v>
      </c>
      <c r="H67" s="2203"/>
      <c r="I67" s="2203"/>
      <c r="J67" s="2203"/>
      <c r="K67" s="2203">
        <f>G67*50%</f>
        <v>1955</v>
      </c>
      <c r="L67" s="2203"/>
      <c r="M67" s="2203"/>
      <c r="N67" s="2203"/>
      <c r="O67" s="2203"/>
      <c r="P67" s="2203"/>
      <c r="Q67" s="2203"/>
      <c r="R67" s="2203"/>
      <c r="S67" s="2214">
        <f t="shared" si="15"/>
        <v>0</v>
      </c>
      <c r="T67" s="2214">
        <f t="shared" si="16"/>
        <v>0</v>
      </c>
      <c r="U67" s="2214">
        <f t="shared" si="17"/>
        <v>0</v>
      </c>
      <c r="V67" s="2885">
        <f t="shared" si="18"/>
        <v>0</v>
      </c>
      <c r="W67" s="2216">
        <f t="shared" si="19"/>
        <v>0</v>
      </c>
      <c r="X67" s="2216">
        <f t="shared" si="20"/>
        <v>0</v>
      </c>
      <c r="Y67" s="2216">
        <f t="shared" si="21"/>
        <v>0</v>
      </c>
      <c r="Z67" s="2216">
        <f t="shared" si="22"/>
        <v>0</v>
      </c>
      <c r="AA67" s="2195"/>
      <c r="AB67" s="2207">
        <f t="shared" si="25"/>
        <v>0</v>
      </c>
      <c r="AC67" s="2197"/>
    </row>
    <row r="68" spans="1:29" s="2196" customFormat="1" ht="13.8" hidden="1">
      <c r="A68" s="2887">
        <f t="shared" si="27"/>
        <v>52</v>
      </c>
      <c r="B68" s="2193" t="s">
        <v>2319</v>
      </c>
      <c r="C68" s="2194"/>
      <c r="D68" s="2194"/>
      <c r="E68" s="2194">
        <v>0</v>
      </c>
      <c r="F68" s="2202">
        <v>17258</v>
      </c>
      <c r="G68" s="2203">
        <f t="shared" si="28"/>
        <v>4314.5</v>
      </c>
      <c r="H68" s="2203"/>
      <c r="I68" s="2203">
        <v>690</v>
      </c>
      <c r="J68" s="2203"/>
      <c r="K68" s="2203">
        <v>2589</v>
      </c>
      <c r="L68" s="2203"/>
      <c r="M68" s="2203"/>
      <c r="N68" s="2203"/>
      <c r="O68" s="2203"/>
      <c r="P68" s="2203">
        <v>860</v>
      </c>
      <c r="Q68" s="2203"/>
      <c r="R68" s="2203"/>
      <c r="S68" s="2214">
        <f t="shared" si="15"/>
        <v>0</v>
      </c>
      <c r="T68" s="2214">
        <f t="shared" si="16"/>
        <v>0</v>
      </c>
      <c r="U68" s="2214">
        <f t="shared" si="17"/>
        <v>0</v>
      </c>
      <c r="V68" s="2214">
        <f t="shared" si="18"/>
        <v>0</v>
      </c>
      <c r="W68" s="2216">
        <f t="shared" si="19"/>
        <v>0</v>
      </c>
      <c r="X68" s="2216">
        <f t="shared" si="20"/>
        <v>0</v>
      </c>
      <c r="Y68" s="2216">
        <f t="shared" si="21"/>
        <v>0</v>
      </c>
      <c r="Z68" s="2216">
        <f t="shared" si="22"/>
        <v>0</v>
      </c>
      <c r="AA68" s="2195"/>
      <c r="AB68" s="2207">
        <f t="shared" si="25"/>
        <v>0</v>
      </c>
      <c r="AC68" s="2197"/>
    </row>
    <row r="69" spans="1:29" s="2196" customFormat="1" ht="13.8">
      <c r="A69" s="2887">
        <f>A65+1</f>
        <v>50</v>
      </c>
      <c r="B69" s="2193" t="s">
        <v>2311</v>
      </c>
      <c r="C69" s="2194"/>
      <c r="D69" s="2194"/>
      <c r="E69" s="2194">
        <v>1</v>
      </c>
      <c r="F69" s="2202">
        <v>15300</v>
      </c>
      <c r="G69" s="2203">
        <f>F69*30%</f>
        <v>4590</v>
      </c>
      <c r="H69" s="2203"/>
      <c r="I69" s="2203"/>
      <c r="J69" s="2203"/>
      <c r="K69" s="2203">
        <v>1530</v>
      </c>
      <c r="L69" s="2203"/>
      <c r="M69" s="2203"/>
      <c r="N69" s="2203"/>
      <c r="O69" s="2203"/>
      <c r="P69" s="2203">
        <v>2295</v>
      </c>
      <c r="Q69" s="2203"/>
      <c r="R69" s="2203"/>
      <c r="S69" s="2214">
        <f t="shared" si="15"/>
        <v>15300</v>
      </c>
      <c r="T69" s="2214">
        <f t="shared" si="16"/>
        <v>4590</v>
      </c>
      <c r="U69" s="2214">
        <f t="shared" si="17"/>
        <v>3825</v>
      </c>
      <c r="V69" s="2214">
        <f t="shared" si="18"/>
        <v>23715</v>
      </c>
      <c r="W69" s="2216">
        <f t="shared" si="19"/>
        <v>183.60000000000002</v>
      </c>
      <c r="X69" s="2216">
        <f t="shared" si="20"/>
        <v>55.08</v>
      </c>
      <c r="Y69" s="2216">
        <f t="shared" si="21"/>
        <v>45.900000000000006</v>
      </c>
      <c r="Z69" s="2216">
        <f t="shared" si="22"/>
        <v>284.58000000000004</v>
      </c>
      <c r="AA69" s="2195"/>
      <c r="AB69" s="2207">
        <f t="shared" si="25"/>
        <v>23715</v>
      </c>
      <c r="AC69" s="2197"/>
    </row>
    <row r="70" spans="1:29" s="2196" customFormat="1" ht="17.25" hidden="1" customHeight="1">
      <c r="A70" s="2887"/>
      <c r="B70" s="2193"/>
      <c r="C70" s="2194"/>
      <c r="D70" s="2194"/>
      <c r="E70" s="2194"/>
      <c r="F70" s="2202"/>
      <c r="G70" s="2203">
        <f t="shared" si="28"/>
        <v>0</v>
      </c>
      <c r="H70" s="2203"/>
      <c r="I70" s="2203"/>
      <c r="J70" s="2203"/>
      <c r="K70" s="2203"/>
      <c r="L70" s="2203"/>
      <c r="M70" s="2203"/>
      <c r="N70" s="2203"/>
      <c r="O70" s="2203"/>
      <c r="P70" s="2203"/>
      <c r="Q70" s="2203"/>
      <c r="R70" s="2203"/>
      <c r="S70" s="2214">
        <f t="shared" si="15"/>
        <v>0</v>
      </c>
      <c r="T70" s="2214">
        <f t="shared" si="16"/>
        <v>0</v>
      </c>
      <c r="U70" s="2214">
        <f t="shared" si="17"/>
        <v>0</v>
      </c>
      <c r="V70" s="2214">
        <f t="shared" si="18"/>
        <v>0</v>
      </c>
      <c r="W70" s="2216">
        <f t="shared" si="19"/>
        <v>0</v>
      </c>
      <c r="X70" s="2216">
        <f t="shared" si="20"/>
        <v>0</v>
      </c>
      <c r="Y70" s="2216">
        <f t="shared" si="21"/>
        <v>0</v>
      </c>
      <c r="Z70" s="2216">
        <f t="shared" si="22"/>
        <v>0</v>
      </c>
      <c r="AA70" s="2195"/>
      <c r="AB70" s="2207">
        <f t="shared" si="25"/>
        <v>0</v>
      </c>
      <c r="AC70" s="2197"/>
    </row>
    <row r="71" spans="1:29" s="2196" customFormat="1" ht="13.8">
      <c r="A71" s="2887">
        <v>51</v>
      </c>
      <c r="B71" s="2193" t="s">
        <v>2313</v>
      </c>
      <c r="C71" s="2194"/>
      <c r="D71" s="2194"/>
      <c r="E71" s="2194">
        <v>1</v>
      </c>
      <c r="F71" s="2202">
        <v>17400</v>
      </c>
      <c r="G71" s="2203">
        <f>F71*30%</f>
        <v>5220</v>
      </c>
      <c r="H71" s="2203"/>
      <c r="I71" s="2203"/>
      <c r="J71" s="2203"/>
      <c r="K71" s="2203">
        <v>2610</v>
      </c>
      <c r="L71" s="2203"/>
      <c r="M71" s="2203"/>
      <c r="N71" s="2203"/>
      <c r="O71" s="2203"/>
      <c r="P71" s="2203"/>
      <c r="Q71" s="2203"/>
      <c r="R71" s="2203"/>
      <c r="S71" s="2214">
        <f>E71*F71</f>
        <v>17400</v>
      </c>
      <c r="T71" s="2214">
        <f>E71*G71</f>
        <v>5220</v>
      </c>
      <c r="U71" s="2214">
        <f>SUM(H71:R71)*E71</f>
        <v>2610</v>
      </c>
      <c r="V71" s="2214">
        <f>SUM(F71:R71)*E71</f>
        <v>25230</v>
      </c>
      <c r="W71" s="2216">
        <f>S71/1000*12</f>
        <v>208.79999999999998</v>
      </c>
      <c r="X71" s="2216">
        <f>T71/1000*12</f>
        <v>62.64</v>
      </c>
      <c r="Y71" s="2216">
        <f>U71/1000*12</f>
        <v>31.32</v>
      </c>
      <c r="Z71" s="2216">
        <f>SUM(W71:Y71)</f>
        <v>302.76</v>
      </c>
      <c r="AA71" s="2195"/>
      <c r="AB71" s="2207">
        <f>SUM(S71:U71)</f>
        <v>25230</v>
      </c>
      <c r="AC71" s="2197"/>
    </row>
    <row r="72" spans="1:29" s="2196" customFormat="1" ht="13.8" hidden="1">
      <c r="A72" s="2887">
        <f>A69+1</f>
        <v>51</v>
      </c>
      <c r="B72" s="2193" t="s">
        <v>2312</v>
      </c>
      <c r="C72" s="2194"/>
      <c r="D72" s="2194"/>
      <c r="E72" s="2194"/>
      <c r="F72" s="2202"/>
      <c r="G72" s="2203">
        <f t="shared" si="28"/>
        <v>0</v>
      </c>
      <c r="H72" s="2203"/>
      <c r="I72" s="2203"/>
      <c r="J72" s="2203"/>
      <c r="K72" s="2203"/>
      <c r="L72" s="2203"/>
      <c r="M72" s="2203"/>
      <c r="N72" s="2203"/>
      <c r="O72" s="2203"/>
      <c r="P72" s="2203"/>
      <c r="Q72" s="2203"/>
      <c r="R72" s="2203"/>
      <c r="S72" s="2214">
        <f t="shared" si="15"/>
        <v>0</v>
      </c>
      <c r="T72" s="2214">
        <f t="shared" si="16"/>
        <v>0</v>
      </c>
      <c r="U72" s="2214">
        <f t="shared" si="17"/>
        <v>0</v>
      </c>
      <c r="V72" s="2214">
        <f>SUM(F72:R72)*E72</f>
        <v>0</v>
      </c>
      <c r="W72" s="2216">
        <f t="shared" si="19"/>
        <v>0</v>
      </c>
      <c r="X72" s="2216">
        <f t="shared" si="20"/>
        <v>0</v>
      </c>
      <c r="Y72" s="2216">
        <f t="shared" si="21"/>
        <v>0</v>
      </c>
      <c r="Z72" s="2216">
        <f t="shared" si="22"/>
        <v>0</v>
      </c>
      <c r="AA72" s="2195"/>
      <c r="AB72" s="2207">
        <f t="shared" si="25"/>
        <v>0</v>
      </c>
      <c r="AC72" s="2197"/>
    </row>
    <row r="73" spans="1:29" s="2196" customFormat="1" ht="13.8" hidden="1">
      <c r="A73" s="2887">
        <f>A71+1</f>
        <v>52</v>
      </c>
      <c r="B73" s="2193" t="s">
        <v>2314</v>
      </c>
      <c r="C73" s="2194"/>
      <c r="D73" s="2194"/>
      <c r="E73" s="2194"/>
      <c r="F73" s="2202"/>
      <c r="G73" s="2203">
        <f t="shared" si="24"/>
        <v>0</v>
      </c>
      <c r="H73" s="2203"/>
      <c r="I73" s="2203"/>
      <c r="J73" s="2203"/>
      <c r="K73" s="2203"/>
      <c r="L73" s="2203"/>
      <c r="M73" s="2203"/>
      <c r="N73" s="2203"/>
      <c r="O73" s="2203"/>
      <c r="P73" s="2203"/>
      <c r="Q73" s="2203"/>
      <c r="R73" s="2203"/>
      <c r="S73" s="2214">
        <f t="shared" si="15"/>
        <v>0</v>
      </c>
      <c r="T73" s="2214">
        <f t="shared" si="16"/>
        <v>0</v>
      </c>
      <c r="U73" s="2214">
        <f t="shared" si="17"/>
        <v>0</v>
      </c>
      <c r="V73" s="2214">
        <f>SUM(F73:R73)*E73</f>
        <v>0</v>
      </c>
      <c r="W73" s="2216">
        <f t="shared" si="19"/>
        <v>0</v>
      </c>
      <c r="X73" s="2216">
        <f t="shared" si="20"/>
        <v>0</v>
      </c>
      <c r="Y73" s="2216">
        <f t="shared" si="21"/>
        <v>0</v>
      </c>
      <c r="Z73" s="2216">
        <f t="shared" si="22"/>
        <v>0</v>
      </c>
      <c r="AA73" s="2195"/>
      <c r="AB73" s="2207">
        <f t="shared" ref="AB73:AB79" si="29">SUM(S73:U73)</f>
        <v>0</v>
      </c>
      <c r="AC73" s="2197"/>
    </row>
    <row r="74" spans="1:29" s="2196" customFormat="1" ht="13.8">
      <c r="A74" s="2887">
        <v>52</v>
      </c>
      <c r="B74" s="2193" t="s">
        <v>2315</v>
      </c>
      <c r="C74" s="2194"/>
      <c r="D74" s="2194"/>
      <c r="E74" s="2194">
        <v>1</v>
      </c>
      <c r="F74" s="2202">
        <v>15800</v>
      </c>
      <c r="G74" s="2203">
        <f>F74*25%</f>
        <v>3950</v>
      </c>
      <c r="H74" s="2203"/>
      <c r="I74" s="2203">
        <v>632</v>
      </c>
      <c r="J74" s="2203"/>
      <c r="K74" s="2203">
        <v>2370</v>
      </c>
      <c r="L74" s="2203"/>
      <c r="M74" s="2203"/>
      <c r="N74" s="2203"/>
      <c r="O74" s="2203"/>
      <c r="P74" s="2203"/>
      <c r="Q74" s="2203"/>
      <c r="R74" s="2203"/>
      <c r="S74" s="2214">
        <f t="shared" si="15"/>
        <v>15800</v>
      </c>
      <c r="T74" s="2214">
        <f t="shared" si="16"/>
        <v>3950</v>
      </c>
      <c r="U74" s="2214">
        <f t="shared" si="17"/>
        <v>3002</v>
      </c>
      <c r="V74" s="2214">
        <f t="shared" si="18"/>
        <v>22752</v>
      </c>
      <c r="W74" s="2216">
        <f t="shared" si="19"/>
        <v>189.60000000000002</v>
      </c>
      <c r="X74" s="2216">
        <f t="shared" si="20"/>
        <v>47.400000000000006</v>
      </c>
      <c r="Y74" s="2216">
        <f t="shared" si="21"/>
        <v>36.024000000000001</v>
      </c>
      <c r="Z74" s="2216">
        <f t="shared" si="22"/>
        <v>273.024</v>
      </c>
      <c r="AA74" s="2195"/>
      <c r="AB74" s="2207">
        <f t="shared" si="29"/>
        <v>22752</v>
      </c>
      <c r="AC74" s="2197"/>
    </row>
    <row r="75" spans="1:29" s="2196" customFormat="1" ht="13.8">
      <c r="A75" s="2887">
        <f t="shared" si="27"/>
        <v>53</v>
      </c>
      <c r="B75" s="2193" t="s">
        <v>2316</v>
      </c>
      <c r="C75" s="2194"/>
      <c r="D75" s="2194"/>
      <c r="E75" s="2905">
        <v>2</v>
      </c>
      <c r="F75" s="2202">
        <v>14200</v>
      </c>
      <c r="G75" s="2203">
        <f>F75*25%</f>
        <v>3550</v>
      </c>
      <c r="H75" s="2203"/>
      <c r="I75" s="2203"/>
      <c r="J75" s="2203"/>
      <c r="K75" s="2203">
        <v>1420</v>
      </c>
      <c r="L75" s="2203"/>
      <c r="M75" s="2203"/>
      <c r="N75" s="2203"/>
      <c r="O75" s="2203"/>
      <c r="P75" s="2203"/>
      <c r="Q75" s="2203"/>
      <c r="R75" s="2203"/>
      <c r="S75" s="2214">
        <f t="shared" si="15"/>
        <v>28400</v>
      </c>
      <c r="T75" s="2214">
        <f t="shared" si="16"/>
        <v>7100</v>
      </c>
      <c r="U75" s="2214">
        <f t="shared" si="17"/>
        <v>2840</v>
      </c>
      <c r="V75" s="2214">
        <f t="shared" si="18"/>
        <v>38340</v>
      </c>
      <c r="W75" s="2216">
        <f t="shared" si="19"/>
        <v>340.79999999999995</v>
      </c>
      <c r="X75" s="2216">
        <f t="shared" si="20"/>
        <v>85.199999999999989</v>
      </c>
      <c r="Y75" s="2216">
        <f t="shared" si="21"/>
        <v>34.08</v>
      </c>
      <c r="Z75" s="2216">
        <f t="shared" si="22"/>
        <v>460.07999999999993</v>
      </c>
      <c r="AA75" s="2195"/>
      <c r="AB75" s="2207">
        <f t="shared" si="29"/>
        <v>38340</v>
      </c>
      <c r="AC75" s="2197"/>
    </row>
    <row r="76" spans="1:29" s="2196" customFormat="1" ht="13.8">
      <c r="A76" s="2887">
        <f t="shared" si="27"/>
        <v>54</v>
      </c>
      <c r="B76" s="2193" t="s">
        <v>2317</v>
      </c>
      <c r="C76" s="2194"/>
      <c r="D76" s="2194"/>
      <c r="E76" s="2194">
        <v>1</v>
      </c>
      <c r="F76" s="2202">
        <v>16529</v>
      </c>
      <c r="G76" s="2203">
        <f>F76*25%</f>
        <v>4132.25</v>
      </c>
      <c r="H76" s="2203"/>
      <c r="I76" s="2203"/>
      <c r="J76" s="2203"/>
      <c r="K76" s="2203">
        <v>2655</v>
      </c>
      <c r="L76" s="2203"/>
      <c r="M76" s="2203"/>
      <c r="N76" s="2203"/>
      <c r="O76" s="2203"/>
      <c r="P76" s="2203">
        <v>8265</v>
      </c>
      <c r="Q76" s="2203"/>
      <c r="R76" s="2203"/>
      <c r="S76" s="2214">
        <f t="shared" si="15"/>
        <v>16529</v>
      </c>
      <c r="T76" s="2214">
        <f t="shared" si="16"/>
        <v>4132.25</v>
      </c>
      <c r="U76" s="2214">
        <f t="shared" si="17"/>
        <v>10920</v>
      </c>
      <c r="V76" s="2214">
        <f>SUM(F76:R76)*E76</f>
        <v>31581.25</v>
      </c>
      <c r="W76" s="2216">
        <f t="shared" si="19"/>
        <v>198.34800000000001</v>
      </c>
      <c r="X76" s="2216">
        <f t="shared" si="20"/>
        <v>49.587000000000003</v>
      </c>
      <c r="Y76" s="2216">
        <f t="shared" si="21"/>
        <v>131.04</v>
      </c>
      <c r="Z76" s="2216">
        <f t="shared" si="22"/>
        <v>378.97500000000002</v>
      </c>
      <c r="AA76" s="2195"/>
      <c r="AB76" s="2207">
        <f t="shared" si="29"/>
        <v>31581.25</v>
      </c>
      <c r="AC76" s="2197"/>
    </row>
    <row r="77" spans="1:29" s="2196" customFormat="1" ht="18.75" hidden="1" customHeight="1">
      <c r="A77" s="2887">
        <f t="shared" si="27"/>
        <v>55</v>
      </c>
      <c r="B77" s="2193" t="s">
        <v>2318</v>
      </c>
      <c r="C77" s="2194"/>
      <c r="D77" s="2194"/>
      <c r="E77" s="2194"/>
      <c r="F77" s="2202">
        <v>13600</v>
      </c>
      <c r="G77" s="2203">
        <f>F77*25%</f>
        <v>3400</v>
      </c>
      <c r="H77" s="2203"/>
      <c r="I77" s="2203"/>
      <c r="J77" s="2203"/>
      <c r="K77" s="2203">
        <f>G77*50%</f>
        <v>1700</v>
      </c>
      <c r="L77" s="2203"/>
      <c r="M77" s="2203"/>
      <c r="N77" s="2203"/>
      <c r="O77" s="2203"/>
      <c r="P77" s="2203"/>
      <c r="Q77" s="2203"/>
      <c r="R77" s="2203"/>
      <c r="S77" s="2214">
        <f t="shared" si="15"/>
        <v>0</v>
      </c>
      <c r="T77" s="2214">
        <f t="shared" si="16"/>
        <v>0</v>
      </c>
      <c r="U77" s="2214">
        <f t="shared" si="17"/>
        <v>0</v>
      </c>
      <c r="V77" s="2214">
        <f t="shared" si="18"/>
        <v>0</v>
      </c>
      <c r="W77" s="2216">
        <f t="shared" si="19"/>
        <v>0</v>
      </c>
      <c r="X77" s="2216">
        <f t="shared" si="20"/>
        <v>0</v>
      </c>
      <c r="Y77" s="2216">
        <f t="shared" si="21"/>
        <v>0</v>
      </c>
      <c r="Z77" s="2216">
        <f t="shared" si="22"/>
        <v>0</v>
      </c>
      <c r="AA77" s="2195"/>
      <c r="AB77" s="2207">
        <f t="shared" si="29"/>
        <v>0</v>
      </c>
      <c r="AC77" s="2197"/>
    </row>
    <row r="78" spans="1:29" s="2196" customFormat="1" ht="13.8">
      <c r="A78" s="2887">
        <v>55</v>
      </c>
      <c r="B78" s="2193" t="s">
        <v>2320</v>
      </c>
      <c r="C78" s="2194"/>
      <c r="D78" s="2194"/>
      <c r="E78" s="2905">
        <v>5</v>
      </c>
      <c r="F78" s="2202">
        <v>13000</v>
      </c>
      <c r="G78" s="2203">
        <f>F78*25%</f>
        <v>3250</v>
      </c>
      <c r="H78" s="2203"/>
      <c r="I78" s="2203"/>
      <c r="J78" s="2203"/>
      <c r="K78" s="2203">
        <v>1950</v>
      </c>
      <c r="L78" s="2203"/>
      <c r="M78" s="2203"/>
      <c r="N78" s="2203"/>
      <c r="O78" s="2203"/>
      <c r="P78" s="2203"/>
      <c r="Q78" s="2203"/>
      <c r="R78" s="2203"/>
      <c r="S78" s="2214">
        <f t="shared" si="15"/>
        <v>65000</v>
      </c>
      <c r="T78" s="2214">
        <f t="shared" si="16"/>
        <v>16250</v>
      </c>
      <c r="U78" s="2214">
        <f t="shared" si="17"/>
        <v>9750</v>
      </c>
      <c r="V78" s="2214">
        <f>SUM(F78:R78)*E78</f>
        <v>91000</v>
      </c>
      <c r="W78" s="2216">
        <f t="shared" si="19"/>
        <v>780</v>
      </c>
      <c r="X78" s="2216">
        <f t="shared" si="20"/>
        <v>195</v>
      </c>
      <c r="Y78" s="2216">
        <f t="shared" si="21"/>
        <v>117</v>
      </c>
      <c r="Z78" s="2216">
        <f t="shared" si="22"/>
        <v>1092</v>
      </c>
      <c r="AA78" s="2202"/>
      <c r="AB78" s="2207">
        <f t="shared" si="29"/>
        <v>91000</v>
      </c>
      <c r="AC78" s="2197"/>
    </row>
    <row r="79" spans="1:29" s="2196" customFormat="1" ht="27.6">
      <c r="A79" s="2194"/>
      <c r="B79" s="2194" t="s">
        <v>2326</v>
      </c>
      <c r="C79" s="2194"/>
      <c r="D79" s="2194"/>
      <c r="E79" s="2194">
        <f>SUM(E36:E78)</f>
        <v>48</v>
      </c>
      <c r="F79" s="2202"/>
      <c r="G79" s="2202"/>
      <c r="H79" s="2202"/>
      <c r="I79" s="2202"/>
      <c r="J79" s="2202"/>
      <c r="K79" s="2202"/>
      <c r="L79" s="2202"/>
      <c r="M79" s="2202"/>
      <c r="N79" s="2202"/>
      <c r="O79" s="2202"/>
      <c r="P79" s="2202"/>
      <c r="Q79" s="2202"/>
      <c r="R79" s="2202"/>
      <c r="S79" s="2214">
        <f t="shared" ref="S79:Z79" si="30">SUM(S36:S78)</f>
        <v>1070191</v>
      </c>
      <c r="T79" s="2214">
        <f t="shared" si="30"/>
        <v>311592.75</v>
      </c>
      <c r="U79" s="2214">
        <f t="shared" si="30"/>
        <v>332760</v>
      </c>
      <c r="V79" s="2885">
        <f t="shared" si="30"/>
        <v>1714541.75</v>
      </c>
      <c r="W79" s="2216">
        <f t="shared" si="30"/>
        <v>12842.291999999999</v>
      </c>
      <c r="X79" s="2216">
        <f t="shared" si="30"/>
        <v>3739.1129999999998</v>
      </c>
      <c r="Y79" s="2216">
        <f t="shared" si="30"/>
        <v>3993.1200000000008</v>
      </c>
      <c r="Z79" s="2216">
        <f t="shared" si="30"/>
        <v>20574.525000000001</v>
      </c>
      <c r="AA79" s="2202"/>
      <c r="AB79" s="2207">
        <f t="shared" si="29"/>
        <v>1714543.75</v>
      </c>
      <c r="AC79" s="2197"/>
    </row>
    <row r="80" spans="1:29" s="2196" customFormat="1" ht="21" customHeight="1">
      <c r="A80" s="2194"/>
      <c r="B80" s="2194" t="s">
        <v>2334</v>
      </c>
      <c r="C80" s="2194"/>
      <c r="D80" s="2194"/>
      <c r="E80" s="2905">
        <f>E34+E79</f>
        <v>141</v>
      </c>
      <c r="F80" s="2202"/>
      <c r="G80" s="2202"/>
      <c r="H80" s="2202"/>
      <c r="I80" s="2202"/>
      <c r="J80" s="2202"/>
      <c r="K80" s="2202"/>
      <c r="L80" s="2202"/>
      <c r="M80" s="2202"/>
      <c r="N80" s="2202"/>
      <c r="O80" s="2202"/>
      <c r="P80" s="2202"/>
      <c r="Q80" s="2202"/>
      <c r="R80" s="2202"/>
      <c r="S80" s="2214">
        <f>S34+S79</f>
        <v>3311535</v>
      </c>
      <c r="T80" s="2214">
        <f>T34+T79</f>
        <v>756820.25000000012</v>
      </c>
      <c r="U80" s="2214">
        <f>U34+U79</f>
        <v>1466422</v>
      </c>
      <c r="V80" s="2885">
        <f>V34+V79-600</f>
        <v>5534166.2500000009</v>
      </c>
      <c r="W80" s="2216">
        <f>W34+W79</f>
        <v>39738.42</v>
      </c>
      <c r="X80" s="2216">
        <f>X34+X79</f>
        <v>9081.8430000000026</v>
      </c>
      <c r="Y80" s="2216">
        <f>Y34+Y79</f>
        <v>17597.064000000002</v>
      </c>
      <c r="Z80" s="2216">
        <f>Z34+Z79</f>
        <v>66417.327000000005</v>
      </c>
      <c r="AA80" s="2202"/>
      <c r="AB80" s="2207">
        <f>SUM(S80:U80)</f>
        <v>5534777.25</v>
      </c>
      <c r="AC80" s="2197"/>
    </row>
    <row r="81" spans="1:26" ht="42" customHeight="1">
      <c r="V81" s="2888"/>
    </row>
    <row r="82" spans="1:26">
      <c r="A82" s="98" t="s">
        <v>1266</v>
      </c>
    </row>
    <row r="83" spans="1:26">
      <c r="A83" s="98" t="s">
        <v>1304</v>
      </c>
      <c r="C83" s="2173"/>
      <c r="K83" s="3035" t="s">
        <v>2610</v>
      </c>
      <c r="S83" s="2173"/>
      <c r="T83" s="2173"/>
      <c r="U83" s="2173"/>
      <c r="V83" s="2173"/>
      <c r="W83" s="2173"/>
      <c r="X83" s="2173"/>
      <c r="Y83" s="2173"/>
      <c r="Z83" s="2173"/>
    </row>
    <row r="86" spans="1:26">
      <c r="E86" s="2173">
        <f>115.85+17.25</f>
        <v>133.1</v>
      </c>
    </row>
    <row r="102" spans="3:26">
      <c r="C102" s="2173"/>
      <c r="F102" s="2180"/>
      <c r="S102" s="2173"/>
      <c r="T102" s="2173"/>
      <c r="U102" s="2173"/>
      <c r="V102" s="2173"/>
      <c r="W102" s="2173"/>
      <c r="X102" s="2173"/>
      <c r="Y102" s="2173"/>
      <c r="Z102" s="2173"/>
    </row>
  </sheetData>
  <mergeCells count="16">
    <mergeCell ref="A5:A7"/>
    <mergeCell ref="F6:F7"/>
    <mergeCell ref="F5:R5"/>
    <mergeCell ref="C5:C7"/>
    <mergeCell ref="G6:G7"/>
    <mergeCell ref="W6:W7"/>
    <mergeCell ref="X6:X7"/>
    <mergeCell ref="Y6:Y7"/>
    <mergeCell ref="Z6:Z7"/>
    <mergeCell ref="B5:B7"/>
    <mergeCell ref="D5:D7"/>
    <mergeCell ref="E5:E7"/>
    <mergeCell ref="S6:S7"/>
    <mergeCell ref="T6:T7"/>
    <mergeCell ref="U6:U7"/>
    <mergeCell ref="V6:V7"/>
  </mergeCells>
  <printOptions horizontalCentered="1"/>
  <pageMargins left="0" right="0" top="0.59055118110236227" bottom="0.11811023622047245" header="0.51181102362204722" footer="3.937007874015748E-2"/>
  <pageSetup paperSize="9" scale="61" pageOrder="overThenDown" orientation="landscape" r:id="rId1"/>
  <headerFooter alignWithMargins="0">
    <oddFooter>&amp;R&amp;8&amp;P</oddFooter>
  </headerFooter>
  <rowBreaks count="1" manualBreakCount="1">
    <brk id="45" max="25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 enableFormatConditionsCalculation="0">
    <tabColor rgb="FFCCFF66"/>
  </sheetPr>
  <dimension ref="A1:N59"/>
  <sheetViews>
    <sheetView workbookViewId="0">
      <pane ySplit="8" topLeftCell="A45" activePane="bottomLeft" state="frozen"/>
      <selection activeCell="B32" sqref="A1:XFD1048576"/>
      <selection pane="bottomLeft" activeCell="A51" sqref="A51:XFD54"/>
    </sheetView>
  </sheetViews>
  <sheetFormatPr defaultColWidth="9.109375" defaultRowHeight="13.2"/>
  <cols>
    <col min="1" max="1" width="6.44140625" style="2006" customWidth="1"/>
    <col min="2" max="2" width="36.109375" style="2006" customWidth="1"/>
    <col min="3" max="3" width="8.5546875" style="2006" customWidth="1"/>
    <col min="4" max="4" width="17.33203125" style="2006" customWidth="1"/>
    <col min="5" max="5" width="18.6640625" style="2006" customWidth="1"/>
    <col min="6" max="10" width="0" style="2006" hidden="1" customWidth="1"/>
    <col min="11" max="11" width="12.6640625" style="2006" hidden="1" customWidth="1"/>
    <col min="12" max="14" width="0" style="2006" hidden="1" customWidth="1"/>
    <col min="15" max="16384" width="9.109375" style="2006"/>
  </cols>
  <sheetData>
    <row r="1" spans="1:8">
      <c r="E1" s="3473" t="s">
        <v>802</v>
      </c>
    </row>
    <row r="2" spans="1:8" ht="15.6">
      <c r="A2" s="2007" t="s">
        <v>628</v>
      </c>
      <c r="B2" s="2007"/>
      <c r="C2" s="2007"/>
      <c r="D2" s="2007"/>
      <c r="E2" s="2007"/>
      <c r="F2" s="2073"/>
    </row>
    <row r="3" spans="1:8" ht="15.6">
      <c r="A3" s="2007" t="s">
        <v>1145</v>
      </c>
      <c r="B3" s="2007"/>
      <c r="C3" s="2007"/>
      <c r="D3" s="2007"/>
      <c r="E3" s="2007"/>
      <c r="F3" s="2007"/>
    </row>
    <row r="4" spans="1:8" ht="15.6">
      <c r="A4" s="2007" t="s">
        <v>2487</v>
      </c>
      <c r="B4" s="2007"/>
      <c r="C4" s="2007"/>
      <c r="D4" s="2007"/>
      <c r="E4" s="2007"/>
      <c r="F4" s="2007"/>
    </row>
    <row r="5" spans="1:8" ht="15.6">
      <c r="A5" s="2007"/>
      <c r="B5" s="2007"/>
      <c r="C5" s="2007"/>
      <c r="D5" s="2007"/>
      <c r="E5" s="2007"/>
      <c r="F5" s="2007"/>
    </row>
    <row r="6" spans="1:8">
      <c r="A6" s="3837"/>
      <c r="B6" s="3837"/>
      <c r="C6" s="3837"/>
      <c r="D6" s="3838"/>
      <c r="E6" s="3384" t="s">
        <v>1401</v>
      </c>
    </row>
    <row r="7" spans="1:8" s="2346" customFormat="1" ht="26.4">
      <c r="A7" s="3744" t="s">
        <v>803</v>
      </c>
      <c r="B7" s="3744" t="s">
        <v>804</v>
      </c>
      <c r="C7" s="3744" t="s">
        <v>805</v>
      </c>
      <c r="D7" s="3743" t="s">
        <v>799</v>
      </c>
      <c r="E7" s="3743" t="s">
        <v>674</v>
      </c>
    </row>
    <row r="8" spans="1:8" s="2346" customFormat="1">
      <c r="A8" s="3744">
        <v>1</v>
      </c>
      <c r="B8" s="3544">
        <v>2</v>
      </c>
      <c r="C8" s="3544">
        <v>3</v>
      </c>
      <c r="D8" s="3544">
        <v>4</v>
      </c>
      <c r="E8" s="3544">
        <v>5</v>
      </c>
    </row>
    <row r="9" spans="1:8">
      <c r="A9" s="3566" t="s">
        <v>807</v>
      </c>
      <c r="B9" s="3549" t="s">
        <v>808</v>
      </c>
      <c r="C9" s="3544"/>
      <c r="D9" s="3549"/>
      <c r="E9" s="3549"/>
    </row>
    <row r="10" spans="1:8">
      <c r="A10" s="3566"/>
      <c r="B10" s="3549" t="s">
        <v>809</v>
      </c>
      <c r="C10" s="3544" t="s">
        <v>810</v>
      </c>
      <c r="D10" s="3839">
        <v>16</v>
      </c>
      <c r="E10" s="3839">
        <v>16</v>
      </c>
    </row>
    <row r="11" spans="1:8">
      <c r="A11" s="3566" t="s">
        <v>811</v>
      </c>
      <c r="B11" s="3549" t="s">
        <v>812</v>
      </c>
      <c r="C11" s="3544"/>
      <c r="D11" s="3839"/>
      <c r="E11" s="3839"/>
      <c r="G11" s="2006" t="s">
        <v>2890</v>
      </c>
    </row>
    <row r="12" spans="1:8" ht="16.5" customHeight="1">
      <c r="A12" s="3566" t="s">
        <v>813</v>
      </c>
      <c r="B12" s="3549" t="s">
        <v>814</v>
      </c>
      <c r="C12" s="3544" t="s">
        <v>815</v>
      </c>
      <c r="D12" s="3840">
        <v>8902.2900000000009</v>
      </c>
      <c r="E12" s="3840">
        <v>8902.2900000000009</v>
      </c>
      <c r="G12" s="2006">
        <v>9222.7724400000006</v>
      </c>
      <c r="H12" s="2006" t="s">
        <v>3004</v>
      </c>
    </row>
    <row r="13" spans="1:8">
      <c r="A13" s="3566" t="s">
        <v>816</v>
      </c>
      <c r="B13" s="3549" t="s">
        <v>817</v>
      </c>
      <c r="C13" s="3544"/>
      <c r="D13" s="3549">
        <v>1</v>
      </c>
      <c r="E13" s="3462">
        <v>1.0389999999999999</v>
      </c>
      <c r="H13" s="2006" t="s">
        <v>3005</v>
      </c>
    </row>
    <row r="14" spans="1:8" ht="26.4">
      <c r="A14" s="3566" t="s">
        <v>818</v>
      </c>
      <c r="B14" s="3549" t="s">
        <v>819</v>
      </c>
      <c r="C14" s="3544" t="s">
        <v>815</v>
      </c>
      <c r="D14" s="3840">
        <v>8902.2900000000009</v>
      </c>
      <c r="E14" s="3840">
        <v>9249.4793100000006</v>
      </c>
    </row>
    <row r="15" spans="1:8">
      <c r="A15" s="3566" t="s">
        <v>820</v>
      </c>
      <c r="B15" s="3549" t="s">
        <v>821</v>
      </c>
      <c r="C15" s="3544"/>
      <c r="D15" s="3047">
        <v>8.5319148936170208</v>
      </c>
      <c r="E15" s="3047">
        <v>8.5319148936170208</v>
      </c>
    </row>
    <row r="16" spans="1:8" ht="30" customHeight="1">
      <c r="A16" s="3566" t="s">
        <v>822</v>
      </c>
      <c r="B16" s="3549" t="s">
        <v>823</v>
      </c>
      <c r="C16" s="3544" t="s">
        <v>815</v>
      </c>
      <c r="D16" s="3047">
        <v>2.7632081183605566</v>
      </c>
      <c r="E16" s="3047">
        <v>2.7632081183605566</v>
      </c>
    </row>
    <row r="17" spans="1:10">
      <c r="A17" s="3566" t="s">
        <v>824</v>
      </c>
      <c r="B17" s="3549" t="s">
        <v>825</v>
      </c>
      <c r="C17" s="3544" t="s">
        <v>826</v>
      </c>
      <c r="D17" s="3840">
        <v>24598.880000000001</v>
      </c>
      <c r="E17" s="3840">
        <v>25558.23632</v>
      </c>
    </row>
    <row r="18" spans="1:10" ht="26.25" customHeight="1">
      <c r="A18" s="3566" t="s">
        <v>827</v>
      </c>
      <c r="B18" s="3549" t="s">
        <v>636</v>
      </c>
      <c r="C18" s="3544"/>
      <c r="D18" s="3549"/>
      <c r="E18" s="3549"/>
    </row>
    <row r="19" spans="1:10" ht="14.25" customHeight="1">
      <c r="A19" s="3566" t="s">
        <v>0</v>
      </c>
      <c r="B19" s="3549" t="s">
        <v>1</v>
      </c>
      <c r="C19" s="3544" t="s">
        <v>683</v>
      </c>
      <c r="D19" s="3047">
        <v>42.048215203293807</v>
      </c>
      <c r="E19" s="3047">
        <v>42.048215203293807</v>
      </c>
    </row>
    <row r="20" spans="1:10" ht="13.5" customHeight="1">
      <c r="A20" s="3566" t="s">
        <v>2</v>
      </c>
      <c r="B20" s="3549" t="s">
        <v>3</v>
      </c>
      <c r="C20" s="3544" t="s">
        <v>815</v>
      </c>
      <c r="D20" s="3840">
        <v>10343.39</v>
      </c>
      <c r="E20" s="3840">
        <v>10746.78</v>
      </c>
    </row>
    <row r="21" spans="1:10">
      <c r="A21" s="3566" t="s">
        <v>4</v>
      </c>
      <c r="B21" s="3549" t="s">
        <v>618</v>
      </c>
      <c r="C21" s="3544"/>
      <c r="D21" s="3549"/>
      <c r="E21" s="3549"/>
    </row>
    <row r="22" spans="1:10" ht="15" customHeight="1">
      <c r="A22" s="3566" t="s">
        <v>5</v>
      </c>
      <c r="B22" s="3549" t="s">
        <v>1</v>
      </c>
      <c r="C22" s="3544" t="s">
        <v>683</v>
      </c>
      <c r="D22" s="3047">
        <v>19.999975608645599</v>
      </c>
      <c r="E22" s="3047">
        <v>19.999975608645599</v>
      </c>
    </row>
    <row r="23" spans="1:10" ht="14.25" customHeight="1">
      <c r="A23" s="3566" t="s">
        <v>6</v>
      </c>
      <c r="B23" s="3549" t="s">
        <v>3</v>
      </c>
      <c r="C23" s="3544" t="s">
        <v>815</v>
      </c>
      <c r="D23" s="3840">
        <v>4919.7700000000004</v>
      </c>
      <c r="E23" s="3840">
        <v>5111.6400000000003</v>
      </c>
    </row>
    <row r="24" spans="1:10">
      <c r="A24" s="3566" t="s">
        <v>7</v>
      </c>
      <c r="B24" s="3549" t="s">
        <v>8</v>
      </c>
      <c r="C24" s="3544"/>
      <c r="D24" s="3549"/>
      <c r="E24" s="3549"/>
    </row>
    <row r="25" spans="1:10" ht="14.25" customHeight="1">
      <c r="A25" s="3566" t="s">
        <v>9</v>
      </c>
      <c r="B25" s="3549" t="s">
        <v>1</v>
      </c>
      <c r="C25" s="3544" t="s">
        <v>683</v>
      </c>
      <c r="D25" s="2908">
        <v>0</v>
      </c>
      <c r="E25" s="2908">
        <v>0</v>
      </c>
    </row>
    <row r="26" spans="1:10" ht="14.25" customHeight="1">
      <c r="A26" s="3566" t="s">
        <v>10</v>
      </c>
      <c r="B26" s="3549" t="s">
        <v>3</v>
      </c>
      <c r="C26" s="3544" t="s">
        <v>815</v>
      </c>
      <c r="D26" s="2908">
        <v>0</v>
      </c>
      <c r="E26" s="2908">
        <v>0</v>
      </c>
    </row>
    <row r="27" spans="1:10" ht="14.25" customHeight="1">
      <c r="A27" s="3566" t="s">
        <v>11</v>
      </c>
      <c r="B27" s="3549" t="s">
        <v>12</v>
      </c>
      <c r="C27" s="3544"/>
      <c r="D27" s="3549"/>
      <c r="E27" s="3549"/>
    </row>
    <row r="28" spans="1:10" ht="12.75" customHeight="1">
      <c r="A28" s="3566" t="s">
        <v>13</v>
      </c>
      <c r="B28" s="3549" t="s">
        <v>1</v>
      </c>
      <c r="C28" s="3544" t="s">
        <v>683</v>
      </c>
      <c r="D28" s="2908"/>
      <c r="E28" s="2908">
        <v>0</v>
      </c>
    </row>
    <row r="29" spans="1:10" ht="13.5" customHeight="1">
      <c r="A29" s="3566" t="s">
        <v>14</v>
      </c>
      <c r="B29" s="3549" t="s">
        <v>3</v>
      </c>
      <c r="C29" s="3544" t="s">
        <v>815</v>
      </c>
      <c r="D29" s="2908">
        <v>0</v>
      </c>
      <c r="E29" s="2908">
        <v>0</v>
      </c>
    </row>
    <row r="30" spans="1:10" ht="27" customHeight="1">
      <c r="A30" s="3566" t="s">
        <v>15</v>
      </c>
      <c r="B30" s="3549" t="s">
        <v>637</v>
      </c>
      <c r="C30" s="3544"/>
      <c r="D30" s="3549"/>
      <c r="E30" s="3549"/>
      <c r="H30" s="2006" t="s">
        <v>496</v>
      </c>
    </row>
    <row r="31" spans="1:10" ht="15" customHeight="1">
      <c r="A31" s="3566" t="s">
        <v>16</v>
      </c>
      <c r="B31" s="3549" t="s">
        <v>1</v>
      </c>
      <c r="C31" s="3544" t="s">
        <v>683</v>
      </c>
      <c r="D31" s="3549"/>
      <c r="E31" s="3549"/>
    </row>
    <row r="32" spans="1:10" ht="15" customHeight="1">
      <c r="A32" s="3566" t="s">
        <v>17</v>
      </c>
      <c r="B32" s="3549" t="s">
        <v>3</v>
      </c>
      <c r="C32" s="3544" t="s">
        <v>815</v>
      </c>
      <c r="D32" s="3549"/>
      <c r="E32" s="3549"/>
      <c r="I32" s="3400"/>
      <c r="J32" s="3400"/>
    </row>
    <row r="33" spans="1:12" ht="26.4">
      <c r="A33" s="3566" t="s">
        <v>18</v>
      </c>
      <c r="B33" s="3549" t="s">
        <v>19</v>
      </c>
      <c r="C33" s="3544" t="s">
        <v>815</v>
      </c>
      <c r="D33" s="3840">
        <v>39862.040000000008</v>
      </c>
      <c r="E33" s="3840">
        <v>41416.656320000002</v>
      </c>
      <c r="H33" s="3841">
        <v>3.8999918719663906E-2</v>
      </c>
      <c r="I33" s="3400"/>
      <c r="J33" s="3842"/>
    </row>
    <row r="34" spans="1:12" ht="27" customHeight="1">
      <c r="A34" s="3566" t="s">
        <v>20</v>
      </c>
      <c r="B34" s="3549" t="s">
        <v>21</v>
      </c>
      <c r="C34" s="3544"/>
      <c r="D34" s="3549"/>
      <c r="E34" s="3549"/>
    </row>
    <row r="35" spans="1:12" ht="14.25" customHeight="1">
      <c r="A35" s="3566" t="s">
        <v>22</v>
      </c>
      <c r="B35" s="3549" t="s">
        <v>23</v>
      </c>
      <c r="C35" s="3544" t="s">
        <v>24</v>
      </c>
      <c r="D35" s="3549"/>
      <c r="E35" s="3549"/>
    </row>
    <row r="36" spans="1:12" ht="15.75" customHeight="1">
      <c r="A36" s="3566" t="s">
        <v>25</v>
      </c>
      <c r="B36" s="3549" t="s">
        <v>26</v>
      </c>
      <c r="C36" s="3544" t="s">
        <v>826</v>
      </c>
      <c r="D36" s="3549"/>
      <c r="E36" s="3549"/>
    </row>
    <row r="37" spans="1:12" ht="14.25" customHeight="1">
      <c r="A37" s="3566" t="s">
        <v>27</v>
      </c>
      <c r="B37" s="3549" t="s">
        <v>28</v>
      </c>
      <c r="C37" s="3544" t="s">
        <v>826</v>
      </c>
      <c r="D37" s="3549"/>
      <c r="E37" s="3549"/>
    </row>
    <row r="38" spans="1:12" ht="39.75" customHeight="1">
      <c r="A38" s="3566" t="s">
        <v>29</v>
      </c>
      <c r="B38" s="3549" t="s">
        <v>30</v>
      </c>
      <c r="C38" s="3544"/>
      <c r="D38" s="3549"/>
      <c r="E38" s="3549"/>
    </row>
    <row r="39" spans="1:12" ht="27" customHeight="1">
      <c r="A39" s="3566" t="s">
        <v>31</v>
      </c>
      <c r="B39" s="3549" t="s">
        <v>32</v>
      </c>
      <c r="C39" s="3544" t="s">
        <v>810</v>
      </c>
      <c r="D39" s="3549"/>
      <c r="E39" s="3549"/>
    </row>
    <row r="40" spans="1:12" ht="26.4">
      <c r="A40" s="3566" t="s">
        <v>33</v>
      </c>
      <c r="B40" s="3549" t="s">
        <v>34</v>
      </c>
      <c r="C40" s="3544" t="s">
        <v>815</v>
      </c>
      <c r="D40" s="3549"/>
      <c r="E40" s="3549"/>
    </row>
    <row r="41" spans="1:12" ht="15.75" customHeight="1">
      <c r="A41" s="3566" t="s">
        <v>35</v>
      </c>
      <c r="B41" s="3549" t="s">
        <v>36</v>
      </c>
      <c r="C41" s="3544" t="s">
        <v>24</v>
      </c>
      <c r="D41" s="3549"/>
      <c r="E41" s="3549"/>
    </row>
    <row r="42" spans="1:12" ht="16.5" customHeight="1">
      <c r="A42" s="3566" t="s">
        <v>37</v>
      </c>
      <c r="B42" s="3549" t="s">
        <v>38</v>
      </c>
      <c r="C42" s="3544" t="s">
        <v>24</v>
      </c>
      <c r="D42" s="3549"/>
      <c r="E42" s="3549"/>
    </row>
    <row r="43" spans="1:12" ht="25.5" customHeight="1">
      <c r="A43" s="2878" t="s">
        <v>39</v>
      </c>
      <c r="B43" s="3753" t="s">
        <v>40</v>
      </c>
      <c r="C43" s="3843" t="s">
        <v>24</v>
      </c>
      <c r="D43" s="3753"/>
      <c r="E43" s="3753"/>
    </row>
    <row r="44" spans="1:12">
      <c r="A44" s="2878" t="s">
        <v>41</v>
      </c>
      <c r="B44" s="3753" t="s">
        <v>42</v>
      </c>
      <c r="C44" s="3843"/>
      <c r="D44" s="3753"/>
      <c r="E44" s="3753"/>
    </row>
    <row r="45" spans="1:12" ht="26.4">
      <c r="A45" s="2878" t="s">
        <v>43</v>
      </c>
      <c r="B45" s="3753" t="s">
        <v>44</v>
      </c>
      <c r="C45" s="3843" t="s">
        <v>810</v>
      </c>
      <c r="D45" s="3844">
        <v>16</v>
      </c>
      <c r="E45" s="3844">
        <v>16</v>
      </c>
    </row>
    <row r="46" spans="1:12" ht="15.75" customHeight="1">
      <c r="A46" s="3566" t="s">
        <v>45</v>
      </c>
      <c r="B46" s="3549" t="s">
        <v>46</v>
      </c>
      <c r="C46" s="3544" t="s">
        <v>815</v>
      </c>
      <c r="D46" s="3840">
        <v>39862.040000000008</v>
      </c>
      <c r="E46" s="3840">
        <v>41416.656320000002</v>
      </c>
    </row>
    <row r="47" spans="1:12">
      <c r="A47" s="3566" t="s">
        <v>47</v>
      </c>
      <c r="B47" s="3549" t="s">
        <v>48</v>
      </c>
      <c r="C47" s="3845" t="s">
        <v>503</v>
      </c>
      <c r="D47" s="3846">
        <v>478.34448000000009</v>
      </c>
      <c r="E47" s="3846">
        <v>496.99987584000002</v>
      </c>
      <c r="K47" s="3467" t="s">
        <v>1120</v>
      </c>
      <c r="L47" s="3400"/>
    </row>
    <row r="48" spans="1:12">
      <c r="A48" s="3566" t="s">
        <v>49</v>
      </c>
      <c r="B48" s="3549" t="s">
        <v>50</v>
      </c>
      <c r="C48" s="3845" t="s">
        <v>503</v>
      </c>
      <c r="D48" s="3847">
        <v>7653.5116800000014</v>
      </c>
      <c r="E48" s="3847">
        <v>7951.9980134400002</v>
      </c>
      <c r="H48" s="3848">
        <v>7653.5116799999996</v>
      </c>
      <c r="I48" s="3848">
        <v>7395.6351567005831</v>
      </c>
      <c r="K48" s="3849">
        <v>41416.656320000002</v>
      </c>
      <c r="L48" s="3400" t="s">
        <v>664</v>
      </c>
    </row>
    <row r="49" spans="1:14">
      <c r="A49" s="3566" t="s">
        <v>51</v>
      </c>
      <c r="B49" s="3549" t="s">
        <v>52</v>
      </c>
      <c r="C49" s="3544" t="s">
        <v>815</v>
      </c>
      <c r="D49" s="3840">
        <v>39862.040000000008</v>
      </c>
      <c r="E49" s="3840">
        <v>41416.656320000002</v>
      </c>
      <c r="I49" s="3848"/>
      <c r="K49" s="2231" t="s">
        <v>3006</v>
      </c>
      <c r="L49" s="3400"/>
      <c r="M49" s="3400"/>
      <c r="N49" s="3400"/>
    </row>
    <row r="50" spans="1:14" ht="34.200000000000003" customHeight="1">
      <c r="A50" s="3850"/>
      <c r="K50" s="3851">
        <v>47383.823529411762</v>
      </c>
      <c r="L50" s="3400"/>
      <c r="M50" s="3400">
        <v>34.210799999999999</v>
      </c>
      <c r="N50" s="3842"/>
    </row>
    <row r="51" spans="1:14" hidden="1">
      <c r="A51" s="2006" t="s">
        <v>2843</v>
      </c>
      <c r="C51" s="2346"/>
    </row>
    <row r="52" spans="1:14" hidden="1">
      <c r="A52" s="2006" t="s">
        <v>2842</v>
      </c>
      <c r="C52" s="2346"/>
    </row>
    <row r="53" spans="1:14" hidden="1">
      <c r="A53" s="2006" t="s">
        <v>2922</v>
      </c>
      <c r="C53" s="2346"/>
    </row>
    <row r="54" spans="1:14" hidden="1">
      <c r="A54" s="2006" t="s">
        <v>2923</v>
      </c>
      <c r="C54" s="2346"/>
      <c r="H54" s="2006" t="s">
        <v>3005</v>
      </c>
    </row>
    <row r="55" spans="1:14" s="2171" customFormat="1" ht="23.25" customHeight="1">
      <c r="A55" s="3404" t="s">
        <v>1266</v>
      </c>
      <c r="B55" s="3404"/>
      <c r="C55" s="3405"/>
      <c r="H55" s="3406"/>
    </row>
    <row r="56" spans="1:14" s="2171" customFormat="1" ht="15" customHeight="1">
      <c r="A56" s="3404" t="s">
        <v>1304</v>
      </c>
      <c r="B56" s="3407"/>
      <c r="C56" s="3405"/>
      <c r="E56" s="3408" t="s">
        <v>2876</v>
      </c>
      <c r="F56" s="3466"/>
    </row>
    <row r="57" spans="1:14" s="2009" customFormat="1" ht="11.25" customHeight="1"/>
    <row r="58" spans="1:14" s="2009" customFormat="1">
      <c r="A58" s="3410"/>
    </row>
    <row r="59" spans="1:14" s="2009" customFormat="1">
      <c r="A59" s="3410"/>
    </row>
  </sheetData>
  <phoneticPr fontId="0" type="noConversion"/>
  <printOptions horizontalCentered="1"/>
  <pageMargins left="0.78740157480314965" right="0.78740157480314965" top="0.39370078740157483" bottom="0.11811023622047245" header="0.51181102362204722" footer="3.937007874015748E-2"/>
  <pageSetup paperSize="9" scale="85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8" enableFormatConditionsCalculation="0">
    <tabColor rgb="FFCCFF66"/>
  </sheetPr>
  <dimension ref="A1:M54"/>
  <sheetViews>
    <sheetView workbookViewId="0">
      <pane ySplit="7" topLeftCell="A41" activePane="bottomLeft" state="frozen"/>
      <selection activeCell="B32" sqref="A1:XFD1048576"/>
      <selection pane="bottomLeft" sqref="A1:XFD1048576"/>
    </sheetView>
  </sheetViews>
  <sheetFormatPr defaultColWidth="9.109375" defaultRowHeight="13.2"/>
  <cols>
    <col min="1" max="1" width="6.44140625" style="2006" customWidth="1"/>
    <col min="2" max="2" width="36.109375" style="2006" customWidth="1"/>
    <col min="3" max="3" width="8.5546875" style="2006" customWidth="1"/>
    <col min="4" max="4" width="17.33203125" style="2006" customWidth="1"/>
    <col min="5" max="5" width="18.6640625" style="2006" customWidth="1"/>
    <col min="6" max="13" width="0" style="2006" hidden="1" customWidth="1"/>
    <col min="14" max="16384" width="9.109375" style="2006"/>
  </cols>
  <sheetData>
    <row r="1" spans="1:6">
      <c r="E1" s="3473" t="s">
        <v>802</v>
      </c>
    </row>
    <row r="2" spans="1:6" ht="15.6">
      <c r="A2" s="2007" t="s">
        <v>1691</v>
      </c>
      <c r="B2" s="2007"/>
      <c r="C2" s="2007"/>
      <c r="D2" s="2007"/>
      <c r="E2" s="2007"/>
      <c r="F2" s="2073"/>
    </row>
    <row r="3" spans="1:6" ht="15.6">
      <c r="A3" s="2007" t="s">
        <v>829</v>
      </c>
      <c r="B3" s="2007"/>
      <c r="C3" s="2007"/>
      <c r="D3" s="2007"/>
      <c r="E3" s="2007"/>
      <c r="F3" s="2007"/>
    </row>
    <row r="4" spans="1:6" ht="15.6">
      <c r="A4" s="2007" t="s">
        <v>2487</v>
      </c>
      <c r="B4" s="2007"/>
      <c r="C4" s="2007"/>
      <c r="D4" s="2007"/>
      <c r="E4" s="2007"/>
      <c r="F4" s="2007"/>
    </row>
    <row r="5" spans="1:6" ht="19.5" customHeight="1">
      <c r="A5" s="3838"/>
      <c r="B5" s="3838"/>
      <c r="C5" s="3838"/>
      <c r="D5" s="4185" t="s">
        <v>1401</v>
      </c>
      <c r="E5" s="4186"/>
    </row>
    <row r="6" spans="1:6" s="2346" customFormat="1" ht="26.4">
      <c r="A6" s="3743" t="s">
        <v>803</v>
      </c>
      <c r="B6" s="3743" t="s">
        <v>804</v>
      </c>
      <c r="C6" s="3743" t="s">
        <v>805</v>
      </c>
      <c r="D6" s="3743" t="s">
        <v>799</v>
      </c>
      <c r="E6" s="3743" t="s">
        <v>674</v>
      </c>
    </row>
    <row r="7" spans="1:6" s="2346" customFormat="1">
      <c r="A7" s="3744">
        <v>1</v>
      </c>
      <c r="B7" s="3544">
        <v>2</v>
      </c>
      <c r="C7" s="3544">
        <v>3</v>
      </c>
      <c r="D7" s="3544">
        <v>4</v>
      </c>
      <c r="E7" s="3544">
        <v>5</v>
      </c>
    </row>
    <row r="8" spans="1:6">
      <c r="A8" s="3566" t="s">
        <v>807</v>
      </c>
      <c r="B8" s="3549" t="s">
        <v>808</v>
      </c>
      <c r="C8" s="3544"/>
      <c r="D8" s="3549"/>
      <c r="E8" s="3549"/>
    </row>
    <row r="9" spans="1:6">
      <c r="A9" s="3566"/>
      <c r="B9" s="3549" t="s">
        <v>809</v>
      </c>
      <c r="C9" s="3544" t="s">
        <v>810</v>
      </c>
      <c r="D9" s="3839">
        <v>9</v>
      </c>
      <c r="E9" s="3839">
        <v>9</v>
      </c>
    </row>
    <row r="10" spans="1:6">
      <c r="A10" s="3566" t="s">
        <v>811</v>
      </c>
      <c r="B10" s="3549" t="s">
        <v>812</v>
      </c>
      <c r="C10" s="3544"/>
      <c r="D10" s="3839"/>
      <c r="E10" s="3839"/>
    </row>
    <row r="11" spans="1:6" ht="16.5" customHeight="1">
      <c r="A11" s="3566" t="s">
        <v>813</v>
      </c>
      <c r="B11" s="3549" t="s">
        <v>814</v>
      </c>
      <c r="C11" s="3544" t="s">
        <v>815</v>
      </c>
      <c r="D11" s="3840">
        <v>8902.2900000000009</v>
      </c>
      <c r="E11" s="3840">
        <v>8902.2900000000009</v>
      </c>
    </row>
    <row r="12" spans="1:6">
      <c r="A12" s="3566" t="s">
        <v>816</v>
      </c>
      <c r="B12" s="3549" t="s">
        <v>817</v>
      </c>
      <c r="C12" s="3544"/>
      <c r="D12" s="3549">
        <v>1</v>
      </c>
      <c r="E12" s="3462">
        <v>1.0389999999999999</v>
      </c>
    </row>
    <row r="13" spans="1:6" ht="26.4">
      <c r="A13" s="3566" t="s">
        <v>818</v>
      </c>
      <c r="B13" s="3549" t="s">
        <v>819</v>
      </c>
      <c r="C13" s="3544" t="s">
        <v>815</v>
      </c>
      <c r="D13" s="3840">
        <v>8902.2900000000009</v>
      </c>
      <c r="E13" s="3840">
        <v>9249.4793100000006</v>
      </c>
    </row>
    <row r="14" spans="1:6">
      <c r="A14" s="3566" t="s">
        <v>820</v>
      </c>
      <c r="B14" s="3549" t="s">
        <v>821</v>
      </c>
      <c r="C14" s="3544"/>
      <c r="D14" s="3047">
        <v>7.2727272727272725</v>
      </c>
      <c r="E14" s="3047">
        <v>7.2727272727272725</v>
      </c>
    </row>
    <row r="15" spans="1:6" ht="30" customHeight="1">
      <c r="A15" s="3566" t="s">
        <v>822</v>
      </c>
      <c r="B15" s="3549" t="s">
        <v>823</v>
      </c>
      <c r="C15" s="3544" t="s">
        <v>815</v>
      </c>
      <c r="D15" s="3047">
        <v>2.9945829418922298</v>
      </c>
      <c r="E15" s="3047">
        <v>2.9945829418922294</v>
      </c>
    </row>
    <row r="16" spans="1:6">
      <c r="A16" s="3566" t="s">
        <v>824</v>
      </c>
      <c r="B16" s="3549" t="s">
        <v>825</v>
      </c>
      <c r="C16" s="3544" t="s">
        <v>826</v>
      </c>
      <c r="D16" s="3840">
        <v>26658.64577777778</v>
      </c>
      <c r="E16" s="3840">
        <v>27698.332963111112</v>
      </c>
    </row>
    <row r="17" spans="1:10" ht="26.25" customHeight="1">
      <c r="A17" s="3566" t="s">
        <v>827</v>
      </c>
      <c r="B17" s="3549" t="s">
        <v>636</v>
      </c>
      <c r="C17" s="3544"/>
      <c r="D17" s="3549"/>
      <c r="E17" s="3549"/>
    </row>
    <row r="18" spans="1:10" ht="14.25" customHeight="1">
      <c r="A18" s="3566" t="s">
        <v>0</v>
      </c>
      <c r="B18" s="3549" t="s">
        <v>1</v>
      </c>
      <c r="C18" s="3544" t="s">
        <v>683</v>
      </c>
      <c r="D18" s="3877">
        <v>33.978651878840957</v>
      </c>
      <c r="E18" s="3877">
        <v>33.978651878840957</v>
      </c>
    </row>
    <row r="19" spans="1:10" ht="13.5" customHeight="1">
      <c r="A19" s="3566" t="s">
        <v>2</v>
      </c>
      <c r="B19" s="3549" t="s">
        <v>3</v>
      </c>
      <c r="C19" s="3544" t="s">
        <v>815</v>
      </c>
      <c r="D19" s="2908">
        <v>9058.25</v>
      </c>
      <c r="E19" s="2908">
        <v>9411.52</v>
      </c>
    </row>
    <row r="20" spans="1:10">
      <c r="A20" s="3566" t="s">
        <v>4</v>
      </c>
      <c r="B20" s="3549" t="s">
        <v>618</v>
      </c>
      <c r="C20" s="3544"/>
      <c r="D20" s="3549"/>
      <c r="E20" s="3549"/>
    </row>
    <row r="21" spans="1:10" ht="15" customHeight="1">
      <c r="A21" s="3566" t="s">
        <v>5</v>
      </c>
      <c r="B21" s="3549" t="s">
        <v>1</v>
      </c>
      <c r="C21" s="3544" t="s">
        <v>683</v>
      </c>
      <c r="D21" s="3047">
        <v>30.665502005244811</v>
      </c>
      <c r="E21" s="3047">
        <v>30.665502005244811</v>
      </c>
    </row>
    <row r="22" spans="1:10" ht="14.25" customHeight="1">
      <c r="A22" s="3566" t="s">
        <v>6</v>
      </c>
      <c r="B22" s="3549" t="s">
        <v>3</v>
      </c>
      <c r="C22" s="3544" t="s">
        <v>815</v>
      </c>
      <c r="D22" s="3840">
        <v>8175.01</v>
      </c>
      <c r="E22" s="3840">
        <v>8493.83</v>
      </c>
    </row>
    <row r="23" spans="1:10">
      <c r="A23" s="3566" t="s">
        <v>7</v>
      </c>
      <c r="B23" s="3549" t="s">
        <v>8</v>
      </c>
      <c r="C23" s="3544"/>
      <c r="D23" s="3549"/>
      <c r="E23" s="3549"/>
    </row>
    <row r="24" spans="1:10" ht="14.25" customHeight="1">
      <c r="A24" s="3566" t="s">
        <v>9</v>
      </c>
      <c r="B24" s="3549" t="s">
        <v>1</v>
      </c>
      <c r="C24" s="3544" t="s">
        <v>683</v>
      </c>
      <c r="D24" s="2908">
        <v>0</v>
      </c>
      <c r="E24" s="2908">
        <v>0</v>
      </c>
    </row>
    <row r="25" spans="1:10" ht="14.25" customHeight="1">
      <c r="A25" s="3566" t="s">
        <v>10</v>
      </c>
      <c r="B25" s="3549" t="s">
        <v>3</v>
      </c>
      <c r="C25" s="3544" t="s">
        <v>815</v>
      </c>
      <c r="D25" s="2908">
        <v>0</v>
      </c>
      <c r="E25" s="2908">
        <v>0</v>
      </c>
    </row>
    <row r="26" spans="1:10" ht="14.25" customHeight="1">
      <c r="A26" s="3566" t="s">
        <v>11</v>
      </c>
      <c r="B26" s="3549" t="s">
        <v>12</v>
      </c>
      <c r="C26" s="3544"/>
      <c r="D26" s="3549"/>
      <c r="E26" s="3549"/>
    </row>
    <row r="27" spans="1:10" ht="12.75" customHeight="1">
      <c r="A27" s="3566" t="s">
        <v>13</v>
      </c>
      <c r="B27" s="3549" t="s">
        <v>1</v>
      </c>
      <c r="C27" s="3544" t="s">
        <v>683</v>
      </c>
      <c r="D27" s="2908"/>
      <c r="E27" s="2908">
        <v>0</v>
      </c>
    </row>
    <row r="28" spans="1:10" ht="13.5" customHeight="1">
      <c r="A28" s="3566" t="s">
        <v>14</v>
      </c>
      <c r="B28" s="3549" t="s">
        <v>3</v>
      </c>
      <c r="C28" s="3544" t="s">
        <v>815</v>
      </c>
      <c r="D28" s="2908">
        <v>0</v>
      </c>
      <c r="E28" s="2908">
        <v>0</v>
      </c>
    </row>
    <row r="29" spans="1:10" ht="27" customHeight="1">
      <c r="A29" s="3566" t="s">
        <v>15</v>
      </c>
      <c r="B29" s="3549" t="s">
        <v>637</v>
      </c>
      <c r="C29" s="3544"/>
      <c r="D29" s="3549"/>
      <c r="E29" s="3549"/>
      <c r="H29" s="2006" t="s">
        <v>496</v>
      </c>
    </row>
    <row r="30" spans="1:10" ht="15" customHeight="1">
      <c r="A30" s="3566" t="s">
        <v>16</v>
      </c>
      <c r="B30" s="3549" t="s">
        <v>1</v>
      </c>
      <c r="C30" s="3544" t="s">
        <v>683</v>
      </c>
      <c r="D30" s="3549"/>
      <c r="E30" s="3549"/>
    </row>
    <row r="31" spans="1:10" ht="15" customHeight="1">
      <c r="A31" s="3566" t="s">
        <v>17</v>
      </c>
      <c r="B31" s="3549" t="s">
        <v>3</v>
      </c>
      <c r="C31" s="3544" t="s">
        <v>815</v>
      </c>
      <c r="D31" s="3549"/>
      <c r="E31" s="3549"/>
      <c r="I31" s="3400"/>
      <c r="J31" s="3400"/>
    </row>
    <row r="32" spans="1:10" ht="26.4">
      <c r="A32" s="3566" t="s">
        <v>18</v>
      </c>
      <c r="B32" s="3549" t="s">
        <v>19</v>
      </c>
      <c r="C32" s="3544" t="s">
        <v>815</v>
      </c>
      <c r="D32" s="3840">
        <v>43891.905777777785</v>
      </c>
      <c r="E32" s="3840">
        <v>45603.682963111118</v>
      </c>
      <c r="H32" s="3841">
        <v>3.8999837327637676E-2</v>
      </c>
      <c r="I32" s="3400"/>
      <c r="J32" s="3842"/>
    </row>
    <row r="33" spans="1:13" ht="27" customHeight="1">
      <c r="A33" s="3566" t="s">
        <v>20</v>
      </c>
      <c r="B33" s="3549" t="s">
        <v>21</v>
      </c>
      <c r="C33" s="3544"/>
      <c r="D33" s="3549"/>
      <c r="E33" s="3549"/>
    </row>
    <row r="34" spans="1:13" ht="14.25" customHeight="1">
      <c r="A34" s="3566" t="s">
        <v>22</v>
      </c>
      <c r="B34" s="3549" t="s">
        <v>23</v>
      </c>
      <c r="C34" s="3544" t="s">
        <v>24</v>
      </c>
      <c r="D34" s="3549"/>
      <c r="E34" s="3549"/>
    </row>
    <row r="35" spans="1:13" ht="15.75" customHeight="1">
      <c r="A35" s="3566" t="s">
        <v>25</v>
      </c>
      <c r="B35" s="3549" t="s">
        <v>26</v>
      </c>
      <c r="C35" s="3544" t="s">
        <v>826</v>
      </c>
      <c r="D35" s="3549"/>
      <c r="E35" s="3549"/>
    </row>
    <row r="36" spans="1:13" ht="14.25" customHeight="1">
      <c r="A36" s="3566" t="s">
        <v>27</v>
      </c>
      <c r="B36" s="3549" t="s">
        <v>28</v>
      </c>
      <c r="C36" s="3544" t="s">
        <v>826</v>
      </c>
      <c r="D36" s="3549"/>
      <c r="E36" s="3549"/>
    </row>
    <row r="37" spans="1:13" ht="39.75" customHeight="1">
      <c r="A37" s="3566" t="s">
        <v>29</v>
      </c>
      <c r="B37" s="3549" t="s">
        <v>30</v>
      </c>
      <c r="C37" s="3544"/>
      <c r="D37" s="3549"/>
      <c r="E37" s="3549"/>
    </row>
    <row r="38" spans="1:13" ht="27" customHeight="1">
      <c r="A38" s="3566" t="s">
        <v>31</v>
      </c>
      <c r="B38" s="3549" t="s">
        <v>32</v>
      </c>
      <c r="C38" s="3544" t="s">
        <v>810</v>
      </c>
      <c r="D38" s="3549"/>
      <c r="E38" s="3549"/>
    </row>
    <row r="39" spans="1:13" ht="26.4">
      <c r="A39" s="3566" t="s">
        <v>33</v>
      </c>
      <c r="B39" s="3549" t="s">
        <v>34</v>
      </c>
      <c r="C39" s="3544" t="s">
        <v>815</v>
      </c>
      <c r="D39" s="3549"/>
      <c r="E39" s="3549"/>
    </row>
    <row r="40" spans="1:13" ht="15.75" customHeight="1">
      <c r="A40" s="3566" t="s">
        <v>35</v>
      </c>
      <c r="B40" s="3549" t="s">
        <v>36</v>
      </c>
      <c r="C40" s="3544" t="s">
        <v>24</v>
      </c>
      <c r="D40" s="3549"/>
      <c r="E40" s="3549"/>
    </row>
    <row r="41" spans="1:13" ht="16.5" customHeight="1">
      <c r="A41" s="3566" t="s">
        <v>37</v>
      </c>
      <c r="B41" s="3549" t="s">
        <v>38</v>
      </c>
      <c r="C41" s="3544" t="s">
        <v>24</v>
      </c>
      <c r="D41" s="3549"/>
      <c r="E41" s="3549"/>
    </row>
    <row r="42" spans="1:13" ht="25.5" customHeight="1">
      <c r="A42" s="2878" t="s">
        <v>39</v>
      </c>
      <c r="B42" s="3753" t="s">
        <v>40</v>
      </c>
      <c r="C42" s="3843" t="s">
        <v>24</v>
      </c>
      <c r="D42" s="3753"/>
      <c r="E42" s="3753"/>
    </row>
    <row r="43" spans="1:13">
      <c r="A43" s="2878" t="s">
        <v>41</v>
      </c>
      <c r="B43" s="3753" t="s">
        <v>42</v>
      </c>
      <c r="C43" s="3843"/>
      <c r="D43" s="3753"/>
      <c r="E43" s="3753"/>
    </row>
    <row r="44" spans="1:13" ht="26.4">
      <c r="A44" s="2878" t="s">
        <v>43</v>
      </c>
      <c r="B44" s="3753" t="s">
        <v>44</v>
      </c>
      <c r="C44" s="3843" t="s">
        <v>810</v>
      </c>
      <c r="D44" s="3844">
        <v>9</v>
      </c>
      <c r="E44" s="3844">
        <v>9</v>
      </c>
    </row>
    <row r="45" spans="1:13" ht="15.75" customHeight="1">
      <c r="A45" s="3566" t="s">
        <v>45</v>
      </c>
      <c r="B45" s="3549" t="s">
        <v>46</v>
      </c>
      <c r="C45" s="3544" t="s">
        <v>815</v>
      </c>
      <c r="D45" s="3840">
        <v>43891.905777777785</v>
      </c>
      <c r="E45" s="3840">
        <v>45603.682963111118</v>
      </c>
    </row>
    <row r="46" spans="1:13">
      <c r="A46" s="3566" t="s">
        <v>47</v>
      </c>
      <c r="B46" s="3549" t="s">
        <v>48</v>
      </c>
      <c r="C46" s="3845" t="s">
        <v>503</v>
      </c>
      <c r="D46" s="3846">
        <v>526.70286933333341</v>
      </c>
      <c r="E46" s="3846">
        <v>547.24419555733346</v>
      </c>
      <c r="K46" s="3467"/>
      <c r="L46" s="3400"/>
    </row>
    <row r="47" spans="1:13">
      <c r="A47" s="3566" t="s">
        <v>49</v>
      </c>
      <c r="B47" s="3549" t="s">
        <v>50</v>
      </c>
      <c r="C47" s="3845" t="s">
        <v>503</v>
      </c>
      <c r="D47" s="3847">
        <v>4740.3258240000005</v>
      </c>
      <c r="E47" s="3847">
        <v>4925.1977600160008</v>
      </c>
      <c r="H47" s="3848">
        <v>4740.3253919999997</v>
      </c>
      <c r="I47" s="3848">
        <v>4580.6054252047179</v>
      </c>
      <c r="K47" s="3849"/>
      <c r="L47" s="3400"/>
    </row>
    <row r="48" spans="1:13">
      <c r="A48" s="3566" t="s">
        <v>51</v>
      </c>
      <c r="B48" s="3549" t="s">
        <v>52</v>
      </c>
      <c r="C48" s="3544" t="s">
        <v>815</v>
      </c>
      <c r="D48" s="3840">
        <v>43891.905777777785</v>
      </c>
      <c r="E48" s="3840">
        <v>45603.682963111118</v>
      </c>
      <c r="I48" s="3848">
        <v>547.24419555733346</v>
      </c>
      <c r="K48" s="3400"/>
      <c r="L48" s="3400"/>
      <c r="M48" s="3400"/>
    </row>
    <row r="49" spans="1:13">
      <c r="A49" s="3850"/>
      <c r="K49" s="3400"/>
      <c r="L49" s="3842"/>
      <c r="M49" s="3400"/>
    </row>
    <row r="50" spans="1:13" s="2171" customFormat="1" ht="23.25" customHeight="1">
      <c r="A50" s="3404" t="s">
        <v>1266</v>
      </c>
      <c r="B50" s="3404"/>
      <c r="C50" s="3405"/>
      <c r="H50" s="3406"/>
    </row>
    <row r="51" spans="1:13" s="2171" customFormat="1" ht="15" customHeight="1">
      <c r="A51" s="3404" t="s">
        <v>1304</v>
      </c>
      <c r="B51" s="3407"/>
      <c r="C51" s="3405"/>
      <c r="E51" s="3408" t="s">
        <v>2876</v>
      </c>
      <c r="F51" s="3466"/>
    </row>
    <row r="52" spans="1:13" s="2009" customFormat="1" ht="11.25" customHeight="1"/>
    <row r="53" spans="1:13" s="2009" customFormat="1">
      <c r="A53" s="3410"/>
    </row>
    <row r="54" spans="1:13" s="2009" customFormat="1">
      <c r="A54" s="3410"/>
    </row>
  </sheetData>
  <mergeCells count="1">
    <mergeCell ref="D5:E5"/>
  </mergeCells>
  <phoneticPr fontId="0" type="noConversion"/>
  <printOptions horizontalCentered="1"/>
  <pageMargins left="0.78740157480314965" right="0.78740157480314965" top="0.59055118110236227" bottom="0.11811023622047245" header="0.51181102362204722" footer="3.937007874015748E-2"/>
  <pageSetup paperSize="9" scale="85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0" enableFormatConditionsCalculation="0">
    <tabColor indexed="42"/>
  </sheetPr>
  <dimension ref="A1:M55"/>
  <sheetViews>
    <sheetView workbookViewId="0">
      <pane ySplit="8" topLeftCell="A27" activePane="bottomLeft" state="frozen"/>
      <selection activeCell="B32" sqref="A1:XFD1048576"/>
      <selection pane="bottomLeft" sqref="A1:XFD1048576"/>
    </sheetView>
  </sheetViews>
  <sheetFormatPr defaultColWidth="9.109375" defaultRowHeight="13.2"/>
  <cols>
    <col min="1" max="1" width="6.44140625" style="2006" customWidth="1"/>
    <col min="2" max="2" width="36.109375" style="2006" customWidth="1"/>
    <col min="3" max="3" width="8.5546875" style="2006" customWidth="1"/>
    <col min="4" max="4" width="17.33203125" style="2006" customWidth="1"/>
    <col min="5" max="5" width="18.6640625" style="2006" customWidth="1"/>
    <col min="6" max="15" width="0" style="2006" hidden="1" customWidth="1"/>
    <col min="16" max="16384" width="9.109375" style="2006"/>
  </cols>
  <sheetData>
    <row r="1" spans="1:6">
      <c r="E1" s="3473" t="s">
        <v>802</v>
      </c>
    </row>
    <row r="2" spans="1:6" ht="15.6">
      <c r="A2" s="2007" t="s">
        <v>628</v>
      </c>
      <c r="B2" s="2007"/>
      <c r="C2" s="2007"/>
      <c r="D2" s="2007"/>
      <c r="E2" s="2007"/>
      <c r="F2" s="2073"/>
    </row>
    <row r="3" spans="1:6" ht="15.6">
      <c r="A3" s="2007" t="s">
        <v>833</v>
      </c>
      <c r="B3" s="2007"/>
      <c r="C3" s="2007"/>
      <c r="D3" s="2007"/>
      <c r="E3" s="2007"/>
      <c r="F3" s="2007"/>
    </row>
    <row r="4" spans="1:6" ht="15.6">
      <c r="A4" s="2007" t="s">
        <v>2487</v>
      </c>
      <c r="B4" s="2007"/>
      <c r="C4" s="2007"/>
      <c r="D4" s="2007"/>
      <c r="E4" s="2007"/>
      <c r="F4" s="2007"/>
    </row>
    <row r="5" spans="1:6" ht="13.5" customHeight="1">
      <c r="A5" s="2007"/>
      <c r="B5" s="2007"/>
      <c r="C5" s="2007"/>
      <c r="D5" s="2007"/>
      <c r="E5" s="2007"/>
      <c r="F5" s="2007"/>
    </row>
    <row r="6" spans="1:6" ht="13.8">
      <c r="A6" s="3837"/>
      <c r="B6" s="3838"/>
      <c r="C6" s="3838"/>
      <c r="D6" s="3384" t="s">
        <v>1401</v>
      </c>
      <c r="E6" s="3878" t="s">
        <v>175</v>
      </c>
    </row>
    <row r="7" spans="1:6" s="2346" customFormat="1" ht="26.4">
      <c r="A7" s="3744" t="s">
        <v>803</v>
      </c>
      <c r="B7" s="3743" t="s">
        <v>804</v>
      </c>
      <c r="C7" s="3743" t="s">
        <v>805</v>
      </c>
      <c r="D7" s="3743" t="s">
        <v>799</v>
      </c>
      <c r="E7" s="3743" t="s">
        <v>674</v>
      </c>
    </row>
    <row r="8" spans="1:6" s="2346" customFormat="1">
      <c r="A8" s="3744">
        <v>1</v>
      </c>
      <c r="B8" s="3544">
        <v>2</v>
      </c>
      <c r="C8" s="3544">
        <v>3</v>
      </c>
      <c r="D8" s="3544">
        <v>4</v>
      </c>
      <c r="E8" s="3544">
        <v>5</v>
      </c>
    </row>
    <row r="9" spans="1:6">
      <c r="A9" s="3566" t="s">
        <v>807</v>
      </c>
      <c r="B9" s="3549" t="s">
        <v>808</v>
      </c>
      <c r="C9" s="3544"/>
      <c r="D9" s="3549"/>
      <c r="E9" s="3549"/>
    </row>
    <row r="10" spans="1:6">
      <c r="A10" s="3566"/>
      <c r="B10" s="3549" t="s">
        <v>809</v>
      </c>
      <c r="C10" s="3544" t="s">
        <v>810</v>
      </c>
      <c r="D10" s="3839">
        <v>25</v>
      </c>
      <c r="E10" s="3839">
        <v>25</v>
      </c>
    </row>
    <row r="11" spans="1:6">
      <c r="A11" s="3566" t="s">
        <v>811</v>
      </c>
      <c r="B11" s="3549" t="s">
        <v>812</v>
      </c>
      <c r="C11" s="3544"/>
      <c r="D11" s="3839"/>
      <c r="E11" s="3839"/>
    </row>
    <row r="12" spans="1:6" ht="16.5" customHeight="1">
      <c r="A12" s="3566" t="s">
        <v>813</v>
      </c>
      <c r="B12" s="3549" t="s">
        <v>814</v>
      </c>
      <c r="C12" s="3544" t="s">
        <v>815</v>
      </c>
      <c r="D12" s="3840">
        <v>8902.2900000000009</v>
      </c>
      <c r="E12" s="3840">
        <v>8902.2900000000009</v>
      </c>
    </row>
    <row r="13" spans="1:6">
      <c r="A13" s="3566" t="s">
        <v>816</v>
      </c>
      <c r="B13" s="3549" t="s">
        <v>817</v>
      </c>
      <c r="C13" s="3544"/>
      <c r="D13" s="3549">
        <v>1</v>
      </c>
      <c r="E13" s="3462">
        <v>1.0389999999999999</v>
      </c>
    </row>
    <row r="14" spans="1:6" ht="26.4">
      <c r="A14" s="3566" t="s">
        <v>818</v>
      </c>
      <c r="B14" s="3549" t="s">
        <v>819</v>
      </c>
      <c r="C14" s="3544" t="s">
        <v>815</v>
      </c>
      <c r="D14" s="3840">
        <v>8902.2900000000009</v>
      </c>
      <c r="E14" s="3840">
        <v>9249.4793100000006</v>
      </c>
    </row>
    <row r="15" spans="1:6">
      <c r="A15" s="3566" t="s">
        <v>820</v>
      </c>
      <c r="B15" s="3549" t="s">
        <v>821</v>
      </c>
      <c r="C15" s="3544"/>
      <c r="D15" s="3047">
        <v>8.0786073500967106</v>
      </c>
      <c r="E15" s="3047">
        <v>8.0786073500967106</v>
      </c>
    </row>
    <row r="16" spans="1:6" ht="30" customHeight="1">
      <c r="A16" s="3566" t="s">
        <v>822</v>
      </c>
      <c r="B16" s="3549" t="s">
        <v>823</v>
      </c>
      <c r="C16" s="3544" t="s">
        <v>815</v>
      </c>
      <c r="D16" s="3047">
        <v>2.8465030548319588</v>
      </c>
      <c r="E16" s="3047">
        <v>2.8465030548319588</v>
      </c>
    </row>
    <row r="17" spans="1:10">
      <c r="A17" s="3566" t="s">
        <v>824</v>
      </c>
      <c r="B17" s="3549" t="s">
        <v>825</v>
      </c>
      <c r="C17" s="3544" t="s">
        <v>826</v>
      </c>
      <c r="D17" s="3840">
        <v>25340.395680000001</v>
      </c>
      <c r="E17" s="3840">
        <v>26328.671111519998</v>
      </c>
    </row>
    <row r="18" spans="1:10" ht="26.25" customHeight="1">
      <c r="A18" s="3566" t="s">
        <v>827</v>
      </c>
      <c r="B18" s="3549" t="s">
        <v>636</v>
      </c>
      <c r="C18" s="3544"/>
      <c r="D18" s="3549"/>
      <c r="E18" s="3549"/>
    </row>
    <row r="19" spans="1:10" ht="14.25" customHeight="1">
      <c r="A19" s="3566" t="s">
        <v>0</v>
      </c>
      <c r="B19" s="3549" t="s">
        <v>1</v>
      </c>
      <c r="C19" s="3544" t="s">
        <v>683</v>
      </c>
      <c r="D19" s="3047">
        <v>38.992049393287132</v>
      </c>
      <c r="E19" s="3047">
        <v>38.992041628368099</v>
      </c>
    </row>
    <row r="20" spans="1:10" ht="13.5" customHeight="1">
      <c r="A20" s="3566" t="s">
        <v>2</v>
      </c>
      <c r="B20" s="3549" t="s">
        <v>3</v>
      </c>
      <c r="C20" s="3544" t="s">
        <v>815</v>
      </c>
      <c r="D20" s="3840">
        <v>9880.739599999999</v>
      </c>
      <c r="E20" s="3840">
        <v>10266.086400000002</v>
      </c>
    </row>
    <row r="21" spans="1:10">
      <c r="A21" s="3566" t="s">
        <v>4</v>
      </c>
      <c r="B21" s="3549" t="s">
        <v>618</v>
      </c>
      <c r="C21" s="3544"/>
      <c r="D21" s="3549"/>
      <c r="E21" s="3549"/>
    </row>
    <row r="22" spans="1:10" ht="15" customHeight="1">
      <c r="A22" s="3566" t="s">
        <v>5</v>
      </c>
      <c r="B22" s="3549" t="s">
        <v>1</v>
      </c>
      <c r="C22" s="3544" t="s">
        <v>683</v>
      </c>
      <c r="D22" s="3047">
        <v>24.039310502194965</v>
      </c>
      <c r="E22" s="3047">
        <v>24.039300628548148</v>
      </c>
    </row>
    <row r="23" spans="1:10" ht="14.25" customHeight="1">
      <c r="A23" s="3566" t="s">
        <v>6</v>
      </c>
      <c r="B23" s="3549" t="s">
        <v>3</v>
      </c>
      <c r="C23" s="3544" t="s">
        <v>815</v>
      </c>
      <c r="D23" s="3840">
        <v>6091.6563999999998</v>
      </c>
      <c r="E23" s="3840">
        <v>6329.2284000000009</v>
      </c>
    </row>
    <row r="24" spans="1:10">
      <c r="A24" s="3566" t="s">
        <v>7</v>
      </c>
      <c r="B24" s="3549" t="s">
        <v>8</v>
      </c>
      <c r="C24" s="3544"/>
      <c r="D24" s="3549"/>
      <c r="E24" s="3549"/>
    </row>
    <row r="25" spans="1:10" ht="14.25" customHeight="1">
      <c r="A25" s="3566" t="s">
        <v>9</v>
      </c>
      <c r="B25" s="3549" t="s">
        <v>1</v>
      </c>
      <c r="C25" s="3544" t="s">
        <v>683</v>
      </c>
      <c r="D25" s="2908">
        <v>0</v>
      </c>
      <c r="E25" s="2908">
        <v>0</v>
      </c>
    </row>
    <row r="26" spans="1:10" ht="14.25" customHeight="1">
      <c r="A26" s="3566" t="s">
        <v>10</v>
      </c>
      <c r="B26" s="3549" t="s">
        <v>3</v>
      </c>
      <c r="C26" s="3544" t="s">
        <v>815</v>
      </c>
      <c r="D26" s="2908">
        <v>0</v>
      </c>
      <c r="E26" s="2908">
        <v>0</v>
      </c>
    </row>
    <row r="27" spans="1:10" ht="14.25" customHeight="1">
      <c r="A27" s="3566" t="s">
        <v>11</v>
      </c>
      <c r="B27" s="3549" t="s">
        <v>12</v>
      </c>
      <c r="C27" s="3544"/>
      <c r="D27" s="3549"/>
      <c r="E27" s="3549"/>
    </row>
    <row r="28" spans="1:10" ht="12.75" customHeight="1">
      <c r="A28" s="3566" t="s">
        <v>13</v>
      </c>
      <c r="B28" s="3549" t="s">
        <v>1</v>
      </c>
      <c r="C28" s="3544" t="s">
        <v>683</v>
      </c>
      <c r="D28" s="2908"/>
      <c r="E28" s="2908">
        <v>0</v>
      </c>
    </row>
    <row r="29" spans="1:10" ht="13.5" customHeight="1">
      <c r="A29" s="3566" t="s">
        <v>14</v>
      </c>
      <c r="B29" s="3549" t="s">
        <v>3</v>
      </c>
      <c r="C29" s="3544" t="s">
        <v>815</v>
      </c>
      <c r="D29" s="2908">
        <v>0</v>
      </c>
      <c r="E29" s="2908">
        <v>0</v>
      </c>
    </row>
    <row r="30" spans="1:10" ht="27" customHeight="1">
      <c r="A30" s="3566" t="s">
        <v>15</v>
      </c>
      <c r="B30" s="3549" t="s">
        <v>637</v>
      </c>
      <c r="C30" s="3544"/>
      <c r="D30" s="3549"/>
      <c r="E30" s="3549"/>
      <c r="H30" s="2006" t="s">
        <v>496</v>
      </c>
    </row>
    <row r="31" spans="1:10" ht="15" customHeight="1">
      <c r="A31" s="3566" t="s">
        <v>16</v>
      </c>
      <c r="B31" s="3549" t="s">
        <v>1</v>
      </c>
      <c r="C31" s="3544" t="s">
        <v>683</v>
      </c>
      <c r="D31" s="3549"/>
      <c r="E31" s="3549"/>
    </row>
    <row r="32" spans="1:10" ht="15" customHeight="1">
      <c r="A32" s="3566" t="s">
        <v>17</v>
      </c>
      <c r="B32" s="3549" t="s">
        <v>3</v>
      </c>
      <c r="C32" s="3544" t="s">
        <v>815</v>
      </c>
      <c r="D32" s="3549"/>
      <c r="E32" s="3549"/>
      <c r="I32" s="3400" t="s">
        <v>664</v>
      </c>
      <c r="J32" s="3400" t="s">
        <v>2553</v>
      </c>
    </row>
    <row r="33" spans="1:12" ht="26.4">
      <c r="A33" s="3566" t="s">
        <v>18</v>
      </c>
      <c r="B33" s="3549" t="s">
        <v>19</v>
      </c>
      <c r="C33" s="3544" t="s">
        <v>815</v>
      </c>
      <c r="D33" s="3840">
        <v>41312.791680000002</v>
      </c>
      <c r="E33" s="3840">
        <v>42923.985911520002</v>
      </c>
      <c r="H33" s="3841">
        <v>3.8999887589295845E-2</v>
      </c>
      <c r="I33" s="3400"/>
      <c r="J33" s="3842">
        <v>39736.66267631291</v>
      </c>
    </row>
    <row r="34" spans="1:12" ht="27" customHeight="1">
      <c r="A34" s="3566" t="s">
        <v>20</v>
      </c>
      <c r="B34" s="3549" t="s">
        <v>21</v>
      </c>
      <c r="C34" s="3544"/>
      <c r="D34" s="3549"/>
      <c r="E34" s="3549"/>
    </row>
    <row r="35" spans="1:12" ht="14.25" customHeight="1">
      <c r="A35" s="3566" t="s">
        <v>22</v>
      </c>
      <c r="B35" s="3549" t="s">
        <v>23</v>
      </c>
      <c r="C35" s="3544" t="s">
        <v>24</v>
      </c>
      <c r="D35" s="3549"/>
      <c r="E35" s="3549"/>
    </row>
    <row r="36" spans="1:12" ht="15.75" customHeight="1">
      <c r="A36" s="3566" t="s">
        <v>25</v>
      </c>
      <c r="B36" s="3549" t="s">
        <v>26</v>
      </c>
      <c r="C36" s="3544" t="s">
        <v>826</v>
      </c>
      <c r="D36" s="3549"/>
      <c r="E36" s="3549"/>
    </row>
    <row r="37" spans="1:12" ht="14.25" customHeight="1">
      <c r="A37" s="3566" t="s">
        <v>27</v>
      </c>
      <c r="B37" s="3549" t="s">
        <v>28</v>
      </c>
      <c r="C37" s="3544" t="s">
        <v>826</v>
      </c>
      <c r="D37" s="3549"/>
      <c r="E37" s="3549"/>
    </row>
    <row r="38" spans="1:12" ht="39.75" customHeight="1">
      <c r="A38" s="3566" t="s">
        <v>29</v>
      </c>
      <c r="B38" s="3549" t="s">
        <v>30</v>
      </c>
      <c r="C38" s="3544"/>
      <c r="D38" s="3549"/>
      <c r="E38" s="3549"/>
    </row>
    <row r="39" spans="1:12" ht="27" customHeight="1">
      <c r="A39" s="3566" t="s">
        <v>31</v>
      </c>
      <c r="B39" s="3549" t="s">
        <v>32</v>
      </c>
      <c r="C39" s="3544" t="s">
        <v>810</v>
      </c>
      <c r="D39" s="3549"/>
      <c r="E39" s="3549"/>
    </row>
    <row r="40" spans="1:12" ht="26.4">
      <c r="A40" s="3566" t="s">
        <v>33</v>
      </c>
      <c r="B40" s="3549" t="s">
        <v>34</v>
      </c>
      <c r="C40" s="3544" t="s">
        <v>815</v>
      </c>
      <c r="D40" s="3549"/>
      <c r="E40" s="3549"/>
    </row>
    <row r="41" spans="1:12" ht="15.75" customHeight="1">
      <c r="A41" s="3566" t="s">
        <v>35</v>
      </c>
      <c r="B41" s="3549" t="s">
        <v>36</v>
      </c>
      <c r="C41" s="3544" t="s">
        <v>24</v>
      </c>
      <c r="D41" s="3549"/>
      <c r="E41" s="3549"/>
    </row>
    <row r="42" spans="1:12" ht="16.5" customHeight="1">
      <c r="A42" s="3566" t="s">
        <v>37</v>
      </c>
      <c r="B42" s="3549" t="s">
        <v>38</v>
      </c>
      <c r="C42" s="3544" t="s">
        <v>24</v>
      </c>
      <c r="D42" s="3549"/>
      <c r="E42" s="3549"/>
    </row>
    <row r="43" spans="1:12" ht="25.5" customHeight="1">
      <c r="A43" s="2878" t="s">
        <v>39</v>
      </c>
      <c r="B43" s="3753" t="s">
        <v>40</v>
      </c>
      <c r="C43" s="3843" t="s">
        <v>24</v>
      </c>
      <c r="D43" s="3753"/>
      <c r="E43" s="3753"/>
    </row>
    <row r="44" spans="1:12">
      <c r="A44" s="2878" t="s">
        <v>41</v>
      </c>
      <c r="B44" s="3753" t="s">
        <v>42</v>
      </c>
      <c r="C44" s="3843"/>
      <c r="D44" s="3753"/>
      <c r="E44" s="3753"/>
    </row>
    <row r="45" spans="1:12" ht="26.4">
      <c r="A45" s="2878" t="s">
        <v>43</v>
      </c>
      <c r="B45" s="3753" t="s">
        <v>44</v>
      </c>
      <c r="C45" s="3843" t="s">
        <v>810</v>
      </c>
      <c r="D45" s="3844">
        <v>25</v>
      </c>
      <c r="E45" s="3844">
        <v>25</v>
      </c>
    </row>
    <row r="46" spans="1:12" ht="15.75" customHeight="1">
      <c r="A46" s="3566" t="s">
        <v>45</v>
      </c>
      <c r="B46" s="3549" t="s">
        <v>46</v>
      </c>
      <c r="C46" s="3544" t="s">
        <v>815</v>
      </c>
      <c r="D46" s="3840">
        <v>41312.791680000002</v>
      </c>
      <c r="E46" s="3840">
        <v>42923.985911520002</v>
      </c>
    </row>
    <row r="47" spans="1:12">
      <c r="A47" s="3566" t="s">
        <v>47</v>
      </c>
      <c r="B47" s="3549" t="s">
        <v>48</v>
      </c>
      <c r="C47" s="3845" t="s">
        <v>503</v>
      </c>
      <c r="D47" s="3846">
        <v>495.75350016000004</v>
      </c>
      <c r="E47" s="3846">
        <v>515.08783093824002</v>
      </c>
      <c r="K47" s="3467"/>
      <c r="L47" s="3400"/>
    </row>
    <row r="48" spans="1:12">
      <c r="A48" s="3566" t="s">
        <v>49</v>
      </c>
      <c r="B48" s="3549" t="s">
        <v>50</v>
      </c>
      <c r="C48" s="3845" t="s">
        <v>503</v>
      </c>
      <c r="D48" s="3847">
        <v>12393.837504000003</v>
      </c>
      <c r="E48" s="3847">
        <v>12877.195773456002</v>
      </c>
      <c r="H48" s="3848">
        <v>12393.837071999998</v>
      </c>
      <c r="I48" s="3848">
        <v>12877.197166656002</v>
      </c>
      <c r="K48" s="3849"/>
      <c r="L48" s="3400"/>
    </row>
    <row r="49" spans="1:13">
      <c r="A49" s="3566" t="s">
        <v>51</v>
      </c>
      <c r="B49" s="3549" t="s">
        <v>52</v>
      </c>
      <c r="C49" s="3544" t="s">
        <v>815</v>
      </c>
      <c r="D49" s="3840">
        <v>41312.791680000009</v>
      </c>
      <c r="E49" s="3840">
        <v>42923.985911520009</v>
      </c>
      <c r="H49" s="2006">
        <v>13633.220779199999</v>
      </c>
      <c r="I49" s="3848"/>
      <c r="K49" s="3400"/>
      <c r="L49" s="3400"/>
      <c r="M49" s="3400"/>
    </row>
    <row r="50" spans="1:13">
      <c r="A50" s="3850"/>
      <c r="K50" s="3400"/>
      <c r="L50" s="3842"/>
      <c r="M50" s="3400"/>
    </row>
    <row r="51" spans="1:13" s="2171" customFormat="1" ht="19.5" customHeight="1">
      <c r="A51" s="3404" t="s">
        <v>1266</v>
      </c>
      <c r="B51" s="3404"/>
      <c r="C51" s="3405"/>
      <c r="H51" s="3879">
        <v>39505.555555555562</v>
      </c>
      <c r="I51" s="3879" t="s">
        <v>2733</v>
      </c>
      <c r="J51" s="3879"/>
      <c r="K51" s="3879"/>
    </row>
    <row r="52" spans="1:13" s="2171" customFormat="1" ht="15" customHeight="1">
      <c r="A52" s="3404" t="s">
        <v>1304</v>
      </c>
      <c r="B52" s="3407"/>
      <c r="C52" s="3405"/>
      <c r="E52" s="3408" t="s">
        <v>2876</v>
      </c>
      <c r="F52" s="3466"/>
    </row>
    <row r="53" spans="1:13" s="2009" customFormat="1" ht="11.25" customHeight="1"/>
    <row r="54" spans="1:13" s="2009" customFormat="1">
      <c r="A54" s="3410"/>
    </row>
    <row r="55" spans="1:13" s="2009" customFormat="1">
      <c r="A55" s="3410"/>
    </row>
  </sheetData>
  <phoneticPr fontId="0" type="noConversion"/>
  <printOptions horizontalCentered="1"/>
  <pageMargins left="0.78740157480314965" right="0.78740157480314965" top="0.59055118110236227" bottom="0.11811023622047245" header="0.51181102362204722" footer="3.937007874015748E-2"/>
  <pageSetup paperSize="9" scale="85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5">
    <tabColor rgb="FF7030A0"/>
  </sheetPr>
  <dimension ref="A1:AC56"/>
  <sheetViews>
    <sheetView zoomScaleSheetLayoutView="100" workbookViewId="0">
      <pane xSplit="5" ySplit="8" topLeftCell="F9" activePane="bottomRight" state="frozenSplit"/>
      <selection pane="topRight" activeCell="F1" sqref="F1"/>
      <selection pane="bottomLeft" activeCell="A8" sqref="A8"/>
      <selection pane="bottomRight" activeCell="A36" sqref="A36:A37"/>
    </sheetView>
  </sheetViews>
  <sheetFormatPr defaultColWidth="9.109375" defaultRowHeight="13.2"/>
  <cols>
    <col min="1" max="1" width="3" style="2173" customWidth="1"/>
    <col min="2" max="2" width="27.6640625" style="2173" customWidth="1"/>
    <col min="3" max="3" width="3.88671875" style="2201" hidden="1" customWidth="1"/>
    <col min="4" max="4" width="6.33203125" style="2173" hidden="1" customWidth="1"/>
    <col min="5" max="5" width="8.33203125" style="2173" customWidth="1"/>
    <col min="6" max="6" width="8.44140625" style="2173" customWidth="1"/>
    <col min="7" max="7" width="8.6640625" style="2173" customWidth="1"/>
    <col min="8" max="8" width="7.44140625" style="2173" hidden="1" customWidth="1"/>
    <col min="9" max="9" width="6.44140625" style="2173" customWidth="1"/>
    <col min="10" max="10" width="6.33203125" style="2173" hidden="1" customWidth="1"/>
    <col min="11" max="11" width="8.5546875" style="2173" customWidth="1"/>
    <col min="12" max="12" width="7.88671875" style="2173" customWidth="1"/>
    <col min="13" max="13" width="6.6640625" style="2173" hidden="1" customWidth="1"/>
    <col min="14" max="14" width="6.5546875" style="2173" hidden="1" customWidth="1"/>
    <col min="15" max="15" width="7" style="2173" hidden="1" customWidth="1"/>
    <col min="16" max="16" width="8.5546875" style="2173" hidden="1" customWidth="1"/>
    <col min="17" max="17" width="6.5546875" style="2173" hidden="1" customWidth="1"/>
    <col min="18" max="18" width="7" style="2173" hidden="1" customWidth="1"/>
    <col min="19" max="19" width="9.109375" style="2215" hidden="1" customWidth="1"/>
    <col min="20" max="20" width="8.44140625" style="2215" hidden="1" customWidth="1"/>
    <col min="21" max="21" width="9.109375" style="2215" hidden="1" customWidth="1"/>
    <col min="22" max="22" width="12" style="2215" customWidth="1"/>
    <col min="23" max="26" width="10.5546875" style="2215" customWidth="1"/>
    <col min="27" max="16384" width="9.109375" style="2173"/>
  </cols>
  <sheetData>
    <row r="1" spans="1:26" ht="21" customHeight="1">
      <c r="A1" s="2364" t="s">
        <v>2408</v>
      </c>
      <c r="B1" s="2174"/>
      <c r="C1" s="2198"/>
      <c r="D1" s="2174"/>
      <c r="E1" s="1116"/>
      <c r="F1" s="2175"/>
      <c r="G1" s="2175"/>
      <c r="H1" s="2175"/>
      <c r="I1" s="2175"/>
      <c r="J1" s="2175"/>
      <c r="K1" s="2175"/>
      <c r="L1" s="2175"/>
      <c r="M1" s="2175"/>
      <c r="N1" s="2175"/>
      <c r="O1" s="2175"/>
      <c r="P1" s="2175"/>
      <c r="Q1" s="2175"/>
      <c r="R1" s="2175"/>
      <c r="S1" s="2209"/>
      <c r="T1" s="2209"/>
      <c r="U1" s="2209"/>
      <c r="V1" s="2209"/>
      <c r="W1" s="2209"/>
      <c r="X1" s="2209"/>
      <c r="Y1" s="2209"/>
      <c r="Z1" s="2209"/>
    </row>
    <row r="2" spans="1:26" s="2176" customFormat="1" ht="21" customHeight="1">
      <c r="A2" s="2364" t="s">
        <v>2409</v>
      </c>
      <c r="B2" s="2174"/>
      <c r="C2" s="2198"/>
      <c r="D2" s="2174"/>
      <c r="E2" s="2181"/>
      <c r="F2" s="2177"/>
      <c r="G2" s="2177"/>
      <c r="H2" s="2177"/>
      <c r="I2" s="2177"/>
      <c r="J2" s="2177"/>
      <c r="K2" s="2177"/>
      <c r="L2" s="2177"/>
      <c r="M2" s="2177"/>
      <c r="N2" s="2177"/>
      <c r="O2" s="2177"/>
      <c r="P2" s="2177"/>
      <c r="Q2" s="2177"/>
      <c r="R2" s="2177"/>
      <c r="S2" s="2210"/>
      <c r="T2" s="2210"/>
      <c r="U2" s="2210"/>
      <c r="V2" s="2210"/>
      <c r="W2" s="2210"/>
      <c r="X2" s="2210"/>
      <c r="Y2" s="2210"/>
      <c r="Z2" s="2210"/>
    </row>
    <row r="3" spans="1:26" ht="21" customHeight="1">
      <c r="A3" s="2205" t="s">
        <v>2407</v>
      </c>
      <c r="B3" s="1116"/>
      <c r="C3" s="2199"/>
      <c r="D3" s="2175"/>
      <c r="E3" s="2175"/>
      <c r="F3" s="2175"/>
      <c r="G3" s="2175"/>
      <c r="H3" s="2175"/>
      <c r="I3" s="2175"/>
      <c r="J3" s="2175"/>
      <c r="K3" s="2175"/>
      <c r="L3" s="2175"/>
      <c r="M3" s="2175"/>
      <c r="N3" s="2175"/>
      <c r="O3" s="2175"/>
      <c r="P3" s="2175"/>
      <c r="Q3" s="2175"/>
      <c r="R3" s="2175"/>
      <c r="S3" s="2209"/>
      <c r="T3" s="2209"/>
      <c r="U3" s="2209"/>
      <c r="V3" s="2209"/>
      <c r="W3" s="2209"/>
      <c r="X3" s="2209"/>
      <c r="Y3" s="2209"/>
      <c r="Z3" s="2209"/>
    </row>
    <row r="4" spans="1:26" ht="15.75" customHeight="1">
      <c r="A4" s="2175"/>
      <c r="B4" s="2178"/>
      <c r="C4" s="2199"/>
      <c r="D4" s="2175"/>
      <c r="E4" s="2175"/>
      <c r="F4" s="2175"/>
      <c r="G4" s="2175"/>
      <c r="H4" s="2175"/>
      <c r="I4" s="2175"/>
      <c r="J4" s="2175"/>
      <c r="K4" s="2175"/>
      <c r="L4" s="2175"/>
      <c r="M4" s="2175"/>
      <c r="N4" s="2175"/>
      <c r="O4" s="2175"/>
      <c r="P4" s="2175"/>
      <c r="Q4" s="2175"/>
      <c r="R4" s="2175"/>
      <c r="S4" s="2209"/>
      <c r="T4" s="2209"/>
      <c r="U4" s="2209"/>
      <c r="V4" s="2211"/>
      <c r="W4" s="2209"/>
      <c r="X4" s="2209"/>
      <c r="Y4" s="2209"/>
      <c r="Z4" s="2211"/>
    </row>
    <row r="5" spans="1:26" s="2179" customFormat="1" ht="16.5" customHeight="1">
      <c r="A5" s="4172" t="s">
        <v>1514</v>
      </c>
      <c r="B5" s="4172" t="s">
        <v>2259</v>
      </c>
      <c r="C5" s="4177" t="s">
        <v>2273</v>
      </c>
      <c r="D5" s="4177" t="s">
        <v>2260</v>
      </c>
      <c r="E5" s="4172" t="s">
        <v>2331</v>
      </c>
      <c r="F5" s="4182" t="s">
        <v>2399</v>
      </c>
      <c r="G5" s="4183"/>
      <c r="H5" s="4183"/>
      <c r="I5" s="4183"/>
      <c r="J5" s="4183"/>
      <c r="K5" s="4183"/>
      <c r="L5" s="4183"/>
      <c r="M5" s="4183"/>
      <c r="N5" s="4183"/>
      <c r="O5" s="4183"/>
      <c r="P5" s="4183"/>
      <c r="Q5" s="4183"/>
      <c r="R5" s="4184"/>
      <c r="S5" s="2212" t="s">
        <v>2321</v>
      </c>
      <c r="T5" s="2212"/>
      <c r="U5" s="2212"/>
      <c r="V5" s="4174" t="s">
        <v>2266</v>
      </c>
      <c r="W5" s="2212" t="s">
        <v>2335</v>
      </c>
      <c r="X5" s="2212"/>
      <c r="Y5" s="2212"/>
      <c r="Z5" s="2213"/>
    </row>
    <row r="6" spans="1:26" s="2179" customFormat="1" ht="16.5" customHeight="1">
      <c r="A6" s="4176"/>
      <c r="B6" s="4176"/>
      <c r="C6" s="4178"/>
      <c r="D6" s="4178"/>
      <c r="E6" s="4176"/>
      <c r="F6" s="4172" t="s">
        <v>2261</v>
      </c>
      <c r="G6" s="4172" t="s">
        <v>2263</v>
      </c>
      <c r="H6" s="2183" t="s">
        <v>2262</v>
      </c>
      <c r="I6" s="2183"/>
      <c r="J6" s="2183"/>
      <c r="K6" s="2183"/>
      <c r="L6" s="2183"/>
      <c r="M6" s="2183"/>
      <c r="N6" s="2183"/>
      <c r="O6" s="2183"/>
      <c r="P6" s="2183"/>
      <c r="Q6" s="2183"/>
      <c r="R6" s="2183"/>
      <c r="S6" s="4172" t="s">
        <v>2261</v>
      </c>
      <c r="T6" s="4174" t="s">
        <v>2322</v>
      </c>
      <c r="U6" s="4174" t="s">
        <v>2323</v>
      </c>
      <c r="V6" s="4187"/>
      <c r="W6" s="4172" t="s">
        <v>2261</v>
      </c>
      <c r="X6" s="4174" t="s">
        <v>2322</v>
      </c>
      <c r="Y6" s="4174" t="s">
        <v>2323</v>
      </c>
      <c r="Z6" s="4174" t="s">
        <v>2324</v>
      </c>
    </row>
    <row r="7" spans="1:26" s="2179" customFormat="1" ht="84" customHeight="1">
      <c r="A7" s="4176"/>
      <c r="B7" s="4176"/>
      <c r="C7" s="4179"/>
      <c r="D7" s="4179"/>
      <c r="E7" s="4176"/>
      <c r="F7" s="4173"/>
      <c r="G7" s="4173"/>
      <c r="H7" s="2182" t="s">
        <v>2264</v>
      </c>
      <c r="I7" s="2182" t="s">
        <v>2327</v>
      </c>
      <c r="J7" s="2182" t="s">
        <v>2332</v>
      </c>
      <c r="K7" s="2182" t="s">
        <v>2265</v>
      </c>
      <c r="L7" s="2182" t="s">
        <v>2267</v>
      </c>
      <c r="M7" s="2182" t="s">
        <v>2333</v>
      </c>
      <c r="N7" s="2182" t="s">
        <v>2328</v>
      </c>
      <c r="O7" s="2182" t="s">
        <v>2268</v>
      </c>
      <c r="P7" s="2182" t="s">
        <v>2269</v>
      </c>
      <c r="Q7" s="2206" t="s">
        <v>2270</v>
      </c>
      <c r="R7" s="2206" t="s">
        <v>2271</v>
      </c>
      <c r="S7" s="4173"/>
      <c r="T7" s="4175"/>
      <c r="U7" s="4175"/>
      <c r="V7" s="4188"/>
      <c r="W7" s="4173"/>
      <c r="X7" s="4175"/>
      <c r="Y7" s="4175"/>
      <c r="Z7" s="4175"/>
    </row>
    <row r="8" spans="1:26" s="2190" customFormat="1" ht="15.75" customHeight="1">
      <c r="A8" s="2185" t="s">
        <v>2272</v>
      </c>
      <c r="B8" s="2186"/>
      <c r="C8" s="2200"/>
      <c r="D8" s="2187"/>
      <c r="E8" s="2187"/>
      <c r="F8" s="2188"/>
      <c r="G8" s="2188"/>
      <c r="H8" s="2188"/>
      <c r="I8" s="2188"/>
      <c r="J8" s="2188"/>
      <c r="K8" s="2188"/>
      <c r="L8" s="2188"/>
      <c r="M8" s="2188"/>
      <c r="N8" s="2188"/>
      <c r="O8" s="2188"/>
      <c r="P8" s="2208"/>
      <c r="Q8" s="2208"/>
      <c r="R8" s="2208"/>
      <c r="S8" s="2208"/>
      <c r="T8" s="2208"/>
      <c r="U8" s="2208"/>
      <c r="V8" s="2208"/>
      <c r="W8" s="2208"/>
      <c r="X8" s="2208"/>
      <c r="Y8" s="2208"/>
      <c r="Z8" s="2208"/>
    </row>
    <row r="9" spans="1:26" s="2196" customFormat="1" ht="13.8">
      <c r="A9" s="2192">
        <v>1</v>
      </c>
      <c r="B9" s="2193" t="s">
        <v>2329</v>
      </c>
      <c r="C9" s="2194"/>
      <c r="D9" s="2194"/>
      <c r="E9" s="2194">
        <v>1</v>
      </c>
      <c r="F9" s="2202">
        <v>13721</v>
      </c>
      <c r="G9" s="2203">
        <f>15%*F9+466</f>
        <v>2524.15</v>
      </c>
      <c r="H9" s="2203"/>
      <c r="I9" s="2203">
        <v>1100</v>
      </c>
      <c r="J9" s="2203"/>
      <c r="K9" s="2203">
        <f>10%*F9</f>
        <v>1372.1000000000001</v>
      </c>
      <c r="L9" s="2203">
        <v>2006</v>
      </c>
      <c r="M9" s="2203"/>
      <c r="N9" s="2203"/>
      <c r="O9" s="2203"/>
      <c r="P9" s="2203"/>
      <c r="Q9" s="2203"/>
      <c r="R9" s="2203"/>
      <c r="S9" s="2214">
        <f>E9*F9</f>
        <v>13721</v>
      </c>
      <c r="T9" s="2214">
        <f>E9*G9</f>
        <v>2524.15</v>
      </c>
      <c r="U9" s="2214">
        <f>SUM(H9:R9)*E9</f>
        <v>4478.1000000000004</v>
      </c>
      <c r="V9" s="2214">
        <f t="shared" ref="V9:V31" si="0">SUM(F9:R9)*E9</f>
        <v>20723.25</v>
      </c>
      <c r="W9" s="2216">
        <f>S9/1000*12</f>
        <v>164.65199999999999</v>
      </c>
      <c r="X9" s="2216">
        <f t="shared" ref="X9:Y24" si="1">T9/1000*12</f>
        <v>30.2898</v>
      </c>
      <c r="Y9" s="2216">
        <f t="shared" si="1"/>
        <v>53.737200000000001</v>
      </c>
      <c r="Z9" s="2216">
        <f>SUM(W9:Y9)</f>
        <v>248.679</v>
      </c>
    </row>
    <row r="10" spans="1:26" s="2196" customFormat="1" ht="13.8">
      <c r="A10" s="2192">
        <f>A9+1</f>
        <v>2</v>
      </c>
      <c r="B10" s="2193" t="s">
        <v>2329</v>
      </c>
      <c r="C10" s="2194"/>
      <c r="D10" s="2194"/>
      <c r="E10" s="2194">
        <v>1</v>
      </c>
      <c r="F10" s="2202">
        <v>15062</v>
      </c>
      <c r="G10" s="2203">
        <f>15%*F10+495</f>
        <v>2754.2999999999997</v>
      </c>
      <c r="H10" s="2203"/>
      <c r="I10" s="2203">
        <v>1100</v>
      </c>
      <c r="J10" s="2203"/>
      <c r="K10" s="2203">
        <f>10%*F10</f>
        <v>1506.2</v>
      </c>
      <c r="L10" s="2203">
        <v>2202</v>
      </c>
      <c r="M10" s="2203"/>
      <c r="N10" s="2203"/>
      <c r="O10" s="2203"/>
      <c r="P10" s="2203"/>
      <c r="Q10" s="2203"/>
      <c r="R10" s="2203"/>
      <c r="S10" s="2214">
        <f t="shared" ref="S10:S31" si="2">E10*F10</f>
        <v>15062</v>
      </c>
      <c r="T10" s="2214">
        <f t="shared" ref="T10:T31" si="3">E10*G10</f>
        <v>2754.2999999999997</v>
      </c>
      <c r="U10" s="2214">
        <f t="shared" ref="U10:U31" si="4">SUM(H10:R10)*E10</f>
        <v>4808.2</v>
      </c>
      <c r="V10" s="2214">
        <f t="shared" si="0"/>
        <v>22624.5</v>
      </c>
      <c r="W10" s="2216">
        <f t="shared" ref="W10:Y31" si="5">S10/1000*12</f>
        <v>180.744</v>
      </c>
      <c r="X10" s="2216">
        <f t="shared" si="1"/>
        <v>33.051599999999993</v>
      </c>
      <c r="Y10" s="2216">
        <f t="shared" si="1"/>
        <v>57.698400000000007</v>
      </c>
      <c r="Z10" s="2216">
        <f t="shared" ref="Z10:Z31" si="6">SUM(W10:Y10)</f>
        <v>271.49399999999997</v>
      </c>
    </row>
    <row r="11" spans="1:26" s="2196" customFormat="1" ht="13.8">
      <c r="A11" s="2192">
        <f>A10+1</f>
        <v>3</v>
      </c>
      <c r="B11" s="2193" t="s">
        <v>2329</v>
      </c>
      <c r="C11" s="2194"/>
      <c r="D11" s="2194"/>
      <c r="E11" s="2194">
        <v>1</v>
      </c>
      <c r="F11" s="2202">
        <v>15062</v>
      </c>
      <c r="G11" s="2203">
        <f>15%*F11+495</f>
        <v>2754.2999999999997</v>
      </c>
      <c r="H11" s="2203"/>
      <c r="I11" s="2203">
        <v>1100</v>
      </c>
      <c r="J11" s="2203"/>
      <c r="K11" s="2203">
        <f>10%*F11</f>
        <v>1506.2</v>
      </c>
      <c r="L11" s="2203">
        <v>2202</v>
      </c>
      <c r="M11" s="2203"/>
      <c r="N11" s="2203"/>
      <c r="O11" s="2203"/>
      <c r="P11" s="2203"/>
      <c r="Q11" s="2203"/>
      <c r="R11" s="2203"/>
      <c r="S11" s="2214">
        <f t="shared" si="2"/>
        <v>15062</v>
      </c>
      <c r="T11" s="2214">
        <f t="shared" si="3"/>
        <v>2754.2999999999997</v>
      </c>
      <c r="U11" s="2214">
        <f t="shared" si="4"/>
        <v>4808.2</v>
      </c>
      <c r="V11" s="2214">
        <f t="shared" si="0"/>
        <v>22624.5</v>
      </c>
      <c r="W11" s="2216">
        <f t="shared" si="5"/>
        <v>180.744</v>
      </c>
      <c r="X11" s="2216">
        <f t="shared" si="1"/>
        <v>33.051599999999993</v>
      </c>
      <c r="Y11" s="2216">
        <f t="shared" si="1"/>
        <v>57.698400000000007</v>
      </c>
      <c r="Z11" s="2216">
        <f t="shared" si="6"/>
        <v>271.49399999999997</v>
      </c>
    </row>
    <row r="12" spans="1:26" s="2196" customFormat="1" ht="13.8">
      <c r="A12" s="2192">
        <f>A11+1</f>
        <v>4</v>
      </c>
      <c r="B12" s="2193" t="s">
        <v>2329</v>
      </c>
      <c r="C12" s="2194"/>
      <c r="D12" s="2194"/>
      <c r="E12" s="2194">
        <v>1</v>
      </c>
      <c r="F12" s="2202">
        <v>13721</v>
      </c>
      <c r="G12" s="2203">
        <f>15%*F12+466</f>
        <v>2524.15</v>
      </c>
      <c r="H12" s="2203"/>
      <c r="I12" s="2203">
        <v>1100</v>
      </c>
      <c r="J12" s="2203"/>
      <c r="K12" s="2203">
        <f>15%*F12</f>
        <v>2058.15</v>
      </c>
      <c r="L12" s="2203">
        <v>2006</v>
      </c>
      <c r="M12" s="2203"/>
      <c r="N12" s="2203"/>
      <c r="O12" s="2203"/>
      <c r="P12" s="2203"/>
      <c r="Q12" s="2203"/>
      <c r="R12" s="2203"/>
      <c r="S12" s="2214">
        <f t="shared" si="2"/>
        <v>13721</v>
      </c>
      <c r="T12" s="2214">
        <f t="shared" si="3"/>
        <v>2524.15</v>
      </c>
      <c r="U12" s="2214">
        <f t="shared" si="4"/>
        <v>5164.1499999999996</v>
      </c>
      <c r="V12" s="2214">
        <f t="shared" si="0"/>
        <v>21409.300000000003</v>
      </c>
      <c r="W12" s="2216">
        <f t="shared" si="5"/>
        <v>164.65199999999999</v>
      </c>
      <c r="X12" s="2216">
        <f t="shared" si="1"/>
        <v>30.2898</v>
      </c>
      <c r="Y12" s="2216">
        <f t="shared" si="1"/>
        <v>61.969799999999992</v>
      </c>
      <c r="Z12" s="2216">
        <f t="shared" si="6"/>
        <v>256.91160000000002</v>
      </c>
    </row>
    <row r="13" spans="1:26" s="2196" customFormat="1" ht="13.8">
      <c r="A13" s="2192">
        <f>A12+1</f>
        <v>5</v>
      </c>
      <c r="B13" s="2193" t="s">
        <v>2329</v>
      </c>
      <c r="C13" s="2194"/>
      <c r="D13" s="2194"/>
      <c r="E13" s="2194">
        <v>1</v>
      </c>
      <c r="F13" s="2202">
        <v>13721</v>
      </c>
      <c r="G13" s="2203">
        <f>15%*F13+466</f>
        <v>2524.15</v>
      </c>
      <c r="H13" s="2203"/>
      <c r="I13" s="2203">
        <v>1100</v>
      </c>
      <c r="J13" s="2203"/>
      <c r="K13" s="2203">
        <f>5%*F13</f>
        <v>686.05000000000007</v>
      </c>
      <c r="L13" s="2203">
        <v>2006</v>
      </c>
      <c r="M13" s="2203"/>
      <c r="N13" s="2203"/>
      <c r="O13" s="2203"/>
      <c r="P13" s="2203"/>
      <c r="Q13" s="2203"/>
      <c r="R13" s="2203"/>
      <c r="S13" s="2214">
        <f t="shared" si="2"/>
        <v>13721</v>
      </c>
      <c r="T13" s="2214">
        <f t="shared" si="3"/>
        <v>2524.15</v>
      </c>
      <c r="U13" s="2214">
        <f t="shared" si="4"/>
        <v>3792.05</v>
      </c>
      <c r="V13" s="2214">
        <f t="shared" si="0"/>
        <v>20037.2</v>
      </c>
      <c r="W13" s="2216">
        <f t="shared" si="5"/>
        <v>164.65199999999999</v>
      </c>
      <c r="X13" s="2216">
        <f t="shared" si="1"/>
        <v>30.2898</v>
      </c>
      <c r="Y13" s="2216">
        <f t="shared" si="1"/>
        <v>45.504600000000003</v>
      </c>
      <c r="Z13" s="2216">
        <f t="shared" si="6"/>
        <v>240.44640000000001</v>
      </c>
    </row>
    <row r="14" spans="1:26" s="2196" customFormat="1" ht="13.8">
      <c r="A14" s="2192">
        <f>A13+1</f>
        <v>6</v>
      </c>
      <c r="B14" s="2193" t="s">
        <v>2329</v>
      </c>
      <c r="C14" s="2194"/>
      <c r="D14" s="2194"/>
      <c r="E14" s="2194">
        <v>1</v>
      </c>
      <c r="F14" s="2202">
        <v>16609</v>
      </c>
      <c r="G14" s="2203">
        <f>15%*F14+529</f>
        <v>3020.35</v>
      </c>
      <c r="H14" s="2203"/>
      <c r="I14" s="2203">
        <v>1100</v>
      </c>
      <c r="J14" s="2203"/>
      <c r="K14" s="2203">
        <f>15%*F14</f>
        <v>2491.35</v>
      </c>
      <c r="L14" s="2203">
        <v>2428</v>
      </c>
      <c r="M14" s="2203"/>
      <c r="N14" s="2203"/>
      <c r="O14" s="2203"/>
      <c r="P14" s="2203"/>
      <c r="Q14" s="2203"/>
      <c r="R14" s="2203"/>
      <c r="S14" s="2214">
        <f t="shared" si="2"/>
        <v>16609</v>
      </c>
      <c r="T14" s="2214">
        <f t="shared" si="3"/>
        <v>3020.35</v>
      </c>
      <c r="U14" s="2214">
        <f t="shared" si="4"/>
        <v>6019.35</v>
      </c>
      <c r="V14" s="2214">
        <f t="shared" si="0"/>
        <v>25648.699999999997</v>
      </c>
      <c r="W14" s="2216">
        <f t="shared" si="5"/>
        <v>199.30800000000002</v>
      </c>
      <c r="X14" s="2216">
        <f t="shared" si="1"/>
        <v>36.244199999999999</v>
      </c>
      <c r="Y14" s="2216">
        <f t="shared" si="1"/>
        <v>72.232200000000006</v>
      </c>
      <c r="Z14" s="2216">
        <f t="shared" si="6"/>
        <v>307.78440000000001</v>
      </c>
    </row>
    <row r="15" spans="1:26" s="2196" customFormat="1" ht="13.8">
      <c r="A15" s="2192">
        <v>7</v>
      </c>
      <c r="B15" s="2193" t="s">
        <v>2400</v>
      </c>
      <c r="C15" s="2194"/>
      <c r="D15" s="2194"/>
      <c r="E15" s="2194">
        <v>1</v>
      </c>
      <c r="F15" s="2202">
        <v>15200</v>
      </c>
      <c r="G15" s="2203">
        <f>20%*F15+438</f>
        <v>3478</v>
      </c>
      <c r="H15" s="2203"/>
      <c r="I15" s="2203"/>
      <c r="J15" s="2203"/>
      <c r="K15" s="2203">
        <f>15%*F15</f>
        <v>2280</v>
      </c>
      <c r="L15" s="2203">
        <v>2190</v>
      </c>
      <c r="M15" s="2203"/>
      <c r="N15" s="2203"/>
      <c r="O15" s="2203"/>
      <c r="P15" s="2203"/>
      <c r="Q15" s="2203"/>
      <c r="R15" s="2203"/>
      <c r="S15" s="2214">
        <f t="shared" si="2"/>
        <v>15200</v>
      </c>
      <c r="T15" s="2214">
        <f t="shared" si="3"/>
        <v>3478</v>
      </c>
      <c r="U15" s="2214">
        <f t="shared" si="4"/>
        <v>4470</v>
      </c>
      <c r="V15" s="2214">
        <f t="shared" si="0"/>
        <v>23148</v>
      </c>
      <c r="W15" s="2216">
        <f t="shared" si="5"/>
        <v>182.39999999999998</v>
      </c>
      <c r="X15" s="2216">
        <f t="shared" si="1"/>
        <v>41.736000000000004</v>
      </c>
      <c r="Y15" s="2216">
        <f t="shared" si="1"/>
        <v>53.64</v>
      </c>
      <c r="Z15" s="2216">
        <f t="shared" si="6"/>
        <v>277.77599999999995</v>
      </c>
    </row>
    <row r="16" spans="1:26" s="2196" customFormat="1" ht="13.8" hidden="1">
      <c r="A16" s="2192"/>
      <c r="B16" s="2193"/>
      <c r="C16" s="2194"/>
      <c r="D16" s="2194"/>
      <c r="E16" s="2194"/>
      <c r="F16" s="2202"/>
      <c r="G16" s="2203">
        <f t="shared" ref="G16:G31" si="7">15%*F16</f>
        <v>0</v>
      </c>
      <c r="H16" s="2203"/>
      <c r="I16" s="2203"/>
      <c r="J16" s="2203"/>
      <c r="K16" s="2203"/>
      <c r="L16" s="2203"/>
      <c r="M16" s="2203"/>
      <c r="N16" s="2203"/>
      <c r="O16" s="2203"/>
      <c r="P16" s="2203"/>
      <c r="Q16" s="2203"/>
      <c r="R16" s="2203"/>
      <c r="S16" s="2214">
        <f t="shared" si="2"/>
        <v>0</v>
      </c>
      <c r="T16" s="2214">
        <f t="shared" si="3"/>
        <v>0</v>
      </c>
      <c r="U16" s="2214">
        <f t="shared" si="4"/>
        <v>0</v>
      </c>
      <c r="V16" s="2214">
        <f t="shared" si="0"/>
        <v>0</v>
      </c>
      <c r="W16" s="2216">
        <f t="shared" si="5"/>
        <v>0</v>
      </c>
      <c r="X16" s="2216">
        <f t="shared" si="1"/>
        <v>0</v>
      </c>
      <c r="Y16" s="2216">
        <f t="shared" si="1"/>
        <v>0</v>
      </c>
      <c r="Z16" s="2216">
        <f t="shared" si="6"/>
        <v>0</v>
      </c>
    </row>
    <row r="17" spans="1:29" s="2196" customFormat="1" ht="13.8" hidden="1">
      <c r="A17" s="2192"/>
      <c r="B17" s="2193"/>
      <c r="C17" s="2194"/>
      <c r="D17" s="2194"/>
      <c r="E17" s="2194"/>
      <c r="F17" s="2202"/>
      <c r="G17" s="2203">
        <f t="shared" si="7"/>
        <v>0</v>
      </c>
      <c r="H17" s="2203"/>
      <c r="I17" s="2203"/>
      <c r="J17" s="2203"/>
      <c r="K17" s="2203"/>
      <c r="L17" s="2203"/>
      <c r="M17" s="2203"/>
      <c r="N17" s="2203"/>
      <c r="O17" s="2203"/>
      <c r="P17" s="2203"/>
      <c r="Q17" s="2203"/>
      <c r="R17" s="2203"/>
      <c r="S17" s="2214">
        <f t="shared" si="2"/>
        <v>0</v>
      </c>
      <c r="T17" s="2214">
        <f t="shared" si="3"/>
        <v>0</v>
      </c>
      <c r="U17" s="2214">
        <f t="shared" si="4"/>
        <v>0</v>
      </c>
      <c r="V17" s="2214">
        <f t="shared" si="0"/>
        <v>0</v>
      </c>
      <c r="W17" s="2216">
        <f t="shared" si="5"/>
        <v>0</v>
      </c>
      <c r="X17" s="2216">
        <f t="shared" si="1"/>
        <v>0</v>
      </c>
      <c r="Y17" s="2216">
        <f t="shared" si="1"/>
        <v>0</v>
      </c>
      <c r="Z17" s="2216">
        <f t="shared" si="6"/>
        <v>0</v>
      </c>
    </row>
    <row r="18" spans="1:29" s="2196" customFormat="1" ht="13.8" hidden="1">
      <c r="A18" s="2192"/>
      <c r="B18" s="2193"/>
      <c r="C18" s="2194"/>
      <c r="D18" s="2194"/>
      <c r="E18" s="2194"/>
      <c r="F18" s="2202"/>
      <c r="G18" s="2203">
        <f t="shared" si="7"/>
        <v>0</v>
      </c>
      <c r="H18" s="2203"/>
      <c r="I18" s="2203"/>
      <c r="J18" s="2203"/>
      <c r="K18" s="2203"/>
      <c r="L18" s="2203"/>
      <c r="M18" s="2203"/>
      <c r="N18" s="2203"/>
      <c r="O18" s="2203"/>
      <c r="P18" s="2203"/>
      <c r="Q18" s="2203"/>
      <c r="R18" s="2203"/>
      <c r="S18" s="2214">
        <f t="shared" si="2"/>
        <v>0</v>
      </c>
      <c r="T18" s="2214">
        <f t="shared" si="3"/>
        <v>0</v>
      </c>
      <c r="U18" s="2214">
        <f t="shared" si="4"/>
        <v>0</v>
      </c>
      <c r="V18" s="2214">
        <f t="shared" si="0"/>
        <v>0</v>
      </c>
      <c r="W18" s="2216">
        <f t="shared" si="5"/>
        <v>0</v>
      </c>
      <c r="X18" s="2216">
        <f t="shared" si="1"/>
        <v>0</v>
      </c>
      <c r="Y18" s="2216">
        <f t="shared" si="1"/>
        <v>0</v>
      </c>
      <c r="Z18" s="2216">
        <f t="shared" si="6"/>
        <v>0</v>
      </c>
    </row>
    <row r="19" spans="1:29" s="2196" customFormat="1" ht="13.8" hidden="1">
      <c r="A19" s="2192"/>
      <c r="B19" s="2193"/>
      <c r="C19" s="2194"/>
      <c r="D19" s="2194"/>
      <c r="E19" s="2194"/>
      <c r="F19" s="2202"/>
      <c r="G19" s="2203">
        <f t="shared" si="7"/>
        <v>0</v>
      </c>
      <c r="H19" s="2203"/>
      <c r="I19" s="2203"/>
      <c r="J19" s="2203"/>
      <c r="K19" s="2203"/>
      <c r="L19" s="2203"/>
      <c r="M19" s="2203"/>
      <c r="N19" s="2203"/>
      <c r="O19" s="2203"/>
      <c r="P19" s="2203"/>
      <c r="Q19" s="2203"/>
      <c r="R19" s="2203"/>
      <c r="S19" s="2214">
        <f t="shared" si="2"/>
        <v>0</v>
      </c>
      <c r="T19" s="2214">
        <f t="shared" si="3"/>
        <v>0</v>
      </c>
      <c r="U19" s="2214">
        <f t="shared" si="4"/>
        <v>0</v>
      </c>
      <c r="V19" s="2214">
        <f t="shared" si="0"/>
        <v>0</v>
      </c>
      <c r="W19" s="2216">
        <f t="shared" si="5"/>
        <v>0</v>
      </c>
      <c r="X19" s="2216">
        <f t="shared" si="1"/>
        <v>0</v>
      </c>
      <c r="Y19" s="2216">
        <f t="shared" si="1"/>
        <v>0</v>
      </c>
      <c r="Z19" s="2216">
        <f t="shared" si="6"/>
        <v>0</v>
      </c>
    </row>
    <row r="20" spans="1:29" s="2196" customFormat="1" ht="13.8" hidden="1">
      <c r="A20" s="2192"/>
      <c r="B20" s="2193"/>
      <c r="C20" s="2194"/>
      <c r="D20" s="2194"/>
      <c r="E20" s="2194"/>
      <c r="F20" s="2202"/>
      <c r="G20" s="2203">
        <f t="shared" si="7"/>
        <v>0</v>
      </c>
      <c r="H20" s="2203"/>
      <c r="I20" s="2203"/>
      <c r="J20" s="2203"/>
      <c r="K20" s="2203"/>
      <c r="L20" s="2203"/>
      <c r="M20" s="2203"/>
      <c r="N20" s="2203"/>
      <c r="O20" s="2203"/>
      <c r="P20" s="2203"/>
      <c r="Q20" s="2203"/>
      <c r="R20" s="2203"/>
      <c r="S20" s="2214">
        <f t="shared" si="2"/>
        <v>0</v>
      </c>
      <c r="T20" s="2214">
        <f t="shared" si="3"/>
        <v>0</v>
      </c>
      <c r="U20" s="2214">
        <f t="shared" si="4"/>
        <v>0</v>
      </c>
      <c r="V20" s="2214">
        <f t="shared" si="0"/>
        <v>0</v>
      </c>
      <c r="W20" s="2216">
        <f t="shared" si="5"/>
        <v>0</v>
      </c>
      <c r="X20" s="2216">
        <f t="shared" si="1"/>
        <v>0</v>
      </c>
      <c r="Y20" s="2216">
        <f t="shared" si="1"/>
        <v>0</v>
      </c>
      <c r="Z20" s="2216">
        <f t="shared" si="6"/>
        <v>0</v>
      </c>
    </row>
    <row r="21" spans="1:29" s="2196" customFormat="1" ht="13.8" hidden="1">
      <c r="A21" s="2192"/>
      <c r="B21" s="2193"/>
      <c r="C21" s="2194"/>
      <c r="D21" s="2194"/>
      <c r="E21" s="2194"/>
      <c r="F21" s="2202"/>
      <c r="G21" s="2203">
        <f t="shared" si="7"/>
        <v>0</v>
      </c>
      <c r="H21" s="2203"/>
      <c r="I21" s="2203"/>
      <c r="J21" s="2203"/>
      <c r="K21" s="2203"/>
      <c r="L21" s="2203"/>
      <c r="M21" s="2203"/>
      <c r="N21" s="2203"/>
      <c r="O21" s="2203"/>
      <c r="P21" s="2203"/>
      <c r="Q21" s="2203"/>
      <c r="R21" s="2203"/>
      <c r="S21" s="2214">
        <f t="shared" si="2"/>
        <v>0</v>
      </c>
      <c r="T21" s="2214">
        <f t="shared" si="3"/>
        <v>0</v>
      </c>
      <c r="U21" s="2214">
        <f t="shared" si="4"/>
        <v>0</v>
      </c>
      <c r="V21" s="2214">
        <f t="shared" si="0"/>
        <v>0</v>
      </c>
      <c r="W21" s="2216">
        <f t="shared" si="5"/>
        <v>0</v>
      </c>
      <c r="X21" s="2216">
        <f t="shared" si="1"/>
        <v>0</v>
      </c>
      <c r="Y21" s="2216">
        <f t="shared" si="1"/>
        <v>0</v>
      </c>
      <c r="Z21" s="2216">
        <f t="shared" si="6"/>
        <v>0</v>
      </c>
    </row>
    <row r="22" spans="1:29" s="2196" customFormat="1" ht="13.8" hidden="1">
      <c r="A22" s="2192"/>
      <c r="B22" s="2193"/>
      <c r="C22" s="2194"/>
      <c r="D22" s="2194"/>
      <c r="E22" s="2194"/>
      <c r="F22" s="2202"/>
      <c r="G22" s="2203">
        <f t="shared" si="7"/>
        <v>0</v>
      </c>
      <c r="H22" s="2203"/>
      <c r="I22" s="2203"/>
      <c r="J22" s="2203"/>
      <c r="K22" s="2203"/>
      <c r="L22" s="2203"/>
      <c r="M22" s="2203"/>
      <c r="N22" s="2203"/>
      <c r="O22" s="2203"/>
      <c r="P22" s="2203"/>
      <c r="Q22" s="2203"/>
      <c r="R22" s="2203"/>
      <c r="S22" s="2214">
        <f t="shared" si="2"/>
        <v>0</v>
      </c>
      <c r="T22" s="2214">
        <f t="shared" si="3"/>
        <v>0</v>
      </c>
      <c r="U22" s="2214">
        <f t="shared" si="4"/>
        <v>0</v>
      </c>
      <c r="V22" s="2214">
        <f t="shared" si="0"/>
        <v>0</v>
      </c>
      <c r="W22" s="2216">
        <f t="shared" si="5"/>
        <v>0</v>
      </c>
      <c r="X22" s="2216">
        <f t="shared" si="1"/>
        <v>0</v>
      </c>
      <c r="Y22" s="2216">
        <f t="shared" si="1"/>
        <v>0</v>
      </c>
      <c r="Z22" s="2216">
        <f t="shared" si="6"/>
        <v>0</v>
      </c>
    </row>
    <row r="23" spans="1:29" s="2196" customFormat="1" ht="13.8" hidden="1">
      <c r="A23" s="2192"/>
      <c r="B23" s="2193"/>
      <c r="C23" s="2194"/>
      <c r="D23" s="2194"/>
      <c r="E23" s="2194"/>
      <c r="F23" s="2202"/>
      <c r="G23" s="2203">
        <f t="shared" si="7"/>
        <v>0</v>
      </c>
      <c r="H23" s="2203"/>
      <c r="I23" s="2203"/>
      <c r="J23" s="2203"/>
      <c r="K23" s="2203"/>
      <c r="L23" s="2203"/>
      <c r="M23" s="2203"/>
      <c r="N23" s="2203"/>
      <c r="O23" s="2203"/>
      <c r="P23" s="2203"/>
      <c r="Q23" s="2203"/>
      <c r="R23" s="2203"/>
      <c r="S23" s="2214">
        <f t="shared" si="2"/>
        <v>0</v>
      </c>
      <c r="T23" s="2214">
        <f t="shared" si="3"/>
        <v>0</v>
      </c>
      <c r="U23" s="2214">
        <f t="shared" si="4"/>
        <v>0</v>
      </c>
      <c r="V23" s="2214">
        <f t="shared" si="0"/>
        <v>0</v>
      </c>
      <c r="W23" s="2216">
        <f t="shared" si="5"/>
        <v>0</v>
      </c>
      <c r="X23" s="2216">
        <f t="shared" si="1"/>
        <v>0</v>
      </c>
      <c r="Y23" s="2216">
        <f t="shared" si="1"/>
        <v>0</v>
      </c>
      <c r="Z23" s="2216">
        <f t="shared" si="6"/>
        <v>0</v>
      </c>
    </row>
    <row r="24" spans="1:29" s="2196" customFormat="1" ht="13.8" hidden="1">
      <c r="A24" s="2192"/>
      <c r="B24" s="2193"/>
      <c r="C24" s="2194"/>
      <c r="D24" s="2194"/>
      <c r="E24" s="2194"/>
      <c r="F24" s="2202"/>
      <c r="G24" s="2203">
        <f t="shared" si="7"/>
        <v>0</v>
      </c>
      <c r="H24" s="2203"/>
      <c r="I24" s="2203"/>
      <c r="J24" s="2203"/>
      <c r="K24" s="2203"/>
      <c r="L24" s="2203"/>
      <c r="M24" s="2203"/>
      <c r="N24" s="2203"/>
      <c r="O24" s="2203"/>
      <c r="P24" s="2203"/>
      <c r="Q24" s="2203"/>
      <c r="R24" s="2203"/>
      <c r="S24" s="2214">
        <f t="shared" si="2"/>
        <v>0</v>
      </c>
      <c r="T24" s="2214">
        <f t="shared" si="3"/>
        <v>0</v>
      </c>
      <c r="U24" s="2214">
        <f t="shared" si="4"/>
        <v>0</v>
      </c>
      <c r="V24" s="2214">
        <f t="shared" si="0"/>
        <v>0</v>
      </c>
      <c r="W24" s="2216">
        <f t="shared" si="5"/>
        <v>0</v>
      </c>
      <c r="X24" s="2216">
        <f t="shared" si="1"/>
        <v>0</v>
      </c>
      <c r="Y24" s="2216">
        <f t="shared" si="1"/>
        <v>0</v>
      </c>
      <c r="Z24" s="2216">
        <f t="shared" si="6"/>
        <v>0</v>
      </c>
    </row>
    <row r="25" spans="1:29" s="2196" customFormat="1" ht="13.8" hidden="1">
      <c r="A25" s="2192"/>
      <c r="B25" s="2193"/>
      <c r="C25" s="2194"/>
      <c r="D25" s="2194"/>
      <c r="E25" s="2194"/>
      <c r="F25" s="2202"/>
      <c r="G25" s="2203">
        <f t="shared" si="7"/>
        <v>0</v>
      </c>
      <c r="H25" s="2203"/>
      <c r="I25" s="2203"/>
      <c r="J25" s="2203"/>
      <c r="K25" s="2203"/>
      <c r="L25" s="2203"/>
      <c r="M25" s="2203"/>
      <c r="N25" s="2203"/>
      <c r="O25" s="2203"/>
      <c r="P25" s="2203"/>
      <c r="Q25" s="2203"/>
      <c r="R25" s="2203"/>
      <c r="S25" s="2214">
        <f t="shared" si="2"/>
        <v>0</v>
      </c>
      <c r="T25" s="2214">
        <f t="shared" si="3"/>
        <v>0</v>
      </c>
      <c r="U25" s="2214">
        <f t="shared" si="4"/>
        <v>0</v>
      </c>
      <c r="V25" s="2214">
        <f t="shared" si="0"/>
        <v>0</v>
      </c>
      <c r="W25" s="2216">
        <f t="shared" si="5"/>
        <v>0</v>
      </c>
      <c r="X25" s="2216">
        <f t="shared" si="5"/>
        <v>0</v>
      </c>
      <c r="Y25" s="2216">
        <f t="shared" si="5"/>
        <v>0</v>
      </c>
      <c r="Z25" s="2216">
        <f t="shared" si="6"/>
        <v>0</v>
      </c>
    </row>
    <row r="26" spans="1:29" s="2196" customFormat="1" ht="13.8" hidden="1">
      <c r="A26" s="2192"/>
      <c r="B26" s="2193"/>
      <c r="C26" s="2194"/>
      <c r="D26" s="2194"/>
      <c r="E26" s="2194"/>
      <c r="F26" s="2202"/>
      <c r="G26" s="2203">
        <f t="shared" si="7"/>
        <v>0</v>
      </c>
      <c r="H26" s="2203"/>
      <c r="I26" s="2203"/>
      <c r="J26" s="2203"/>
      <c r="K26" s="2203"/>
      <c r="L26" s="2203"/>
      <c r="M26" s="2203"/>
      <c r="N26" s="2203"/>
      <c r="O26" s="2203"/>
      <c r="P26" s="2203"/>
      <c r="Q26" s="2203"/>
      <c r="R26" s="2203"/>
      <c r="S26" s="2214">
        <f t="shared" si="2"/>
        <v>0</v>
      </c>
      <c r="T26" s="2214">
        <f t="shared" si="3"/>
        <v>0</v>
      </c>
      <c r="U26" s="2214">
        <f t="shared" si="4"/>
        <v>0</v>
      </c>
      <c r="V26" s="2214">
        <f t="shared" si="0"/>
        <v>0</v>
      </c>
      <c r="W26" s="2216">
        <f t="shared" si="5"/>
        <v>0</v>
      </c>
      <c r="X26" s="2216">
        <f t="shared" si="5"/>
        <v>0</v>
      </c>
      <c r="Y26" s="2216">
        <f t="shared" si="5"/>
        <v>0</v>
      </c>
      <c r="Z26" s="2216">
        <f t="shared" si="6"/>
        <v>0</v>
      </c>
    </row>
    <row r="27" spans="1:29" s="2196" customFormat="1" ht="13.8" hidden="1">
      <c r="A27" s="2192"/>
      <c r="B27" s="2193"/>
      <c r="C27" s="2194"/>
      <c r="D27" s="2194"/>
      <c r="E27" s="2194"/>
      <c r="F27" s="2202"/>
      <c r="G27" s="2203">
        <f t="shared" si="7"/>
        <v>0</v>
      </c>
      <c r="H27" s="2203"/>
      <c r="I27" s="2203"/>
      <c r="J27" s="2203"/>
      <c r="K27" s="2203"/>
      <c r="L27" s="2203"/>
      <c r="M27" s="2203"/>
      <c r="N27" s="2203"/>
      <c r="O27" s="2203"/>
      <c r="P27" s="2203"/>
      <c r="Q27" s="2203"/>
      <c r="R27" s="2203"/>
      <c r="S27" s="2214">
        <f t="shared" si="2"/>
        <v>0</v>
      </c>
      <c r="T27" s="2214">
        <f t="shared" si="3"/>
        <v>0</v>
      </c>
      <c r="U27" s="2214">
        <f t="shared" si="4"/>
        <v>0</v>
      </c>
      <c r="V27" s="2214">
        <f t="shared" si="0"/>
        <v>0</v>
      </c>
      <c r="W27" s="2216">
        <f t="shared" si="5"/>
        <v>0</v>
      </c>
      <c r="X27" s="2216">
        <f t="shared" si="5"/>
        <v>0</v>
      </c>
      <c r="Y27" s="2216">
        <f t="shared" si="5"/>
        <v>0</v>
      </c>
      <c r="Z27" s="2216">
        <f t="shared" si="6"/>
        <v>0</v>
      </c>
    </row>
    <row r="28" spans="1:29" s="2196" customFormat="1" ht="13.8" hidden="1">
      <c r="A28" s="2192"/>
      <c r="B28" s="2193"/>
      <c r="C28" s="2194"/>
      <c r="D28" s="2194"/>
      <c r="E28" s="2194"/>
      <c r="F28" s="2202"/>
      <c r="G28" s="2203">
        <f t="shared" si="7"/>
        <v>0</v>
      </c>
      <c r="H28" s="2203"/>
      <c r="I28" s="2203"/>
      <c r="J28" s="2203"/>
      <c r="K28" s="2203"/>
      <c r="L28" s="2203"/>
      <c r="M28" s="2203"/>
      <c r="N28" s="2203"/>
      <c r="O28" s="2203"/>
      <c r="P28" s="2203"/>
      <c r="Q28" s="2203"/>
      <c r="R28" s="2203"/>
      <c r="S28" s="2214">
        <f t="shared" si="2"/>
        <v>0</v>
      </c>
      <c r="T28" s="2214">
        <f t="shared" si="3"/>
        <v>0</v>
      </c>
      <c r="U28" s="2214">
        <f t="shared" si="4"/>
        <v>0</v>
      </c>
      <c r="V28" s="2214">
        <f t="shared" si="0"/>
        <v>0</v>
      </c>
      <c r="W28" s="2216">
        <f t="shared" si="5"/>
        <v>0</v>
      </c>
      <c r="X28" s="2216">
        <f t="shared" si="5"/>
        <v>0</v>
      </c>
      <c r="Y28" s="2216">
        <f t="shared" si="5"/>
        <v>0</v>
      </c>
      <c r="Z28" s="2216">
        <f t="shared" si="6"/>
        <v>0</v>
      </c>
    </row>
    <row r="29" spans="1:29" s="2196" customFormat="1" ht="13.8" hidden="1">
      <c r="A29" s="2192"/>
      <c r="B29" s="2193"/>
      <c r="C29" s="2194"/>
      <c r="D29" s="2194"/>
      <c r="E29" s="2194"/>
      <c r="F29" s="2202"/>
      <c r="G29" s="2203">
        <f t="shared" si="7"/>
        <v>0</v>
      </c>
      <c r="H29" s="2203"/>
      <c r="I29" s="2203"/>
      <c r="J29" s="2203"/>
      <c r="K29" s="2203"/>
      <c r="L29" s="2203"/>
      <c r="M29" s="2203"/>
      <c r="N29" s="2203"/>
      <c r="O29" s="2203"/>
      <c r="P29" s="2203"/>
      <c r="Q29" s="2203"/>
      <c r="R29" s="2203"/>
      <c r="S29" s="2214">
        <f t="shared" si="2"/>
        <v>0</v>
      </c>
      <c r="T29" s="2214">
        <f t="shared" si="3"/>
        <v>0</v>
      </c>
      <c r="U29" s="2214">
        <f t="shared" si="4"/>
        <v>0</v>
      </c>
      <c r="V29" s="2214">
        <f t="shared" si="0"/>
        <v>0</v>
      </c>
      <c r="W29" s="2216">
        <f t="shared" si="5"/>
        <v>0</v>
      </c>
      <c r="X29" s="2216">
        <f t="shared" si="5"/>
        <v>0</v>
      </c>
      <c r="Y29" s="2216">
        <f t="shared" si="5"/>
        <v>0</v>
      </c>
      <c r="Z29" s="2216">
        <f t="shared" si="6"/>
        <v>0</v>
      </c>
    </row>
    <row r="30" spans="1:29" s="2196" customFormat="1" ht="13.8" hidden="1">
      <c r="A30" s="2192"/>
      <c r="B30" s="2193"/>
      <c r="C30" s="2194"/>
      <c r="D30" s="2194"/>
      <c r="E30" s="2194"/>
      <c r="F30" s="2202"/>
      <c r="G30" s="2203">
        <f t="shared" si="7"/>
        <v>0</v>
      </c>
      <c r="H30" s="2203"/>
      <c r="I30" s="2203"/>
      <c r="J30" s="2203"/>
      <c r="K30" s="2203"/>
      <c r="L30" s="2203"/>
      <c r="M30" s="2203"/>
      <c r="N30" s="2203"/>
      <c r="O30" s="2203"/>
      <c r="P30" s="2203"/>
      <c r="Q30" s="2203"/>
      <c r="R30" s="2203"/>
      <c r="S30" s="2214">
        <f t="shared" si="2"/>
        <v>0</v>
      </c>
      <c r="T30" s="2214">
        <f t="shared" si="3"/>
        <v>0</v>
      </c>
      <c r="U30" s="2214">
        <f t="shared" si="4"/>
        <v>0</v>
      </c>
      <c r="V30" s="2214">
        <f t="shared" si="0"/>
        <v>0</v>
      </c>
      <c r="W30" s="2216">
        <f t="shared" si="5"/>
        <v>0</v>
      </c>
      <c r="X30" s="2216">
        <f t="shared" si="5"/>
        <v>0</v>
      </c>
      <c r="Y30" s="2216">
        <f t="shared" si="5"/>
        <v>0</v>
      </c>
      <c r="Z30" s="2216">
        <f t="shared" si="6"/>
        <v>0</v>
      </c>
    </row>
    <row r="31" spans="1:29" s="2196" customFormat="1" ht="13.8" hidden="1">
      <c r="A31" s="2192"/>
      <c r="B31" s="2193"/>
      <c r="C31" s="2194"/>
      <c r="D31" s="2194"/>
      <c r="E31" s="2194"/>
      <c r="F31" s="2202"/>
      <c r="G31" s="2203">
        <f t="shared" si="7"/>
        <v>0</v>
      </c>
      <c r="H31" s="2203"/>
      <c r="I31" s="2203"/>
      <c r="J31" s="2203"/>
      <c r="K31" s="2203"/>
      <c r="L31" s="2203"/>
      <c r="M31" s="2203"/>
      <c r="N31" s="2203"/>
      <c r="O31" s="2203"/>
      <c r="P31" s="2203"/>
      <c r="Q31" s="2203"/>
      <c r="R31" s="2203"/>
      <c r="S31" s="2214">
        <f t="shared" si="2"/>
        <v>0</v>
      </c>
      <c r="T31" s="2214">
        <f t="shared" si="3"/>
        <v>0</v>
      </c>
      <c r="U31" s="2214">
        <f t="shared" si="4"/>
        <v>0</v>
      </c>
      <c r="V31" s="2214">
        <f t="shared" si="0"/>
        <v>0</v>
      </c>
      <c r="W31" s="2216">
        <f t="shared" si="5"/>
        <v>0</v>
      </c>
      <c r="X31" s="2216">
        <f t="shared" si="5"/>
        <v>0</v>
      </c>
      <c r="Y31" s="2216">
        <f t="shared" si="5"/>
        <v>0</v>
      </c>
      <c r="Z31" s="2216">
        <f t="shared" si="6"/>
        <v>0</v>
      </c>
    </row>
    <row r="32" spans="1:29" s="2370" customFormat="1" ht="21" customHeight="1">
      <c r="A32" s="2365"/>
      <c r="B32" s="2365" t="s">
        <v>2325</v>
      </c>
      <c r="C32" s="2365"/>
      <c r="D32" s="2365"/>
      <c r="E32" s="2365">
        <f>SUM(E9:E31)</f>
        <v>7</v>
      </c>
      <c r="F32" s="2366">
        <f>SUM(F9:F31)</f>
        <v>103096</v>
      </c>
      <c r="G32" s="2366">
        <f t="shared" ref="G32:L32" si="8">SUM(G9:G31)</f>
        <v>19579.400000000001</v>
      </c>
      <c r="H32" s="2366">
        <f t="shared" si="8"/>
        <v>0</v>
      </c>
      <c r="I32" s="2366">
        <f t="shared" si="8"/>
        <v>6600</v>
      </c>
      <c r="J32" s="2366">
        <f t="shared" si="8"/>
        <v>0</v>
      </c>
      <c r="K32" s="2366">
        <f t="shared" si="8"/>
        <v>11900.05</v>
      </c>
      <c r="L32" s="2366">
        <f t="shared" si="8"/>
        <v>15040</v>
      </c>
      <c r="M32" s="2366"/>
      <c r="N32" s="2366"/>
      <c r="O32" s="2366"/>
      <c r="P32" s="2366"/>
      <c r="Q32" s="2366"/>
      <c r="R32" s="2366"/>
      <c r="S32" s="2367">
        <f t="shared" ref="S32:Z32" si="9">SUM(S9:S31)</f>
        <v>103096</v>
      </c>
      <c r="T32" s="2367">
        <f t="shared" si="9"/>
        <v>19579.400000000001</v>
      </c>
      <c r="U32" s="2367">
        <f t="shared" si="9"/>
        <v>33540.050000000003</v>
      </c>
      <c r="V32" s="2367">
        <f t="shared" si="9"/>
        <v>156215.45000000001</v>
      </c>
      <c r="W32" s="2368">
        <f t="shared" si="9"/>
        <v>1237.152</v>
      </c>
      <c r="X32" s="2368">
        <f t="shared" si="9"/>
        <v>234.95280000000002</v>
      </c>
      <c r="Y32" s="2368">
        <f t="shared" si="9"/>
        <v>402.48059999999998</v>
      </c>
      <c r="Z32" s="2368">
        <f t="shared" si="9"/>
        <v>1874.5853999999999</v>
      </c>
      <c r="AA32" s="2363">
        <f>SUM(F32:R32)</f>
        <v>156215.44999999998</v>
      </c>
      <c r="AB32" s="2392">
        <f>V32*12/1000</f>
        <v>1874.5854000000002</v>
      </c>
      <c r="AC32" s="2369"/>
    </row>
    <row r="33" spans="1:26" s="2196" customFormat="1" ht="27.6">
      <c r="A33" s="2192"/>
      <c r="B33" s="2193" t="s">
        <v>1415</v>
      </c>
      <c r="C33" s="2194"/>
      <c r="D33" s="2194"/>
      <c r="E33" s="2194" t="s">
        <v>601</v>
      </c>
      <c r="F33" s="2202"/>
      <c r="G33" s="2203"/>
      <c r="H33" s="2203"/>
      <c r="I33" s="2203"/>
      <c r="J33" s="2203"/>
      <c r="K33" s="2203"/>
      <c r="L33" s="2203"/>
      <c r="M33" s="2203"/>
      <c r="N33" s="2203"/>
      <c r="O33" s="2203"/>
      <c r="P33" s="2203"/>
      <c r="Q33" s="2203"/>
      <c r="R33" s="2203"/>
      <c r="S33" s="2214" t="e">
        <f>E33*F33</f>
        <v>#VALUE!</v>
      </c>
      <c r="T33" s="2214" t="e">
        <f>E33*G33</f>
        <v>#VALUE!</v>
      </c>
      <c r="U33" s="2214" t="e">
        <f>SUM(H33:R33)*E33</f>
        <v>#VALUE!</v>
      </c>
      <c r="V33" s="2214"/>
      <c r="W33" s="2390">
        <f>W32*1000/12/E32</f>
        <v>14728</v>
      </c>
      <c r="X33" s="2216"/>
      <c r="Y33" s="2216"/>
      <c r="Z33" s="2216"/>
    </row>
    <row r="34" spans="1:26" s="2196" customFormat="1" ht="13.8">
      <c r="A34" s="2192"/>
      <c r="B34" s="2193" t="s">
        <v>2413</v>
      </c>
      <c r="C34" s="2194"/>
      <c r="D34" s="2194"/>
      <c r="E34" s="2194" t="s">
        <v>244</v>
      </c>
      <c r="F34" s="2202"/>
      <c r="G34" s="2203"/>
      <c r="H34" s="2203"/>
      <c r="I34" s="2203"/>
      <c r="J34" s="2203"/>
      <c r="K34" s="2203"/>
      <c r="L34" s="2203"/>
      <c r="M34" s="2203"/>
      <c r="N34" s="2203"/>
      <c r="O34" s="2203"/>
      <c r="P34" s="2203"/>
      <c r="Q34" s="2203"/>
      <c r="R34" s="2203"/>
      <c r="S34" s="2214" t="e">
        <f>E34*F34</f>
        <v>#VALUE!</v>
      </c>
      <c r="T34" s="2214" t="e">
        <f>E34*G34</f>
        <v>#VALUE!</v>
      </c>
      <c r="U34" s="2214" t="e">
        <f>SUM(H34:R34)*E34</f>
        <v>#VALUE!</v>
      </c>
      <c r="V34" s="2214"/>
      <c r="W34" s="2390"/>
      <c r="X34" s="2391">
        <f>X32/W32</f>
        <v>0.18991425467525413</v>
      </c>
      <c r="Y34" s="2391">
        <f>Y32/W32</f>
        <v>0.32532833475595557</v>
      </c>
      <c r="Z34" s="2216"/>
    </row>
    <row r="35" spans="1:26" ht="42" customHeight="1"/>
    <row r="36" spans="1:26">
      <c r="A36" s="98"/>
    </row>
    <row r="37" spans="1:26">
      <c r="A37" s="98"/>
    </row>
    <row r="56" spans="6:6">
      <c r="F56" s="2180"/>
    </row>
  </sheetData>
  <mergeCells count="16">
    <mergeCell ref="F5:R5"/>
    <mergeCell ref="F6:F7"/>
    <mergeCell ref="G6:G7"/>
    <mergeCell ref="V5:V7"/>
    <mergeCell ref="A5:A7"/>
    <mergeCell ref="B5:B7"/>
    <mergeCell ref="C5:C7"/>
    <mergeCell ref="D5:D7"/>
    <mergeCell ref="E5:E7"/>
    <mergeCell ref="Y6:Y7"/>
    <mergeCell ref="Z6:Z7"/>
    <mergeCell ref="S6:S7"/>
    <mergeCell ref="T6:T7"/>
    <mergeCell ref="U6:U7"/>
    <mergeCell ref="W6:W7"/>
    <mergeCell ref="X6:X7"/>
  </mergeCells>
  <printOptions horizontalCentered="1"/>
  <pageMargins left="0.78740157480314965" right="0.78740157480314965" top="0.59055118110236227" bottom="0.11811023622047245" header="0.51181102362204722" footer="3.937007874015748E-2"/>
  <pageSetup paperSize="9" scale="95" pageOrder="overThenDown" orientation="landscape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6">
    <tabColor rgb="FFFFC000"/>
  </sheetPr>
  <dimension ref="A1:Y33"/>
  <sheetViews>
    <sheetView workbookViewId="0">
      <selection activeCell="B32" sqref="A1:XFD1048576"/>
    </sheetView>
  </sheetViews>
  <sheetFormatPr defaultColWidth="9.109375" defaultRowHeight="13.2"/>
  <cols>
    <col min="1" max="1" width="32.44140625" style="879" customWidth="1"/>
    <col min="2" max="2" width="9.88671875" style="879" hidden="1" customWidth="1"/>
    <col min="3" max="8" width="11" style="879" hidden="1" customWidth="1"/>
    <col min="9" max="9" width="10.88671875" style="878" bestFit="1" customWidth="1"/>
    <col min="10" max="10" width="9.88671875" style="879" customWidth="1"/>
    <col min="11" max="11" width="10.88671875" style="879" bestFit="1" customWidth="1"/>
    <col min="12" max="14" width="0" style="879" hidden="1" customWidth="1"/>
    <col min="15" max="15" width="10.88671875" style="879" bestFit="1" customWidth="1"/>
    <col min="16" max="16" width="9.33203125" style="879" bestFit="1" customWidth="1"/>
    <col min="17" max="17" width="10.88671875" style="879" bestFit="1" customWidth="1"/>
    <col min="18" max="18" width="9.109375" style="879"/>
    <col min="19" max="23" width="0" style="879" hidden="1" customWidth="1"/>
    <col min="24" max="16384" width="9.109375" style="879"/>
  </cols>
  <sheetData>
    <row r="1" spans="1:22" ht="21" customHeight="1">
      <c r="A1" s="595" t="s">
        <v>2410</v>
      </c>
      <c r="B1" s="876"/>
      <c r="C1" s="877"/>
      <c r="D1" s="877"/>
      <c r="E1" s="877"/>
      <c r="F1" s="877"/>
      <c r="G1" s="877"/>
      <c r="H1" s="877"/>
      <c r="I1" s="2332"/>
      <c r="J1" s="881"/>
      <c r="K1" s="881"/>
      <c r="L1" s="881"/>
      <c r="M1" s="881"/>
      <c r="N1" s="881"/>
      <c r="O1" s="881"/>
      <c r="P1" s="881"/>
      <c r="Q1" s="881"/>
    </row>
    <row r="2" spans="1:22" s="2325" customFormat="1" ht="15.6">
      <c r="A2" s="2381" t="s">
        <v>2887</v>
      </c>
      <c r="B2" s="2382"/>
      <c r="C2" s="2382"/>
      <c r="D2" s="2382"/>
      <c r="E2" s="2382"/>
      <c r="F2" s="2382"/>
      <c r="G2" s="2382"/>
      <c r="H2" s="2382"/>
      <c r="I2" s="2383"/>
      <c r="J2" s="2328"/>
      <c r="K2" s="2328"/>
      <c r="L2" s="2328"/>
      <c r="M2" s="2328"/>
      <c r="N2" s="2328"/>
      <c r="O2" s="2328"/>
      <c r="P2" s="2328"/>
      <c r="Q2" s="2328"/>
    </row>
    <row r="3" spans="1:22" ht="6.75" hidden="1" customHeight="1">
      <c r="A3" s="880"/>
      <c r="B3" s="1321"/>
      <c r="C3" s="1321"/>
      <c r="D3" s="1321"/>
      <c r="E3" s="1321"/>
      <c r="F3" s="1321"/>
      <c r="G3" s="1321"/>
      <c r="H3" s="1321"/>
      <c r="I3" s="1327"/>
    </row>
    <row r="4" spans="1:22" s="26" customFormat="1" ht="15.6" hidden="1">
      <c r="A4" s="183" t="s">
        <v>1430</v>
      </c>
      <c r="B4" s="183"/>
      <c r="C4" s="183"/>
      <c r="D4" s="870"/>
      <c r="E4" s="1316"/>
      <c r="F4" s="1316"/>
      <c r="G4" s="1316"/>
      <c r="H4" s="1316"/>
      <c r="I4" s="869"/>
      <c r="M4" s="869"/>
      <c r="N4" s="869"/>
      <c r="S4" s="145"/>
      <c r="T4" s="870"/>
      <c r="U4" s="869"/>
      <c r="V4" s="2217" t="s">
        <v>1626</v>
      </c>
    </row>
    <row r="5" spans="1:22" s="26" customFormat="1" ht="42" hidden="1">
      <c r="A5" s="2219" t="s">
        <v>902</v>
      </c>
      <c r="B5" s="1330"/>
      <c r="C5" s="1331"/>
      <c r="D5" s="2172" t="s">
        <v>2395</v>
      </c>
      <c r="E5" s="1333" t="s">
        <v>1697</v>
      </c>
      <c r="F5" s="1334"/>
      <c r="G5" s="1335" t="s">
        <v>1694</v>
      </c>
      <c r="H5" s="1336"/>
      <c r="I5" s="1348"/>
      <c r="M5" s="869"/>
      <c r="N5" s="869"/>
      <c r="P5" s="145"/>
      <c r="S5" s="146"/>
      <c r="T5" s="870"/>
      <c r="U5" s="869"/>
      <c r="V5" s="1251"/>
    </row>
    <row r="6" spans="1:22" s="26" customFormat="1" ht="15.6" hidden="1">
      <c r="A6" s="2218"/>
      <c r="B6" s="409"/>
      <c r="C6" s="1349"/>
      <c r="D6" s="1338" t="s">
        <v>1860</v>
      </c>
      <c r="E6" s="1339"/>
      <c r="F6" s="1340"/>
      <c r="G6" s="1341" t="s">
        <v>1695</v>
      </c>
      <c r="H6" s="1315" t="s">
        <v>1689</v>
      </c>
      <c r="I6" s="1348"/>
      <c r="M6" s="10"/>
      <c r="N6" s="10"/>
      <c r="S6" s="947">
        <v>14.586390306974831</v>
      </c>
      <c r="T6" s="276">
        <v>31984.329000000002</v>
      </c>
      <c r="U6" s="2317">
        <v>22941.249</v>
      </c>
      <c r="V6" s="1252">
        <v>21.369630150413656</v>
      </c>
    </row>
    <row r="7" spans="1:22" s="26" customFormat="1" ht="15.6" hidden="1">
      <c r="A7" s="1353" t="s">
        <v>1673</v>
      </c>
      <c r="B7" s="183"/>
      <c r="C7" s="1337"/>
      <c r="D7" s="1343">
        <v>24879.768391399997</v>
      </c>
      <c r="E7" s="1344">
        <v>14.586390306974831</v>
      </c>
      <c r="F7" s="1345"/>
      <c r="G7" s="2377">
        <v>15</v>
      </c>
      <c r="H7" s="2378">
        <v>7.1</v>
      </c>
      <c r="I7" s="1353"/>
      <c r="M7" s="10"/>
      <c r="N7" s="10"/>
      <c r="S7" s="947">
        <v>85.413609693025165</v>
      </c>
      <c r="T7" s="276">
        <v>123663.1</v>
      </c>
      <c r="U7" s="2317">
        <v>141563.78</v>
      </c>
      <c r="V7" s="10"/>
    </row>
    <row r="8" spans="1:22" s="26" customFormat="1" ht="15.6" hidden="1">
      <c r="A8" s="1353" t="s">
        <v>1431</v>
      </c>
      <c r="B8" s="183"/>
      <c r="C8" s="1337"/>
      <c r="D8" s="1343">
        <v>145688.603</v>
      </c>
      <c r="E8" s="1344">
        <v>85.413609693025165</v>
      </c>
      <c r="F8" s="1337"/>
      <c r="G8" s="2377">
        <v>91</v>
      </c>
      <c r="H8" s="2378">
        <v>41.9</v>
      </c>
      <c r="I8" s="1353"/>
      <c r="M8" s="10"/>
      <c r="N8" s="10"/>
      <c r="S8" s="947">
        <v>100</v>
      </c>
      <c r="T8" s="276">
        <v>155647.429</v>
      </c>
      <c r="U8" s="2317">
        <v>164505.02900000001</v>
      </c>
      <c r="V8" s="10"/>
    </row>
    <row r="9" spans="1:22" ht="15.6" hidden="1">
      <c r="A9" s="1354" t="s">
        <v>419</v>
      </c>
      <c r="B9" s="409"/>
      <c r="C9" s="1349"/>
      <c r="D9" s="1350">
        <v>170568.3713914</v>
      </c>
      <c r="E9" s="1351">
        <v>100</v>
      </c>
      <c r="F9" s="1349"/>
      <c r="G9" s="2379">
        <v>106</v>
      </c>
      <c r="H9" s="2379">
        <v>49</v>
      </c>
      <c r="I9" s="1353"/>
    </row>
    <row r="10" spans="1:22" ht="18" hidden="1" customHeight="1">
      <c r="A10" s="2318" t="s">
        <v>2338</v>
      </c>
      <c r="B10" s="2319"/>
      <c r="C10" s="2319"/>
      <c r="D10" s="2319"/>
      <c r="E10" s="2319"/>
      <c r="F10" s="2319"/>
      <c r="G10" s="2319"/>
      <c r="H10" s="2319"/>
      <c r="I10" s="2320"/>
    </row>
    <row r="11" spans="1:22" ht="16.2" hidden="1">
      <c r="A11" s="2318" t="s">
        <v>1701</v>
      </c>
      <c r="B11" s="2321"/>
      <c r="C11" s="2321"/>
      <c r="D11" s="2322"/>
      <c r="E11" s="2323"/>
      <c r="F11" s="2321"/>
      <c r="G11" s="2319"/>
      <c r="H11" s="2319"/>
      <c r="I11" s="2320"/>
      <c r="J11" s="878"/>
      <c r="K11" s="878"/>
      <c r="L11" s="878"/>
      <c r="M11" s="878"/>
      <c r="N11" s="878"/>
    </row>
    <row r="12" spans="1:22" ht="15.6" hidden="1">
      <c r="A12" s="2318" t="s">
        <v>1702</v>
      </c>
      <c r="B12" s="2321"/>
      <c r="C12" s="2321"/>
      <c r="D12" s="2322"/>
      <c r="E12" s="2323"/>
      <c r="F12" s="2321"/>
      <c r="G12" s="2319"/>
      <c r="H12" s="2319"/>
      <c r="I12" s="2320"/>
      <c r="J12" s="878"/>
      <c r="K12" s="878"/>
      <c r="L12" s="878"/>
      <c r="M12" s="878"/>
      <c r="N12" s="878"/>
    </row>
    <row r="13" spans="1:22" s="884" customFormat="1" ht="6.75" hidden="1" customHeight="1">
      <c r="A13" s="551"/>
      <c r="B13" s="1320"/>
      <c r="C13" s="1320"/>
      <c r="D13" s="1320"/>
      <c r="E13" s="1320"/>
      <c r="F13" s="1320"/>
      <c r="G13" s="1320"/>
      <c r="H13" s="1320"/>
      <c r="I13" s="1327"/>
    </row>
    <row r="14" spans="1:22" s="884" customFormat="1" ht="124.8" hidden="1">
      <c r="A14" s="1313" t="s">
        <v>2257</v>
      </c>
      <c r="B14" s="1323"/>
      <c r="C14" s="1314"/>
      <c r="D14" s="1314"/>
      <c r="E14" s="1314"/>
      <c r="F14" s="1314"/>
      <c r="I14" s="1327"/>
      <c r="P14" s="2371"/>
    </row>
    <row r="15" spans="1:22" s="884" customFormat="1" ht="15.6">
      <c r="A15" s="1313"/>
      <c r="B15" s="1323"/>
      <c r="C15" s="1314"/>
      <c r="D15" s="1314"/>
      <c r="E15" s="1314"/>
      <c r="F15" s="1314"/>
      <c r="I15" s="1327"/>
      <c r="P15" s="2371"/>
      <c r="Q15" s="1312" t="s">
        <v>2900</v>
      </c>
    </row>
    <row r="16" spans="1:22" s="897" customFormat="1" ht="66" customHeight="1">
      <c r="A16" s="4170" t="s">
        <v>1309</v>
      </c>
      <c r="B16" s="4170" t="s">
        <v>1310</v>
      </c>
      <c r="C16" s="1315" t="s">
        <v>1421</v>
      </c>
      <c r="D16" s="1315"/>
      <c r="E16" s="1315"/>
      <c r="F16" s="2372" t="s">
        <v>1684</v>
      </c>
      <c r="G16" s="2372"/>
      <c r="H16" s="2372"/>
      <c r="I16" s="2330" t="s">
        <v>2397</v>
      </c>
      <c r="J16" s="2330"/>
      <c r="K16" s="2330"/>
      <c r="L16" s="2339" t="s">
        <v>2398</v>
      </c>
      <c r="M16" s="2339"/>
      <c r="N16" s="2339"/>
      <c r="O16" s="2380" t="s">
        <v>2411</v>
      </c>
      <c r="P16" s="2330"/>
      <c r="Q16" s="2330"/>
      <c r="R16" s="1328"/>
    </row>
    <row r="17" spans="1:25" s="897" customFormat="1" ht="33" customHeight="1">
      <c r="A17" s="4171"/>
      <c r="B17" s="4171"/>
      <c r="C17" s="1315" t="s">
        <v>1411</v>
      </c>
      <c r="D17" s="1315" t="s">
        <v>1689</v>
      </c>
      <c r="E17" s="1315" t="s">
        <v>679</v>
      </c>
      <c r="F17" s="2372" t="s">
        <v>1411</v>
      </c>
      <c r="G17" s="2372" t="s">
        <v>1689</v>
      </c>
      <c r="H17" s="2372" t="s">
        <v>679</v>
      </c>
      <c r="I17" s="2330" t="s">
        <v>1411</v>
      </c>
      <c r="J17" s="2330" t="s">
        <v>1690</v>
      </c>
      <c r="K17" s="2330" t="s">
        <v>679</v>
      </c>
      <c r="L17" s="2330" t="s">
        <v>1411</v>
      </c>
      <c r="M17" s="2330" t="s">
        <v>1690</v>
      </c>
      <c r="N17" s="2330" t="s">
        <v>679</v>
      </c>
      <c r="O17" s="2330" t="s">
        <v>1411</v>
      </c>
      <c r="P17" s="2330" t="s">
        <v>1696</v>
      </c>
      <c r="Q17" s="2330" t="s">
        <v>679</v>
      </c>
      <c r="R17" s="1328"/>
    </row>
    <row r="18" spans="1:25" s="897" customFormat="1" ht="31.2">
      <c r="A18" s="893" t="s">
        <v>1412</v>
      </c>
      <c r="B18" s="894" t="s">
        <v>1413</v>
      </c>
      <c r="C18" s="2333">
        <v>93</v>
      </c>
      <c r="D18" s="2333">
        <v>48</v>
      </c>
      <c r="E18" s="2333">
        <v>141</v>
      </c>
      <c r="F18" s="2373">
        <v>6</v>
      </c>
      <c r="G18" s="2373">
        <v>1</v>
      </c>
      <c r="H18" s="2373">
        <v>7</v>
      </c>
      <c r="I18" s="2334">
        <v>7</v>
      </c>
      <c r="J18" s="573">
        <v>0</v>
      </c>
      <c r="K18" s="2334">
        <v>7</v>
      </c>
      <c r="L18" s="2334">
        <v>106</v>
      </c>
      <c r="M18" s="2334">
        <v>49</v>
      </c>
      <c r="N18" s="2334">
        <v>155</v>
      </c>
      <c r="O18" s="2334">
        <v>0</v>
      </c>
      <c r="P18" s="573">
        <v>0</v>
      </c>
      <c r="Q18" s="2334">
        <v>0</v>
      </c>
      <c r="R18" s="1326"/>
      <c r="X18" s="3271"/>
    </row>
    <row r="19" spans="1:25" s="897" customFormat="1" ht="29.25" customHeight="1">
      <c r="A19" s="893" t="s">
        <v>1414</v>
      </c>
      <c r="B19" s="894" t="s">
        <v>238</v>
      </c>
      <c r="C19" s="2335">
        <v>26896.128000000001</v>
      </c>
      <c r="D19" s="2335">
        <v>12842.291999999999</v>
      </c>
      <c r="E19" s="2335">
        <v>39738.42</v>
      </c>
      <c r="F19" s="2374">
        <v>353.65330999999998</v>
      </c>
      <c r="G19" s="2374">
        <v>122.33935</v>
      </c>
      <c r="H19" s="2374">
        <v>475.99266</v>
      </c>
      <c r="I19" s="2336">
        <v>1299.0096000000001</v>
      </c>
      <c r="J19" s="573">
        <v>0</v>
      </c>
      <c r="K19" s="2336">
        <v>1299.0096000000001</v>
      </c>
      <c r="L19" s="2336">
        <v>28548.790910000003</v>
      </c>
      <c r="M19" s="2336">
        <v>12964.63135</v>
      </c>
      <c r="N19" s="2336">
        <v>41513.422260000007</v>
      </c>
      <c r="O19" s="2336">
        <v>0</v>
      </c>
      <c r="P19" s="573">
        <v>0</v>
      </c>
      <c r="Q19" s="2336">
        <v>0</v>
      </c>
      <c r="R19" s="1326"/>
    </row>
    <row r="20" spans="1:25" s="897" customFormat="1" ht="28.5" customHeight="1">
      <c r="A20" s="893" t="s">
        <v>1415</v>
      </c>
      <c r="B20" s="894" t="s">
        <v>601</v>
      </c>
      <c r="C20" s="900">
        <v>24100.47</v>
      </c>
      <c r="D20" s="900">
        <v>22295.65</v>
      </c>
      <c r="E20" s="900">
        <v>23486.06</v>
      </c>
      <c r="F20" s="2375">
        <v>4911.8500000000004</v>
      </c>
      <c r="G20" s="2375">
        <v>10194.950000000001</v>
      </c>
      <c r="H20" s="2375">
        <v>5666.58</v>
      </c>
      <c r="I20" s="2331">
        <v>15464.4</v>
      </c>
      <c r="J20" s="2389">
        <v>0</v>
      </c>
      <c r="K20" s="2331">
        <v>15464.4</v>
      </c>
      <c r="L20" s="2331">
        <v>22444.02</v>
      </c>
      <c r="M20" s="2331">
        <v>22048.69</v>
      </c>
      <c r="N20" s="2331">
        <v>22319.040000000001</v>
      </c>
      <c r="O20" s="2331">
        <v>15464.4</v>
      </c>
      <c r="P20" s="2389">
        <v>0</v>
      </c>
      <c r="Q20" s="2331">
        <v>15464.4</v>
      </c>
      <c r="R20" s="1326"/>
    </row>
    <row r="21" spans="1:25" s="897" customFormat="1" ht="29.25" customHeight="1">
      <c r="A21" s="893" t="s">
        <v>2412</v>
      </c>
      <c r="B21" s="894" t="s">
        <v>238</v>
      </c>
      <c r="C21" s="2335">
        <v>13603.944000000001</v>
      </c>
      <c r="D21" s="2335">
        <v>3993.1200000000008</v>
      </c>
      <c r="E21" s="2335">
        <v>17597.064000000002</v>
      </c>
      <c r="F21" s="2374">
        <v>49.776749999999993</v>
      </c>
      <c r="G21" s="2374">
        <v>20.395710000000001</v>
      </c>
      <c r="H21" s="2374">
        <v>70.172460000000001</v>
      </c>
      <c r="I21" s="2336">
        <v>422.60462999999999</v>
      </c>
      <c r="J21" s="573">
        <v>0</v>
      </c>
      <c r="K21" s="2336">
        <v>422.60462999999999</v>
      </c>
      <c r="L21" s="2336">
        <v>14076.32538</v>
      </c>
      <c r="M21" s="2336">
        <v>4013.5157100000006</v>
      </c>
      <c r="N21" s="2336">
        <v>18089.841090000002</v>
      </c>
      <c r="O21" s="2336">
        <v>0</v>
      </c>
      <c r="P21" s="573">
        <v>0</v>
      </c>
      <c r="Q21" s="2336">
        <v>0</v>
      </c>
      <c r="R21" s="1326"/>
    </row>
    <row r="22" spans="1:25" s="897" customFormat="1" ht="47.25" customHeight="1">
      <c r="A22" s="893" t="s">
        <v>636</v>
      </c>
      <c r="B22" s="894" t="s">
        <v>601</v>
      </c>
      <c r="C22" s="900">
        <v>12189.91</v>
      </c>
      <c r="D22" s="900">
        <v>6932.5</v>
      </c>
      <c r="E22" s="900">
        <v>10400.16</v>
      </c>
      <c r="F22" s="2375">
        <v>691.34</v>
      </c>
      <c r="G22" s="2375">
        <v>1699.64</v>
      </c>
      <c r="H22" s="2375">
        <v>835.39</v>
      </c>
      <c r="I22" s="2331">
        <v>5031.01</v>
      </c>
      <c r="J22" s="2389">
        <v>0</v>
      </c>
      <c r="K22" s="2331">
        <v>5031.01</v>
      </c>
      <c r="L22" s="2331">
        <v>11066.29</v>
      </c>
      <c r="M22" s="2331">
        <v>6825.71</v>
      </c>
      <c r="N22" s="2331">
        <v>9725.7199999999993</v>
      </c>
      <c r="O22" s="2331">
        <v>5031.01</v>
      </c>
      <c r="P22" s="2389">
        <v>0</v>
      </c>
      <c r="Q22" s="2331">
        <v>5031.01</v>
      </c>
      <c r="R22" s="1326"/>
    </row>
    <row r="23" spans="1:25" s="897" customFormat="1" ht="26.25" customHeight="1">
      <c r="A23" s="893" t="s">
        <v>1416</v>
      </c>
      <c r="B23" s="894" t="s">
        <v>244</v>
      </c>
      <c r="C23" s="900">
        <v>50.58</v>
      </c>
      <c r="D23" s="900">
        <v>31.09</v>
      </c>
      <c r="E23" s="900">
        <v>44.28</v>
      </c>
      <c r="F23" s="2375">
        <v>14.08</v>
      </c>
      <c r="G23" s="2375">
        <v>16.670000000000002</v>
      </c>
      <c r="H23" s="2375">
        <v>14.74</v>
      </c>
      <c r="I23" s="2331">
        <v>32.53</v>
      </c>
      <c r="J23" s="2389">
        <v>0</v>
      </c>
      <c r="K23" s="2331">
        <v>32.53</v>
      </c>
      <c r="L23" s="2331">
        <v>49.31</v>
      </c>
      <c r="M23" s="2331">
        <v>30.96</v>
      </c>
      <c r="N23" s="2331">
        <v>43.58</v>
      </c>
      <c r="O23" s="2331" t="e">
        <v>#DIV/0!</v>
      </c>
      <c r="P23" s="2389">
        <v>0</v>
      </c>
      <c r="Q23" s="2331" t="e">
        <v>#DIV/0!</v>
      </c>
      <c r="R23" s="1326"/>
    </row>
    <row r="24" spans="1:25" s="897" customFormat="1" ht="21.75" customHeight="1">
      <c r="A24" s="893" t="s">
        <v>2336</v>
      </c>
      <c r="B24" s="894" t="s">
        <v>238</v>
      </c>
      <c r="C24" s="2335">
        <v>5342.7300000000032</v>
      </c>
      <c r="D24" s="2335">
        <v>3739.1129999999998</v>
      </c>
      <c r="E24" s="2335">
        <v>9081.8430000000026</v>
      </c>
      <c r="F24" s="2374">
        <v>18.651520000000001</v>
      </c>
      <c r="G24" s="2374">
        <v>27.184889999999999</v>
      </c>
      <c r="H24" s="2374">
        <v>45.836410000000001</v>
      </c>
      <c r="I24" s="2336">
        <v>246.70044000000004</v>
      </c>
      <c r="J24" s="573">
        <v>0</v>
      </c>
      <c r="K24" s="2336">
        <v>246.70044000000004</v>
      </c>
      <c r="L24" s="2336">
        <v>5608.0819600000032</v>
      </c>
      <c r="M24" s="2336">
        <v>3766.2978899999998</v>
      </c>
      <c r="N24" s="2336">
        <v>9374.379850000003</v>
      </c>
      <c r="O24" s="2336">
        <v>0</v>
      </c>
      <c r="P24" s="573">
        <v>0</v>
      </c>
      <c r="Q24" s="2336">
        <v>0</v>
      </c>
      <c r="R24" s="1326"/>
    </row>
    <row r="25" spans="1:25" s="897" customFormat="1" ht="21.75" customHeight="1">
      <c r="A25" s="893" t="s">
        <v>2337</v>
      </c>
      <c r="B25" s="894" t="s">
        <v>601</v>
      </c>
      <c r="C25" s="900">
        <v>4787.3900000000003</v>
      </c>
      <c r="D25" s="900">
        <v>6491.52</v>
      </c>
      <c r="E25" s="900">
        <v>5367.52</v>
      </c>
      <c r="F25" s="2375">
        <v>259.05</v>
      </c>
      <c r="G25" s="2375">
        <v>2265.41</v>
      </c>
      <c r="H25" s="2375">
        <v>545.66999999999996</v>
      </c>
      <c r="I25" s="2331">
        <v>2936.91</v>
      </c>
      <c r="J25" s="573">
        <v>0</v>
      </c>
      <c r="K25" s="2331">
        <v>2936.91</v>
      </c>
      <c r="L25" s="2331">
        <v>4408.87</v>
      </c>
      <c r="M25" s="2331">
        <v>6405.27</v>
      </c>
      <c r="N25" s="2331">
        <v>5039.99</v>
      </c>
      <c r="O25" s="2331">
        <v>4408.87</v>
      </c>
      <c r="P25" s="573">
        <v>0</v>
      </c>
      <c r="Q25" s="2331">
        <v>5039.99</v>
      </c>
      <c r="R25" s="1326"/>
      <c r="S25" s="897">
        <v>18809.616000000002</v>
      </c>
      <c r="T25" s="897">
        <v>0</v>
      </c>
      <c r="U25" s="1263">
        <v>4019.5453719130314</v>
      </c>
    </row>
    <row r="26" spans="1:25" s="897" customFormat="1" ht="31.2">
      <c r="A26" s="893" t="s">
        <v>2396</v>
      </c>
      <c r="B26" s="894" t="s">
        <v>244</v>
      </c>
      <c r="C26" s="900">
        <v>19.86</v>
      </c>
      <c r="D26" s="900">
        <v>29.12</v>
      </c>
      <c r="E26" s="900">
        <v>22.85</v>
      </c>
      <c r="F26" s="2375">
        <v>5.27</v>
      </c>
      <c r="G26" s="2375">
        <v>22.22</v>
      </c>
      <c r="H26" s="2375">
        <v>9.6300000000000008</v>
      </c>
      <c r="I26" s="2331">
        <v>18.989999999999998</v>
      </c>
      <c r="J26" s="573">
        <v>0</v>
      </c>
      <c r="K26" s="2331">
        <v>18.989999999999998</v>
      </c>
      <c r="L26" s="2331">
        <v>19.64</v>
      </c>
      <c r="M26" s="2331">
        <v>29.05</v>
      </c>
      <c r="N26" s="2331">
        <v>22.58</v>
      </c>
      <c r="O26" s="2331">
        <v>28.51</v>
      </c>
      <c r="P26" s="573">
        <v>0</v>
      </c>
      <c r="Q26" s="2331">
        <v>32.590000000000003</v>
      </c>
      <c r="R26" s="1326"/>
      <c r="S26" s="1263">
        <v>119.880309825</v>
      </c>
    </row>
    <row r="27" spans="1:25" ht="20.25" customHeight="1">
      <c r="A27" s="901" t="s">
        <v>1419</v>
      </c>
      <c r="B27" s="902" t="s">
        <v>238</v>
      </c>
      <c r="C27" s="2337">
        <v>45842.802000000003</v>
      </c>
      <c r="D27" s="2337">
        <v>20574.525000000001</v>
      </c>
      <c r="E27" s="2337">
        <v>66417.327000000005</v>
      </c>
      <c r="F27" s="2376">
        <v>422.08157999999997</v>
      </c>
      <c r="G27" s="2376">
        <v>169.91995</v>
      </c>
      <c r="H27" s="2376">
        <v>592.00153</v>
      </c>
      <c r="I27" s="2338">
        <v>1968.3146700000002</v>
      </c>
      <c r="J27" s="1816">
        <v>0</v>
      </c>
      <c r="K27" s="2338">
        <v>1968.3146700000002</v>
      </c>
      <c r="L27" s="2338">
        <v>48233.198250000009</v>
      </c>
      <c r="M27" s="2338">
        <v>20744.444949999997</v>
      </c>
      <c r="N27" s="2338">
        <v>68977.643200000006</v>
      </c>
      <c r="O27" s="2338">
        <v>0</v>
      </c>
      <c r="P27" s="1816">
        <v>0</v>
      </c>
      <c r="Q27" s="2338">
        <v>0</v>
      </c>
      <c r="R27" s="1326"/>
      <c r="S27" s="1307">
        <v>24904.28</v>
      </c>
      <c r="T27" s="1307">
        <v>0</v>
      </c>
      <c r="U27" s="1307">
        <v>25535.4</v>
      </c>
      <c r="Y27" s="1259"/>
    </row>
    <row r="28" spans="1:25" ht="31.5" customHeight="1">
      <c r="A28" s="893" t="s">
        <v>1420</v>
      </c>
      <c r="B28" s="894" t="s">
        <v>601</v>
      </c>
      <c r="C28" s="900">
        <v>41077.779569892475</v>
      </c>
      <c r="D28" s="900">
        <v>35719.661458333336</v>
      </c>
      <c r="E28" s="900">
        <v>39253.739361702137</v>
      </c>
      <c r="F28" s="2375">
        <v>5862.2441666666664</v>
      </c>
      <c r="G28" s="2375">
        <v>14159.995833333334</v>
      </c>
      <c r="H28" s="2375">
        <v>7047.6372619047625</v>
      </c>
      <c r="I28" s="2331">
        <v>23432.317500000001</v>
      </c>
      <c r="J28" s="573">
        <v>0</v>
      </c>
      <c r="K28" s="2331">
        <v>23432.317500000001</v>
      </c>
      <c r="L28" s="2331">
        <v>37919.181014150949</v>
      </c>
      <c r="M28" s="2331">
        <v>35279.668282312916</v>
      </c>
      <c r="N28" s="2331">
        <v>37084.754408602152</v>
      </c>
      <c r="O28" s="2331" t="e">
        <v>#DIV/0!</v>
      </c>
      <c r="P28" s="573">
        <v>0</v>
      </c>
      <c r="Q28" s="2331">
        <v>25535.4</v>
      </c>
      <c r="R28" s="1326"/>
      <c r="S28" s="879">
        <v>10061.348261704485</v>
      </c>
    </row>
    <row r="29" spans="1:25" ht="31.5" customHeight="1">
      <c r="A29" s="2384"/>
      <c r="B29" s="2385"/>
      <c r="C29" s="2386"/>
      <c r="D29" s="2386"/>
      <c r="E29" s="2386"/>
      <c r="F29" s="2387"/>
      <c r="G29" s="2387"/>
      <c r="H29" s="2387"/>
      <c r="I29" s="2388"/>
      <c r="J29" s="2388"/>
      <c r="K29" s="2388"/>
      <c r="L29" s="2388"/>
      <c r="M29" s="2388"/>
      <c r="N29" s="2388"/>
      <c r="O29" s="2388"/>
      <c r="P29" s="2388"/>
      <c r="Q29" s="2388"/>
      <c r="R29" s="1326"/>
    </row>
    <row r="30" spans="1:25">
      <c r="A30" s="98"/>
      <c r="B30" s="1322"/>
      <c r="C30" s="1322"/>
      <c r="D30" s="1322"/>
      <c r="E30" s="1322"/>
      <c r="F30" s="1322"/>
      <c r="G30" s="1322"/>
      <c r="H30" s="1322"/>
      <c r="I30" s="1327"/>
    </row>
    <row r="31" spans="1:25">
      <c r="A31" s="98"/>
      <c r="B31" s="1322"/>
      <c r="C31" s="1322"/>
      <c r="D31" s="1322"/>
      <c r="E31" s="1322"/>
      <c r="F31" s="1322"/>
      <c r="G31" s="1322"/>
      <c r="H31" s="1322"/>
      <c r="I31" s="1327"/>
    </row>
    <row r="32" spans="1:25">
      <c r="B32" s="1322"/>
      <c r="C32" s="1322"/>
      <c r="D32" s="1322"/>
      <c r="E32" s="1322"/>
      <c r="F32" s="1322"/>
      <c r="G32" s="1322"/>
      <c r="H32" s="1322"/>
      <c r="I32" s="1327"/>
    </row>
    <row r="33" spans="2:9">
      <c r="B33" s="1322"/>
      <c r="C33" s="1322"/>
      <c r="D33" s="1322"/>
      <c r="E33" s="1322"/>
      <c r="F33" s="1322"/>
      <c r="G33" s="1322"/>
      <c r="H33" s="1322"/>
      <c r="I33" s="1327"/>
    </row>
  </sheetData>
  <mergeCells count="2">
    <mergeCell ref="A16:A17"/>
    <mergeCell ref="B16:B17"/>
  </mergeCells>
  <printOptions horizontalCentered="1"/>
  <pageMargins left="0.78740157480314965" right="0.78740157480314965" top="0.70866141732283472" bottom="0.11811023622047245" header="0.51181102362204722" footer="3.937007874015748E-2"/>
  <pageSetup paperSize="9" scale="83" orientation="landscape" r:id="rId1"/>
  <headerFooter alignWithMargins="0"/>
  <colBreaks count="1" manualBreakCount="1">
    <brk id="17" max="1048575" man="1"/>
  </col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7">
    <tabColor rgb="FFFFC000"/>
  </sheetPr>
  <dimension ref="A1:M28"/>
  <sheetViews>
    <sheetView workbookViewId="0">
      <selection activeCell="B32" sqref="A1:XFD1048576"/>
    </sheetView>
  </sheetViews>
  <sheetFormatPr defaultColWidth="9.109375" defaultRowHeight="13.2"/>
  <cols>
    <col min="1" max="1" width="52.5546875" style="879" customWidth="1"/>
    <col min="2" max="2" width="9.88671875" style="879" customWidth="1"/>
    <col min="3" max="5" width="12.88671875" style="879" customWidth="1"/>
    <col min="6" max="8" width="12.33203125" style="879" customWidth="1"/>
    <col min="9" max="16384" width="9.109375" style="879"/>
  </cols>
  <sheetData>
    <row r="1" spans="1:11" ht="21" customHeight="1">
      <c r="A1" s="595" t="s">
        <v>2487</v>
      </c>
      <c r="B1" s="595"/>
      <c r="C1" s="877"/>
      <c r="D1" s="877"/>
      <c r="E1" s="877"/>
      <c r="F1" s="877"/>
      <c r="G1" s="877"/>
      <c r="H1" s="877"/>
      <c r="J1" s="2945">
        <v>0.1642090945677514</v>
      </c>
      <c r="K1" s="1259" t="s">
        <v>2888</v>
      </c>
    </row>
    <row r="2" spans="1:11" ht="21" customHeight="1">
      <c r="A2" s="595" t="s">
        <v>1703</v>
      </c>
      <c r="B2" s="876"/>
      <c r="C2" s="877"/>
      <c r="D2" s="877"/>
      <c r="E2" s="877"/>
      <c r="F2" s="877"/>
      <c r="G2" s="877"/>
      <c r="H2" s="877"/>
    </row>
    <row r="3" spans="1:11" ht="20.25" customHeight="1">
      <c r="A3" s="595" t="s">
        <v>2873</v>
      </c>
      <c r="B3" s="881"/>
      <c r="C3" s="881"/>
      <c r="D3" s="881"/>
      <c r="E3" s="881"/>
      <c r="F3" s="881"/>
      <c r="G3" s="881"/>
      <c r="H3" s="881"/>
    </row>
    <row r="4" spans="1:11" ht="20.25" customHeight="1">
      <c r="A4" s="880"/>
      <c r="B4" s="881"/>
      <c r="C4" s="881"/>
      <c r="D4" s="881"/>
      <c r="E4" s="881"/>
      <c r="F4" s="881"/>
      <c r="G4" s="881"/>
      <c r="H4" s="881"/>
    </row>
    <row r="5" spans="1:11" s="2325" customFormat="1" ht="15.6">
      <c r="A5" s="2072" t="s">
        <v>2834</v>
      </c>
      <c r="C5" s="2329"/>
    </row>
    <row r="6" spans="1:11" ht="21.75" customHeight="1">
      <c r="C6" s="882"/>
      <c r="D6" s="882"/>
      <c r="E6" s="882"/>
      <c r="F6" s="882"/>
      <c r="G6" s="595" t="s">
        <v>2900</v>
      </c>
      <c r="H6" s="882"/>
    </row>
    <row r="7" spans="1:11" s="884" customFormat="1" ht="46.5" customHeight="1">
      <c r="A7" s="4170" t="s">
        <v>1309</v>
      </c>
      <c r="B7" s="4170" t="s">
        <v>1310</v>
      </c>
      <c r="C7" s="2324" t="s">
        <v>2872</v>
      </c>
      <c r="D7" s="1315"/>
      <c r="E7" s="1315"/>
      <c r="F7" s="2324" t="s">
        <v>2874</v>
      </c>
      <c r="G7" s="2324"/>
      <c r="H7" s="2324"/>
    </row>
    <row r="8" spans="1:11" s="884" customFormat="1" ht="28.8">
      <c r="A8" s="4171"/>
      <c r="B8" s="4171"/>
      <c r="C8" s="1315" t="s">
        <v>1411</v>
      </c>
      <c r="D8" s="1315" t="s">
        <v>1689</v>
      </c>
      <c r="E8" s="1315" t="s">
        <v>679</v>
      </c>
      <c r="F8" s="1315" t="s">
        <v>1411</v>
      </c>
      <c r="G8" s="1315" t="s">
        <v>1689</v>
      </c>
      <c r="H8" s="1315" t="s">
        <v>679</v>
      </c>
    </row>
    <row r="9" spans="1:11" s="897" customFormat="1" ht="21.75" customHeight="1">
      <c r="A9" s="893" t="s">
        <v>1412</v>
      </c>
      <c r="B9" s="894" t="s">
        <v>1413</v>
      </c>
      <c r="C9" s="2400">
        <v>107</v>
      </c>
      <c r="D9" s="2400">
        <v>56</v>
      </c>
      <c r="E9" s="2400">
        <v>163</v>
      </c>
      <c r="F9" s="2400">
        <v>16</v>
      </c>
      <c r="G9" s="2400">
        <v>9</v>
      </c>
      <c r="H9" s="2400">
        <v>25</v>
      </c>
    </row>
    <row r="10" spans="1:11" s="897" customFormat="1" ht="21.75" customHeight="1">
      <c r="A10" s="893" t="s">
        <v>1414</v>
      </c>
      <c r="B10" s="894" t="s">
        <v>238</v>
      </c>
      <c r="C10" s="2401">
        <v>30107.509529999999</v>
      </c>
      <c r="D10" s="2401">
        <v>17404.89647625</v>
      </c>
      <c r="E10" s="2401">
        <v>47512.406006249999</v>
      </c>
      <c r="F10" s="2401">
        <v>4722.9849599999998</v>
      </c>
      <c r="G10" s="2401">
        <v>2879.1337439999998</v>
      </c>
      <c r="H10" s="2401">
        <v>7602.1187039999995</v>
      </c>
    </row>
    <row r="11" spans="1:11" s="897" customFormat="1" ht="21.75" customHeight="1">
      <c r="A11" s="893" t="s">
        <v>1415</v>
      </c>
      <c r="B11" s="894" t="s">
        <v>601</v>
      </c>
      <c r="C11" s="2402">
        <v>23448.216144859813</v>
      </c>
      <c r="D11" s="2402">
        <v>25900.143565848215</v>
      </c>
      <c r="E11" s="2402">
        <v>24290.596117714726</v>
      </c>
      <c r="F11" s="2402">
        <v>24598.880000000001</v>
      </c>
      <c r="G11" s="2402">
        <v>26658.64577777778</v>
      </c>
      <c r="H11" s="2402">
        <v>25340.400000000001</v>
      </c>
    </row>
    <row r="12" spans="1:11" s="897" customFormat="1" ht="29.25" customHeight="1">
      <c r="A12" s="893" t="s">
        <v>1706</v>
      </c>
      <c r="B12" s="894" t="s">
        <v>238</v>
      </c>
      <c r="C12" s="2401">
        <v>12139.725780000002</v>
      </c>
      <c r="D12" s="2401">
        <v>5868.872910000001</v>
      </c>
      <c r="E12" s="2401">
        <v>18008.598690000003</v>
      </c>
      <c r="F12" s="2401">
        <v>1985.9308799999999</v>
      </c>
      <c r="G12" s="2401">
        <v>978.29083199999991</v>
      </c>
      <c r="H12" s="2401">
        <v>2964.2217119999996</v>
      </c>
    </row>
    <row r="13" spans="1:11" s="897" customFormat="1" ht="33" customHeight="1">
      <c r="A13" s="893" t="s">
        <v>636</v>
      </c>
      <c r="B13" s="894" t="s">
        <v>601</v>
      </c>
      <c r="C13" s="2402">
        <v>9454.6150934579473</v>
      </c>
      <c r="D13" s="2402">
        <v>8733.4418303571456</v>
      </c>
      <c r="E13" s="2402">
        <v>9206.8500460122705</v>
      </c>
      <c r="F13" s="2402">
        <v>10343.39</v>
      </c>
      <c r="G13" s="2402">
        <v>9058.2484444444435</v>
      </c>
      <c r="H13" s="2402">
        <v>9880.7390399999967</v>
      </c>
    </row>
    <row r="14" spans="1:11" s="897" customFormat="1" ht="21.75" customHeight="1">
      <c r="A14" s="893" t="s">
        <v>1416</v>
      </c>
      <c r="B14" s="894" t="s">
        <v>244</v>
      </c>
      <c r="C14" s="2331">
        <v>40.321255293147466</v>
      </c>
      <c r="D14" s="2331">
        <v>33.719665715957696</v>
      </c>
      <c r="E14" s="2331">
        <v>37.902939892437921</v>
      </c>
      <c r="F14" s="2331">
        <v>42.048215203293807</v>
      </c>
      <c r="G14" s="2331">
        <v>33.978651878840957</v>
      </c>
      <c r="H14" s="2331">
        <v>38.99204718337689</v>
      </c>
    </row>
    <row r="15" spans="1:11" s="897" customFormat="1" ht="21.75" customHeight="1">
      <c r="A15" s="893" t="s">
        <v>1417</v>
      </c>
      <c r="B15" s="894" t="s">
        <v>238</v>
      </c>
      <c r="C15" s="2401">
        <v>5814.8503599999985</v>
      </c>
      <c r="D15" s="2401">
        <v>5305.3962899999997</v>
      </c>
      <c r="E15" s="2401">
        <v>11120.246649999997</v>
      </c>
      <c r="F15" s="2401">
        <v>944.59584000000007</v>
      </c>
      <c r="G15" s="2401">
        <v>882.90081599999996</v>
      </c>
      <c r="H15" s="2401">
        <v>1827.496656</v>
      </c>
    </row>
    <row r="16" spans="1:11" s="897" customFormat="1" ht="21.75" customHeight="1">
      <c r="A16" s="893" t="s">
        <v>1418</v>
      </c>
      <c r="B16" s="894" t="s">
        <v>601</v>
      </c>
      <c r="C16" s="2402">
        <v>4528.6996573208717</v>
      </c>
      <c r="D16" s="2402">
        <v>7894.9349553571428</v>
      </c>
      <c r="E16" s="2402">
        <v>5685.1976738241292</v>
      </c>
      <c r="F16" s="2402">
        <v>4919.7700000000004</v>
      </c>
      <c r="G16" s="2402">
        <v>8175.0075555555559</v>
      </c>
      <c r="H16" s="2402">
        <v>6091.66</v>
      </c>
    </row>
    <row r="17" spans="1:13" s="897" customFormat="1" ht="21.75" customHeight="1">
      <c r="A17" s="893" t="s">
        <v>1708</v>
      </c>
      <c r="B17" s="894" t="s">
        <v>244</v>
      </c>
      <c r="C17" s="2331">
        <v>19.313621255208481</v>
      </c>
      <c r="D17" s="2331">
        <v>30.482205379615579</v>
      </c>
      <c r="E17" s="2331">
        <v>23.404932700181902</v>
      </c>
      <c r="F17" s="2331">
        <v>19.999975608645599</v>
      </c>
      <c r="G17" s="2331">
        <v>30.665502005244811</v>
      </c>
      <c r="H17" s="2331">
        <v>24.039320610566524</v>
      </c>
    </row>
    <row r="18" spans="1:13" s="897" customFormat="1" ht="21.75" customHeight="1">
      <c r="A18" s="901" t="s">
        <v>1419</v>
      </c>
      <c r="B18" s="902" t="s">
        <v>238</v>
      </c>
      <c r="C18" s="2403">
        <v>48062.08567</v>
      </c>
      <c r="D18" s="2403">
        <v>28579.165676250002</v>
      </c>
      <c r="E18" s="2403">
        <v>76641.251346250006</v>
      </c>
      <c r="F18" s="2403">
        <v>7653.5116799999996</v>
      </c>
      <c r="G18" s="2403">
        <v>4740.3253919999997</v>
      </c>
      <c r="H18" s="2403">
        <v>12393.837071999998</v>
      </c>
      <c r="J18" s="1310">
        <v>76641.251346250006</v>
      </c>
      <c r="L18" s="1310">
        <v>12393.837071999998</v>
      </c>
    </row>
    <row r="19" spans="1:13" s="897" customFormat="1" ht="31.5" customHeight="1">
      <c r="A19" s="893" t="s">
        <v>1420</v>
      </c>
      <c r="B19" s="894" t="s">
        <v>601</v>
      </c>
      <c r="C19" s="2402">
        <v>37431.530895638629</v>
      </c>
      <c r="D19" s="2402">
        <v>42528.520351562511</v>
      </c>
      <c r="E19" s="2402">
        <v>39182.643837551128</v>
      </c>
      <c r="F19" s="2402">
        <v>39862.04</v>
      </c>
      <c r="G19" s="2402">
        <v>43891.901777777777</v>
      </c>
      <c r="H19" s="2402">
        <v>41312.790239999995</v>
      </c>
      <c r="J19" s="897">
        <v>12393.837071999998</v>
      </c>
    </row>
    <row r="20" spans="1:13" ht="12.75" customHeight="1"/>
    <row r="21" spans="1:13" s="26" customFormat="1" ht="15.6" hidden="1">
      <c r="A21" s="2393" t="s">
        <v>663</v>
      </c>
      <c r="B21" s="2393"/>
      <c r="C21" s="2393"/>
      <c r="D21" s="2327"/>
      <c r="E21" s="2326"/>
      <c r="F21" s="2326"/>
      <c r="G21" s="2326"/>
      <c r="H21" s="2326"/>
      <c r="I21" s="2073"/>
      <c r="K21" s="26">
        <v>73851.707999999999</v>
      </c>
      <c r="L21" s="145"/>
      <c r="M21" s="635"/>
    </row>
    <row r="22" spans="1:13" s="26" customFormat="1" ht="15.6" hidden="1">
      <c r="A22" s="2393" t="s">
        <v>2414</v>
      </c>
      <c r="B22" s="2073"/>
      <c r="C22" s="2073"/>
      <c r="D22" s="2394"/>
      <c r="E22" s="2395"/>
      <c r="F22" s="2393"/>
      <c r="G22" s="2393"/>
      <c r="H22" s="2327"/>
      <c r="I22" s="2396"/>
      <c r="M22" s="635"/>
    </row>
    <row r="23" spans="1:13" s="26" customFormat="1" ht="15.6" hidden="1">
      <c r="A23" s="2072" t="s">
        <v>2415</v>
      </c>
      <c r="B23" s="2073"/>
      <c r="C23" s="2073"/>
      <c r="D23" s="2397"/>
      <c r="E23" s="2398"/>
      <c r="F23" s="2010"/>
      <c r="G23" s="2073"/>
      <c r="H23" s="2073"/>
      <c r="I23" s="2073"/>
      <c r="L23" s="947"/>
      <c r="M23" s="635"/>
    </row>
    <row r="24" spans="1:13" s="26" customFormat="1" ht="15.6">
      <c r="A24" s="2010"/>
      <c r="B24" s="2073"/>
      <c r="C24" s="2073"/>
      <c r="D24" s="2397"/>
      <c r="E24" s="2398"/>
      <c r="F24" s="2073"/>
      <c r="G24" s="2073"/>
      <c r="H24" s="2073"/>
      <c r="I24" s="2073"/>
      <c r="L24" s="947"/>
      <c r="M24" s="635"/>
    </row>
    <row r="25" spans="1:13" s="26" customFormat="1" ht="15.6">
      <c r="A25" s="2010"/>
      <c r="B25" s="2073"/>
      <c r="C25" s="2073"/>
      <c r="D25" s="2397"/>
      <c r="E25" s="2399"/>
      <c r="F25" s="2073"/>
      <c r="G25" s="2073"/>
      <c r="H25" s="2073"/>
      <c r="I25" s="2073"/>
      <c r="L25" s="947"/>
      <c r="M25" s="635"/>
    </row>
    <row r="26" spans="1:13" ht="8.25" customHeight="1">
      <c r="L26" s="146"/>
    </row>
    <row r="27" spans="1:13">
      <c r="A27" s="98"/>
    </row>
    <row r="28" spans="1:13">
      <c r="A28" s="98"/>
    </row>
  </sheetData>
  <mergeCells count="2">
    <mergeCell ref="A7:A8"/>
    <mergeCell ref="B7:B8"/>
  </mergeCells>
  <printOptions horizontalCentered="1"/>
  <pageMargins left="0.78740157480314965" right="0.78740157480314965" top="0.78740157480314965" bottom="0.11811023622047245" header="0.51181102362204722" footer="3.937007874015748E-2"/>
  <pageSetup paperSize="9" scale="93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9" enableFormatConditionsCalculation="0">
    <tabColor rgb="FF7030A0"/>
  </sheetPr>
  <dimension ref="A1:M54"/>
  <sheetViews>
    <sheetView workbookViewId="0">
      <pane ySplit="7" topLeftCell="A43" activePane="bottomLeft" state="frozen"/>
      <selection activeCell="B32" sqref="A1:XFD1048576"/>
      <selection pane="bottomLeft" activeCell="B32" sqref="A1:XFD1048576"/>
    </sheetView>
  </sheetViews>
  <sheetFormatPr defaultColWidth="9.109375" defaultRowHeight="13.2"/>
  <cols>
    <col min="1" max="1" width="6.44140625" style="10" customWidth="1"/>
    <col min="2" max="2" width="36.109375" style="10" customWidth="1"/>
    <col min="3" max="3" width="8.5546875" style="10" customWidth="1"/>
    <col min="4" max="4" width="17.33203125" style="10" customWidth="1"/>
    <col min="5" max="5" width="18.6640625" style="10" customWidth="1"/>
    <col min="6" max="16384" width="9.109375" style="10"/>
  </cols>
  <sheetData>
    <row r="1" spans="1:6">
      <c r="E1" s="11" t="s">
        <v>802</v>
      </c>
    </row>
    <row r="2" spans="1:6" ht="15.6">
      <c r="A2" s="109" t="s">
        <v>628</v>
      </c>
      <c r="B2" s="109"/>
      <c r="C2" s="109"/>
      <c r="D2" s="109"/>
      <c r="E2" s="109"/>
      <c r="F2" s="26"/>
    </row>
    <row r="3" spans="1:6" ht="15.6">
      <c r="A3" s="109" t="s">
        <v>176</v>
      </c>
      <c r="B3" s="109"/>
      <c r="C3" s="109"/>
      <c r="D3" s="109"/>
      <c r="E3" s="109"/>
      <c r="F3" s="109"/>
    </row>
    <row r="4" spans="1:6" ht="15.6">
      <c r="A4" s="109" t="s">
        <v>2487</v>
      </c>
      <c r="B4" s="109"/>
      <c r="C4" s="109"/>
      <c r="D4" s="109"/>
      <c r="E4" s="109"/>
      <c r="F4" s="109"/>
    </row>
    <row r="5" spans="1:6" ht="13.8">
      <c r="A5" s="63"/>
      <c r="B5" s="63"/>
      <c r="C5" s="63"/>
      <c r="D5" s="885"/>
      <c r="E5" s="886"/>
      <c r="F5" s="201"/>
    </row>
    <row r="6" spans="1:6" s="6" customFormat="1" ht="26.4">
      <c r="A6" s="14" t="s">
        <v>803</v>
      </c>
      <c r="B6" s="14" t="s">
        <v>804</v>
      </c>
      <c r="C6" s="14" t="s">
        <v>805</v>
      </c>
      <c r="D6" s="14" t="s">
        <v>799</v>
      </c>
      <c r="E6" s="14" t="s">
        <v>674</v>
      </c>
    </row>
    <row r="7" spans="1:6" s="6" customFormat="1">
      <c r="A7" s="14">
        <v>1</v>
      </c>
      <c r="B7" s="15">
        <v>2</v>
      </c>
      <c r="C7" s="15">
        <v>3</v>
      </c>
      <c r="D7" s="15">
        <v>4</v>
      </c>
      <c r="E7" s="15">
        <v>5</v>
      </c>
    </row>
    <row r="8" spans="1:6">
      <c r="A8" s="4" t="s">
        <v>807</v>
      </c>
      <c r="B8" s="9" t="s">
        <v>808</v>
      </c>
      <c r="C8" s="15"/>
      <c r="D8" s="202"/>
      <c r="E8" s="202"/>
    </row>
    <row r="9" spans="1:6">
      <c r="A9" s="4"/>
      <c r="B9" s="9" t="s">
        <v>809</v>
      </c>
      <c r="C9" s="15" t="s">
        <v>810</v>
      </c>
      <c r="D9" s="205"/>
      <c r="E9" s="205">
        <v>0</v>
      </c>
    </row>
    <row r="10" spans="1:6">
      <c r="A10" s="4" t="s">
        <v>811</v>
      </c>
      <c r="B10" s="9" t="s">
        <v>812</v>
      </c>
      <c r="C10" s="15"/>
      <c r="D10" s="205"/>
      <c r="E10" s="205"/>
    </row>
    <row r="11" spans="1:6" ht="16.5" customHeight="1">
      <c r="A11" s="4" t="s">
        <v>813</v>
      </c>
      <c r="B11" s="9" t="s">
        <v>814</v>
      </c>
      <c r="C11" s="15" t="s">
        <v>815</v>
      </c>
      <c r="D11" s="202"/>
      <c r="E11" s="202"/>
    </row>
    <row r="12" spans="1:6">
      <c r="A12" s="4" t="s">
        <v>816</v>
      </c>
      <c r="B12" s="9" t="s">
        <v>817</v>
      </c>
      <c r="C12" s="15"/>
      <c r="D12" s="202">
        <v>1</v>
      </c>
      <c r="E12" s="307">
        <v>1.06</v>
      </c>
    </row>
    <row r="13" spans="1:6" ht="26.4">
      <c r="A13" s="4" t="s">
        <v>818</v>
      </c>
      <c r="B13" s="9" t="s">
        <v>819</v>
      </c>
      <c r="C13" s="15" t="s">
        <v>815</v>
      </c>
      <c r="D13" s="202"/>
      <c r="E13" s="202"/>
    </row>
    <row r="14" spans="1:6">
      <c r="A14" s="4" t="s">
        <v>820</v>
      </c>
      <c r="B14" s="9" t="s">
        <v>821</v>
      </c>
      <c r="C14" s="15"/>
      <c r="D14" s="305"/>
      <c r="E14" s="305"/>
    </row>
    <row r="15" spans="1:6" ht="30" customHeight="1">
      <c r="A15" s="4" t="s">
        <v>822</v>
      </c>
      <c r="B15" s="9" t="s">
        <v>823</v>
      </c>
      <c r="C15" s="15" t="s">
        <v>815</v>
      </c>
      <c r="D15" s="202"/>
      <c r="E15" s="202"/>
    </row>
    <row r="16" spans="1:6">
      <c r="A16" s="4" t="s">
        <v>824</v>
      </c>
      <c r="B16" s="9" t="s">
        <v>825</v>
      </c>
      <c r="C16" s="15" t="s">
        <v>826</v>
      </c>
      <c r="D16" s="306"/>
      <c r="E16" s="306">
        <v>0</v>
      </c>
    </row>
    <row r="17" spans="1:11" ht="26.25" customHeight="1">
      <c r="A17" s="4" t="s">
        <v>827</v>
      </c>
      <c r="B17" s="9" t="s">
        <v>636</v>
      </c>
      <c r="C17" s="15"/>
      <c r="D17" s="9"/>
      <c r="E17" s="9"/>
    </row>
    <row r="18" spans="1:11" ht="14.25" customHeight="1">
      <c r="A18" s="4" t="s">
        <v>0</v>
      </c>
      <c r="B18" s="9" t="s">
        <v>1</v>
      </c>
      <c r="C18" s="15" t="s">
        <v>683</v>
      </c>
      <c r="D18" s="35"/>
      <c r="E18" s="35">
        <v>0</v>
      </c>
    </row>
    <row r="19" spans="1:11" ht="13.5" customHeight="1">
      <c r="A19" s="4" t="s">
        <v>2</v>
      </c>
      <c r="B19" s="9" t="s">
        <v>3</v>
      </c>
      <c r="C19" s="15" t="s">
        <v>815</v>
      </c>
      <c r="D19" s="114">
        <v>0</v>
      </c>
      <c r="E19" s="194">
        <v>0</v>
      </c>
    </row>
    <row r="20" spans="1:11">
      <c r="A20" s="4" t="s">
        <v>4</v>
      </c>
      <c r="B20" s="9" t="s">
        <v>618</v>
      </c>
      <c r="C20" s="15"/>
      <c r="D20" s="9"/>
      <c r="E20" s="9"/>
    </row>
    <row r="21" spans="1:11" ht="15" customHeight="1">
      <c r="A21" s="4" t="s">
        <v>5</v>
      </c>
      <c r="B21" s="9" t="s">
        <v>1</v>
      </c>
      <c r="C21" s="15" t="s">
        <v>683</v>
      </c>
      <c r="D21" s="35"/>
      <c r="E21" s="35">
        <v>0</v>
      </c>
    </row>
    <row r="22" spans="1:11" ht="14.25" customHeight="1">
      <c r="A22" s="4" t="s">
        <v>6</v>
      </c>
      <c r="B22" s="9" t="s">
        <v>3</v>
      </c>
      <c r="C22" s="15" t="s">
        <v>815</v>
      </c>
      <c r="D22" s="114">
        <v>0</v>
      </c>
      <c r="E22" s="114">
        <v>0</v>
      </c>
    </row>
    <row r="23" spans="1:11">
      <c r="A23" s="4" t="s">
        <v>7</v>
      </c>
      <c r="B23" s="9" t="s">
        <v>8</v>
      </c>
      <c r="C23" s="15"/>
      <c r="D23" s="9"/>
      <c r="E23" s="9"/>
    </row>
    <row r="24" spans="1:11" ht="14.25" customHeight="1">
      <c r="A24" s="4" t="s">
        <v>9</v>
      </c>
      <c r="B24" s="9" t="s">
        <v>1</v>
      </c>
      <c r="C24" s="15" t="s">
        <v>683</v>
      </c>
      <c r="D24" s="141">
        <v>0</v>
      </c>
      <c r="E24" s="141">
        <v>0</v>
      </c>
    </row>
    <row r="25" spans="1:11" ht="14.25" customHeight="1">
      <c r="A25" s="4" t="s">
        <v>10</v>
      </c>
      <c r="B25" s="9" t="s">
        <v>3</v>
      </c>
      <c r="C25" s="15" t="s">
        <v>815</v>
      </c>
      <c r="D25" s="141">
        <v>0</v>
      </c>
      <c r="E25" s="141">
        <v>0</v>
      </c>
    </row>
    <row r="26" spans="1:11" ht="14.25" customHeight="1">
      <c r="A26" s="4" t="s">
        <v>11</v>
      </c>
      <c r="B26" s="9" t="s">
        <v>12</v>
      </c>
      <c r="C26" s="15"/>
      <c r="D26" s="9"/>
      <c r="E26" s="9"/>
    </row>
    <row r="27" spans="1:11" ht="12.75" customHeight="1">
      <c r="A27" s="4" t="s">
        <v>13</v>
      </c>
      <c r="B27" s="9" t="s">
        <v>1</v>
      </c>
      <c r="C27" s="15" t="s">
        <v>683</v>
      </c>
      <c r="D27" s="141"/>
      <c r="E27" s="141">
        <v>0</v>
      </c>
    </row>
    <row r="28" spans="1:11" ht="13.5" customHeight="1">
      <c r="A28" s="4" t="s">
        <v>14</v>
      </c>
      <c r="B28" s="9" t="s">
        <v>3</v>
      </c>
      <c r="C28" s="15" t="s">
        <v>815</v>
      </c>
      <c r="D28" s="141">
        <v>0</v>
      </c>
      <c r="E28" s="141">
        <v>0</v>
      </c>
    </row>
    <row r="29" spans="1:11" ht="27" customHeight="1">
      <c r="A29" s="4" t="s">
        <v>15</v>
      </c>
      <c r="B29" s="9" t="s">
        <v>637</v>
      </c>
      <c r="C29" s="15"/>
      <c r="D29" s="9"/>
      <c r="E29" s="9"/>
      <c r="H29" s="10" t="s">
        <v>496</v>
      </c>
    </row>
    <row r="30" spans="1:11" ht="15" customHeight="1">
      <c r="A30" s="4" t="s">
        <v>16</v>
      </c>
      <c r="B30" s="9" t="s">
        <v>1</v>
      </c>
      <c r="C30" s="15" t="s">
        <v>683</v>
      </c>
      <c r="D30" s="9"/>
      <c r="E30" s="9"/>
    </row>
    <row r="31" spans="1:11" ht="15" customHeight="1">
      <c r="A31" s="4" t="s">
        <v>17</v>
      </c>
      <c r="B31" s="9" t="s">
        <v>3</v>
      </c>
      <c r="C31" s="15" t="s">
        <v>815</v>
      </c>
      <c r="D31" s="9"/>
      <c r="E31" s="9"/>
      <c r="I31" s="195"/>
      <c r="J31" s="195"/>
      <c r="K31" s="196"/>
    </row>
    <row r="32" spans="1:11" ht="26.4">
      <c r="A32" s="4" t="s">
        <v>18</v>
      </c>
      <c r="B32" s="9" t="s">
        <v>19</v>
      </c>
      <c r="C32" s="15" t="s">
        <v>815</v>
      </c>
      <c r="D32" s="114">
        <v>0</v>
      </c>
      <c r="E32" s="114">
        <v>0</v>
      </c>
      <c r="H32" s="193" t="e">
        <v>#DIV/0!</v>
      </c>
      <c r="I32" s="195"/>
      <c r="J32" s="197"/>
      <c r="K32" s="196"/>
    </row>
    <row r="33" spans="1:13" ht="27" customHeight="1">
      <c r="A33" s="4" t="s">
        <v>20</v>
      </c>
      <c r="B33" s="9" t="s">
        <v>21</v>
      </c>
      <c r="C33" s="15"/>
      <c r="D33" s="9"/>
      <c r="E33" s="9"/>
    </row>
    <row r="34" spans="1:13" ht="14.25" customHeight="1">
      <c r="A34" s="4" t="s">
        <v>22</v>
      </c>
      <c r="B34" s="9" t="s">
        <v>23</v>
      </c>
      <c r="C34" s="15" t="s">
        <v>24</v>
      </c>
      <c r="D34" s="9"/>
      <c r="E34" s="9"/>
    </row>
    <row r="35" spans="1:13" ht="15.75" customHeight="1">
      <c r="A35" s="4" t="s">
        <v>25</v>
      </c>
      <c r="B35" s="9" t="s">
        <v>26</v>
      </c>
      <c r="C35" s="15" t="s">
        <v>826</v>
      </c>
      <c r="D35" s="9"/>
      <c r="E35" s="9"/>
    </row>
    <row r="36" spans="1:13" ht="14.25" customHeight="1">
      <c r="A36" s="4" t="s">
        <v>27</v>
      </c>
      <c r="B36" s="9" t="s">
        <v>28</v>
      </c>
      <c r="C36" s="15" t="s">
        <v>826</v>
      </c>
      <c r="D36" s="9"/>
      <c r="E36" s="9"/>
    </row>
    <row r="37" spans="1:13" ht="39.75" customHeight="1">
      <c r="A37" s="4" t="s">
        <v>29</v>
      </c>
      <c r="B37" s="9" t="s">
        <v>30</v>
      </c>
      <c r="C37" s="15"/>
      <c r="D37" s="9"/>
      <c r="E37" s="9"/>
    </row>
    <row r="38" spans="1:13" ht="27" customHeight="1">
      <c r="A38" s="4" t="s">
        <v>31</v>
      </c>
      <c r="B38" s="9" t="s">
        <v>32</v>
      </c>
      <c r="C38" s="15" t="s">
        <v>810</v>
      </c>
      <c r="D38" s="9"/>
      <c r="E38" s="9"/>
    </row>
    <row r="39" spans="1:13" ht="26.4">
      <c r="A39" s="4" t="s">
        <v>33</v>
      </c>
      <c r="B39" s="9" t="s">
        <v>34</v>
      </c>
      <c r="C39" s="15" t="s">
        <v>815</v>
      </c>
      <c r="D39" s="9"/>
      <c r="E39" s="9"/>
    </row>
    <row r="40" spans="1:13" ht="15.75" customHeight="1">
      <c r="A40" s="4" t="s">
        <v>35</v>
      </c>
      <c r="B40" s="9" t="s">
        <v>36</v>
      </c>
      <c r="C40" s="15" t="s">
        <v>24</v>
      </c>
      <c r="D40" s="9"/>
      <c r="E40" s="9"/>
    </row>
    <row r="41" spans="1:13" ht="16.5" customHeight="1">
      <c r="A41" s="4" t="s">
        <v>37</v>
      </c>
      <c r="B41" s="9" t="s">
        <v>38</v>
      </c>
      <c r="C41" s="15" t="s">
        <v>24</v>
      </c>
      <c r="D41" s="9"/>
      <c r="E41" s="9"/>
    </row>
    <row r="42" spans="1:13" ht="25.5" customHeight="1">
      <c r="A42" s="2" t="s">
        <v>39</v>
      </c>
      <c r="B42" s="32" t="s">
        <v>40</v>
      </c>
      <c r="C42" s="13" t="s">
        <v>24</v>
      </c>
      <c r="D42" s="32"/>
      <c r="E42" s="32"/>
    </row>
    <row r="43" spans="1:13">
      <c r="A43" s="2" t="s">
        <v>41</v>
      </c>
      <c r="B43" s="32" t="s">
        <v>42</v>
      </c>
      <c r="C43" s="13"/>
      <c r="D43" s="32"/>
      <c r="E43" s="32"/>
    </row>
    <row r="44" spans="1:13" ht="26.4">
      <c r="A44" s="2" t="s">
        <v>43</v>
      </c>
      <c r="B44" s="32" t="s">
        <v>44</v>
      </c>
      <c r="C44" s="13" t="s">
        <v>810</v>
      </c>
      <c r="D44" s="607">
        <v>0</v>
      </c>
      <c r="E44" s="607">
        <v>0</v>
      </c>
    </row>
    <row r="45" spans="1:13" ht="15.75" customHeight="1">
      <c r="A45" s="4" t="s">
        <v>45</v>
      </c>
      <c r="B45" s="9" t="s">
        <v>46</v>
      </c>
      <c r="C45" s="15" t="s">
        <v>815</v>
      </c>
      <c r="D45" s="114">
        <v>0</v>
      </c>
      <c r="E45" s="114">
        <v>0</v>
      </c>
    </row>
    <row r="46" spans="1:13">
      <c r="A46" s="4" t="s">
        <v>47</v>
      </c>
      <c r="B46" s="9" t="s">
        <v>48</v>
      </c>
      <c r="C46" s="173" t="s">
        <v>503</v>
      </c>
      <c r="D46" s="77">
        <v>0</v>
      </c>
      <c r="E46" s="77">
        <v>0</v>
      </c>
      <c r="K46" s="289"/>
      <c r="L46" s="290"/>
      <c r="M46" s="201"/>
    </row>
    <row r="47" spans="1:13">
      <c r="A47" s="4" t="s">
        <v>49</v>
      </c>
      <c r="B47" s="9" t="s">
        <v>50</v>
      </c>
      <c r="C47" s="173" t="s">
        <v>503</v>
      </c>
      <c r="D47" s="142">
        <v>0</v>
      </c>
      <c r="E47" s="142">
        <v>0</v>
      </c>
      <c r="H47" s="143">
        <v>0</v>
      </c>
      <c r="I47" s="143">
        <v>0</v>
      </c>
      <c r="K47" s="291"/>
      <c r="L47" s="290"/>
      <c r="M47" s="201"/>
    </row>
    <row r="48" spans="1:13">
      <c r="A48" s="4" t="s">
        <v>51</v>
      </c>
      <c r="B48" s="9" t="s">
        <v>52</v>
      </c>
      <c r="C48" s="15" t="s">
        <v>815</v>
      </c>
      <c r="D48" s="114">
        <v>0</v>
      </c>
      <c r="E48" s="114">
        <v>0</v>
      </c>
      <c r="I48" s="143" t="e">
        <v>#REF!</v>
      </c>
      <c r="K48" s="287"/>
      <c r="L48" s="287"/>
      <c r="M48" s="287"/>
    </row>
    <row r="49" spans="1:13">
      <c r="A49" s="18"/>
      <c r="K49" s="287"/>
      <c r="L49" s="288"/>
      <c r="M49" s="287"/>
    </row>
    <row r="50" spans="1:13" s="776" customFormat="1" ht="23.25" customHeight="1">
      <c r="A50" s="839" t="s">
        <v>1266</v>
      </c>
      <c r="B50" s="774"/>
      <c r="C50" s="775"/>
      <c r="H50" s="777"/>
    </row>
    <row r="51" spans="1:13" s="776" customFormat="1" ht="15" customHeight="1">
      <c r="A51" s="839" t="s">
        <v>1304</v>
      </c>
      <c r="B51" s="778"/>
      <c r="C51" s="775"/>
      <c r="E51" s="779" t="s">
        <v>2876</v>
      </c>
      <c r="F51" s="780"/>
    </row>
    <row r="52" spans="1:13" s="52" customFormat="1" ht="11.25" customHeight="1"/>
    <row r="53" spans="1:13" s="52" customFormat="1">
      <c r="B53" s="98"/>
    </row>
    <row r="54" spans="1:13" s="52" customFormat="1">
      <c r="B54" s="98"/>
    </row>
  </sheetData>
  <phoneticPr fontId="0" type="noConversion"/>
  <printOptions horizontalCentered="1"/>
  <pageMargins left="0.78740157480314965" right="0.78740157480314965" top="0.78740157480314965" bottom="0.11811023622047245" header="0.51181102362204722" footer="3.937007874015748E-2"/>
  <pageSetup paperSize="9" scale="87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1" enableFormatConditionsCalculation="0">
    <tabColor rgb="FFCCFF66"/>
  </sheetPr>
  <dimension ref="A1:I42"/>
  <sheetViews>
    <sheetView workbookViewId="0">
      <selection activeCell="E1" sqref="E1:K1048576"/>
    </sheetView>
  </sheetViews>
  <sheetFormatPr defaultColWidth="9.109375" defaultRowHeight="13.2"/>
  <cols>
    <col min="1" max="1" width="5.5546875" style="10" customWidth="1"/>
    <col min="2" max="2" width="38.5546875" style="10" customWidth="1"/>
    <col min="3" max="3" width="22.33203125" style="10" customWidth="1"/>
    <col min="4" max="4" width="21.5546875" style="10" customWidth="1"/>
    <col min="5" max="11" width="0" style="10" hidden="1" customWidth="1"/>
    <col min="12" max="16384" width="9.109375" style="10"/>
  </cols>
  <sheetData>
    <row r="1" spans="1:9">
      <c r="D1" s="11" t="s">
        <v>53</v>
      </c>
    </row>
    <row r="2" spans="1:9">
      <c r="A2" s="6"/>
    </row>
    <row r="3" spans="1:9" ht="15.6">
      <c r="A3" s="109" t="s">
        <v>629</v>
      </c>
      <c r="B3" s="110"/>
      <c r="C3" s="110"/>
      <c r="D3" s="110"/>
    </row>
    <row r="4" spans="1:9" ht="18" customHeight="1">
      <c r="A4" s="109" t="s">
        <v>630</v>
      </c>
      <c r="B4" s="109"/>
      <c r="C4" s="109"/>
      <c r="D4" s="109"/>
    </row>
    <row r="5" spans="1:9" ht="18" customHeight="1">
      <c r="A5" s="109" t="s">
        <v>2535</v>
      </c>
      <c r="B5" s="109"/>
      <c r="C5" s="109"/>
      <c r="D5" s="109"/>
      <c r="E5" s="84"/>
      <c r="F5" s="84"/>
      <c r="G5" s="84"/>
    </row>
    <row r="6" spans="1:9" ht="18" customHeight="1">
      <c r="A6" s="109"/>
      <c r="B6" s="109"/>
      <c r="C6" s="109"/>
      <c r="D6" s="109"/>
      <c r="E6" s="84"/>
      <c r="F6" s="84"/>
      <c r="G6" s="84"/>
    </row>
    <row r="7" spans="1:9">
      <c r="C7" s="872" t="s">
        <v>1401</v>
      </c>
      <c r="D7" s="11" t="s">
        <v>24</v>
      </c>
    </row>
    <row r="8" spans="1:9">
      <c r="A8" s="17" t="s">
        <v>54</v>
      </c>
      <c r="B8" s="17" t="s">
        <v>696</v>
      </c>
      <c r="C8" s="17" t="s">
        <v>799</v>
      </c>
      <c r="D8" s="17" t="s">
        <v>730</v>
      </c>
    </row>
    <row r="9" spans="1:9" ht="39.6">
      <c r="A9" s="14" t="s">
        <v>55</v>
      </c>
      <c r="B9" s="130" t="s">
        <v>635</v>
      </c>
      <c r="C9" s="147">
        <v>5465.6813739383351</v>
      </c>
      <c r="D9" s="2090">
        <v>5465.6813739383351</v>
      </c>
      <c r="G9" s="10">
        <v>11768.208000000001</v>
      </c>
    </row>
    <row r="10" spans="1:9" ht="39.6">
      <c r="A10" s="14" t="s">
        <v>207</v>
      </c>
      <c r="B10" s="16" t="s">
        <v>634</v>
      </c>
      <c r="C10" s="147">
        <v>998.74361672660018</v>
      </c>
      <c r="D10" s="2090">
        <v>864.12181805287491</v>
      </c>
      <c r="F10" s="10">
        <v>864.12181805287469</v>
      </c>
      <c r="G10" s="151">
        <v>5955.6017382762993</v>
      </c>
      <c r="H10" s="160">
        <v>864.12181805287491</v>
      </c>
    </row>
    <row r="11" spans="1:9" ht="19.5" customHeight="1">
      <c r="A11" s="14" t="s">
        <v>208</v>
      </c>
      <c r="B11" s="9" t="s">
        <v>57</v>
      </c>
      <c r="C11" s="141">
        <v>0</v>
      </c>
      <c r="D11" s="2908">
        <v>0</v>
      </c>
    </row>
    <row r="12" spans="1:9" ht="27.75" customHeight="1">
      <c r="A12" s="14" t="s">
        <v>210</v>
      </c>
      <c r="B12" s="9" t="s">
        <v>58</v>
      </c>
      <c r="C12" s="141">
        <v>0</v>
      </c>
      <c r="D12" s="2908">
        <v>0</v>
      </c>
    </row>
    <row r="13" spans="1:9" ht="27" customHeight="1">
      <c r="A13" s="14" t="s">
        <v>212</v>
      </c>
      <c r="B13" s="9" t="s">
        <v>878</v>
      </c>
      <c r="C13" s="147">
        <v>931.43271738973749</v>
      </c>
      <c r="D13" s="2090">
        <v>808.62835843884818</v>
      </c>
      <c r="F13" s="60"/>
      <c r="G13" s="151">
        <v>808.62835843884818</v>
      </c>
      <c r="H13" s="151">
        <v>808.62835843884841</v>
      </c>
      <c r="I13" s="151">
        <v>18.400251941408957</v>
      </c>
    </row>
    <row r="14" spans="1:9" ht="13.5" customHeight="1">
      <c r="A14" s="14" t="s">
        <v>215</v>
      </c>
      <c r="B14" s="9" t="s">
        <v>60</v>
      </c>
      <c r="C14" s="149">
        <v>2.4630378074293535</v>
      </c>
      <c r="D14" s="3008">
        <v>2.0306145132657196</v>
      </c>
      <c r="I14" s="151">
        <v>-0.51042805575429284</v>
      </c>
    </row>
    <row r="15" spans="1:9" ht="16.5" customHeight="1">
      <c r="A15" s="14" t="s">
        <v>218</v>
      </c>
      <c r="B15" s="9" t="s">
        <v>61</v>
      </c>
      <c r="C15" s="148">
        <v>134.62179867372532</v>
      </c>
      <c r="D15" s="3009">
        <v>110.98691922805301</v>
      </c>
      <c r="E15" s="64"/>
      <c r="G15" s="10">
        <v>134.62179867372532</v>
      </c>
    </row>
    <row r="16" spans="1:9" ht="26.4">
      <c r="A16" s="2916" t="s">
        <v>226</v>
      </c>
      <c r="B16" s="2917" t="s">
        <v>2696</v>
      </c>
      <c r="C16" s="148">
        <v>20.491519782574226</v>
      </c>
      <c r="D16" s="3009">
        <v>17.889823885654664</v>
      </c>
      <c r="E16" s="64"/>
      <c r="G16" s="10">
        <v>851.98800000000006</v>
      </c>
    </row>
    <row r="17" spans="1:8">
      <c r="A17" s="18"/>
    </row>
    <row r="18" spans="1:8">
      <c r="A18" s="34"/>
    </row>
    <row r="19" spans="1:8">
      <c r="A19" s="34"/>
      <c r="E19" s="34"/>
    </row>
    <row r="20" spans="1:8">
      <c r="A20" s="34"/>
      <c r="E20" s="34"/>
    </row>
    <row r="22" spans="1:8" s="776" customFormat="1" ht="23.25" customHeight="1">
      <c r="A22" s="839" t="s">
        <v>1266</v>
      </c>
      <c r="B22" s="774"/>
      <c r="C22" s="775"/>
      <c r="H22" s="777"/>
    </row>
    <row r="23" spans="1:8" s="776" customFormat="1" ht="15" customHeight="1">
      <c r="A23" s="839" t="s">
        <v>1304</v>
      </c>
      <c r="B23" s="778"/>
      <c r="C23" s="775"/>
      <c r="D23" s="779" t="s">
        <v>2876</v>
      </c>
      <c r="F23" s="780"/>
    </row>
    <row r="24" spans="1:8" s="52" customFormat="1"/>
    <row r="25" spans="1:8" s="52" customFormat="1"/>
    <row r="26" spans="1:8">
      <c r="A26" s="4189"/>
      <c r="B26" s="4190"/>
      <c r="C26" s="4190"/>
      <c r="D26" s="4190"/>
      <c r="E26" s="4190"/>
      <c r="F26" s="4190"/>
      <c r="G26" s="4190"/>
    </row>
    <row r="41" spans="1:1">
      <c r="A41" s="98"/>
    </row>
    <row r="42" spans="1:1">
      <c r="A42" s="98"/>
    </row>
  </sheetData>
  <mergeCells count="1">
    <mergeCell ref="A26:G26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2" enableFormatConditionsCalculation="0">
    <tabColor rgb="FFCCFF66"/>
  </sheetPr>
  <dimension ref="A1:O54"/>
  <sheetViews>
    <sheetView workbookViewId="0">
      <pane ySplit="13" topLeftCell="A19" activePane="bottomLeft" state="frozen"/>
      <selection activeCell="B32" sqref="A1:XFD1048576"/>
      <selection pane="bottomLeft" activeCell="A7" sqref="A7"/>
    </sheetView>
  </sheetViews>
  <sheetFormatPr defaultColWidth="9.109375" defaultRowHeight="13.2"/>
  <cols>
    <col min="1" max="1" width="14.33203125" style="201" customWidth="1"/>
    <col min="2" max="2" width="12.88671875" style="201" customWidth="1"/>
    <col min="3" max="3" width="11.109375" style="201" customWidth="1"/>
    <col min="4" max="4" width="11" style="201" customWidth="1"/>
    <col min="5" max="6" width="12.33203125" style="201" customWidth="1"/>
    <col min="7" max="7" width="10.33203125" style="201" customWidth="1"/>
    <col min="8" max="8" width="0" style="201" hidden="1" customWidth="1"/>
    <col min="9" max="9" width="0" style="290" hidden="1" customWidth="1"/>
    <col min="10" max="12" width="10" style="201" hidden="1" customWidth="1"/>
    <col min="13" max="13" width="0" style="201" hidden="1" customWidth="1"/>
    <col min="14" max="16384" width="9.109375" style="201"/>
  </cols>
  <sheetData>
    <row r="1" spans="1:7">
      <c r="G1" s="278" t="s">
        <v>62</v>
      </c>
    </row>
    <row r="2" spans="1:7" ht="13.5" customHeight="1">
      <c r="A2" s="280" t="s">
        <v>63</v>
      </c>
      <c r="B2" s="280"/>
      <c r="C2" s="280"/>
      <c r="D2" s="280"/>
      <c r="E2" s="280"/>
      <c r="F2" s="280"/>
      <c r="G2" s="280"/>
    </row>
    <row r="3" spans="1:7" ht="15.6">
      <c r="A3" s="280" t="s">
        <v>64</v>
      </c>
      <c r="B3" s="280"/>
      <c r="C3" s="280"/>
      <c r="D3" s="280"/>
      <c r="E3" s="280"/>
      <c r="F3" s="280"/>
      <c r="G3" s="280"/>
    </row>
    <row r="4" spans="1:7" ht="18" customHeight="1">
      <c r="A4" s="280" t="s">
        <v>65</v>
      </c>
      <c r="B4" s="280"/>
      <c r="C4" s="280"/>
      <c r="D4" s="280"/>
      <c r="E4" s="280"/>
      <c r="F4" s="280"/>
      <c r="G4" s="280"/>
    </row>
    <row r="5" spans="1:7" ht="18" customHeight="1">
      <c r="A5" s="280" t="s">
        <v>2487</v>
      </c>
      <c r="B5" s="280"/>
      <c r="C5" s="280"/>
      <c r="D5" s="280"/>
      <c r="E5" s="280"/>
      <c r="F5" s="280"/>
      <c r="G5" s="280"/>
    </row>
    <row r="6" spans="1:7" ht="16.5" customHeight="1">
      <c r="A6" s="280" t="s">
        <v>2965</v>
      </c>
      <c r="B6" s="280"/>
      <c r="C6" s="280"/>
      <c r="D6" s="280"/>
      <c r="E6" s="280"/>
      <c r="F6" s="280"/>
      <c r="G6" s="280"/>
    </row>
    <row r="7" spans="1:7" ht="16.5" customHeight="1">
      <c r="A7" s="280"/>
      <c r="B7" s="280"/>
      <c r="C7" s="280"/>
      <c r="D7" s="280"/>
      <c r="E7" s="280"/>
      <c r="F7" s="280"/>
      <c r="G7" s="280"/>
    </row>
    <row r="8" spans="1:7" ht="13.5" customHeight="1">
      <c r="A8" s="1286"/>
      <c r="B8" s="1286"/>
      <c r="C8" s="1286"/>
      <c r="D8" s="1286"/>
      <c r="F8" s="916" t="s">
        <v>1401</v>
      </c>
      <c r="G8" s="1286" t="s">
        <v>601</v>
      </c>
    </row>
    <row r="9" spans="1:7" ht="12.75" customHeight="1">
      <c r="A9" s="4193"/>
      <c r="B9" s="1276" t="s">
        <v>66</v>
      </c>
      <c r="C9" s="1276" t="s">
        <v>70</v>
      </c>
      <c r="D9" s="1276" t="s">
        <v>74</v>
      </c>
      <c r="E9" s="1276" t="s">
        <v>79</v>
      </c>
      <c r="F9" s="1276" t="s">
        <v>84</v>
      </c>
      <c r="G9" s="4196" t="s">
        <v>87</v>
      </c>
    </row>
    <row r="10" spans="1:7" ht="14.25" customHeight="1">
      <c r="A10" s="4194"/>
      <c r="B10" s="1288" t="s">
        <v>67</v>
      </c>
      <c r="C10" s="1288" t="s">
        <v>71</v>
      </c>
      <c r="D10" s="1288" t="s">
        <v>75</v>
      </c>
      <c r="E10" s="1288" t="s">
        <v>80</v>
      </c>
      <c r="F10" s="1288" t="s">
        <v>85</v>
      </c>
      <c r="G10" s="4197"/>
    </row>
    <row r="11" spans="1:7" ht="13.5" customHeight="1">
      <c r="A11" s="4194"/>
      <c r="B11" s="1288" t="s">
        <v>68</v>
      </c>
      <c r="C11" s="1288" t="s">
        <v>72</v>
      </c>
      <c r="D11" s="1288" t="s">
        <v>76</v>
      </c>
      <c r="E11" s="1288" t="s">
        <v>81</v>
      </c>
      <c r="F11" s="1288" t="s">
        <v>86</v>
      </c>
      <c r="G11" s="4197"/>
    </row>
    <row r="12" spans="1:7">
      <c r="A12" s="4194"/>
      <c r="B12" s="1288" t="s">
        <v>69</v>
      </c>
      <c r="C12" s="1288" t="s">
        <v>73</v>
      </c>
      <c r="D12" s="1288" t="s">
        <v>77</v>
      </c>
      <c r="E12" s="1288" t="s">
        <v>82</v>
      </c>
      <c r="F12" s="1289"/>
      <c r="G12" s="4197"/>
    </row>
    <row r="13" spans="1:7">
      <c r="A13" s="4195"/>
      <c r="B13" s="302"/>
      <c r="C13" s="302"/>
      <c r="D13" s="518" t="s">
        <v>78</v>
      </c>
      <c r="E13" s="518" t="s">
        <v>83</v>
      </c>
      <c r="F13" s="302"/>
      <c r="G13" s="4198"/>
    </row>
    <row r="14" spans="1:7" ht="27.75" customHeight="1">
      <c r="A14" s="1290" t="s">
        <v>88</v>
      </c>
      <c r="B14" s="516">
        <v>286574.90469475294</v>
      </c>
      <c r="C14" s="101">
        <v>0</v>
      </c>
      <c r="D14" s="101">
        <v>0</v>
      </c>
      <c r="E14" s="516">
        <v>249496.83544793946</v>
      </c>
      <c r="F14" s="516">
        <v>268035.87007134617</v>
      </c>
      <c r="G14" s="516">
        <v>37078.069246813466</v>
      </c>
    </row>
    <row r="15" spans="1:7">
      <c r="A15" s="303" t="s">
        <v>89</v>
      </c>
      <c r="B15" s="516">
        <v>0</v>
      </c>
      <c r="C15" s="101">
        <v>0</v>
      </c>
      <c r="D15" s="101">
        <v>0</v>
      </c>
      <c r="E15" s="516">
        <v>0</v>
      </c>
      <c r="F15" s="101">
        <v>0</v>
      </c>
      <c r="G15" s="516">
        <v>0</v>
      </c>
    </row>
    <row r="16" spans="1:7">
      <c r="A16" s="303" t="s">
        <v>697</v>
      </c>
      <c r="B16" s="101">
        <v>0</v>
      </c>
      <c r="C16" s="101">
        <v>0</v>
      </c>
      <c r="D16" s="101">
        <v>0</v>
      </c>
      <c r="E16" s="101">
        <v>0</v>
      </c>
      <c r="F16" s="101">
        <v>0</v>
      </c>
      <c r="G16" s="101">
        <v>0</v>
      </c>
    </row>
    <row r="17" spans="1:15">
      <c r="A17" s="303" t="s">
        <v>676</v>
      </c>
      <c r="B17" s="101">
        <v>0</v>
      </c>
      <c r="C17" s="101">
        <v>0</v>
      </c>
      <c r="D17" s="101">
        <v>0</v>
      </c>
      <c r="E17" s="101">
        <v>0</v>
      </c>
      <c r="F17" s="101">
        <v>0</v>
      </c>
      <c r="G17" s="101">
        <v>0</v>
      </c>
    </row>
    <row r="18" spans="1:15">
      <c r="A18" s="303" t="s">
        <v>677</v>
      </c>
      <c r="B18" s="516">
        <v>0</v>
      </c>
      <c r="C18" s="101">
        <v>0</v>
      </c>
      <c r="D18" s="101">
        <v>0</v>
      </c>
      <c r="E18" s="516">
        <v>0</v>
      </c>
      <c r="F18" s="101">
        <v>0</v>
      </c>
      <c r="G18" s="516">
        <v>0</v>
      </c>
    </row>
    <row r="19" spans="1:15">
      <c r="A19" s="303" t="s">
        <v>681</v>
      </c>
      <c r="B19" s="516">
        <v>0</v>
      </c>
      <c r="C19" s="101">
        <v>0</v>
      </c>
      <c r="D19" s="101">
        <v>0</v>
      </c>
      <c r="E19" s="516">
        <v>0</v>
      </c>
      <c r="F19" s="101">
        <v>0</v>
      </c>
      <c r="G19" s="516">
        <v>0</v>
      </c>
      <c r="K19" s="201" t="s">
        <v>879</v>
      </c>
      <c r="L19" s="201" t="s">
        <v>880</v>
      </c>
    </row>
    <row r="20" spans="1:15" s="837" customFormat="1">
      <c r="A20" s="303" t="s">
        <v>90</v>
      </c>
      <c r="B20" s="307">
        <v>286574.90469475294</v>
      </c>
      <c r="C20" s="141">
        <v>0</v>
      </c>
      <c r="D20" s="141">
        <v>0</v>
      </c>
      <c r="E20" s="516">
        <v>249496.83544793946</v>
      </c>
      <c r="F20" s="307">
        <v>268035.87007134617</v>
      </c>
      <c r="G20" s="307">
        <v>37078.069246813466</v>
      </c>
      <c r="I20" s="296"/>
      <c r="J20" s="296">
        <v>1929973</v>
      </c>
      <c r="K20" s="1291">
        <v>359820</v>
      </c>
      <c r="L20" s="1291">
        <v>1570153</v>
      </c>
    </row>
    <row r="21" spans="1:15">
      <c r="A21" s="303" t="s">
        <v>697</v>
      </c>
      <c r="B21" s="101">
        <v>0</v>
      </c>
      <c r="C21" s="101">
        <v>0</v>
      </c>
      <c r="D21" s="101">
        <v>0</v>
      </c>
      <c r="E21" s="101">
        <v>0</v>
      </c>
      <c r="F21" s="101">
        <v>0</v>
      </c>
      <c r="G21" s="101">
        <v>0</v>
      </c>
    </row>
    <row r="22" spans="1:15">
      <c r="A22" s="303" t="s">
        <v>676</v>
      </c>
      <c r="B22" s="101">
        <v>0</v>
      </c>
      <c r="C22" s="101">
        <v>0</v>
      </c>
      <c r="D22" s="101">
        <v>0</v>
      </c>
      <c r="E22" s="101">
        <v>0</v>
      </c>
      <c r="F22" s="101">
        <v>0</v>
      </c>
      <c r="G22" s="101">
        <v>0</v>
      </c>
    </row>
    <row r="23" spans="1:15" s="837" customFormat="1">
      <c r="A23" s="303" t="s">
        <v>677</v>
      </c>
      <c r="B23" s="307">
        <v>286574.90469475294</v>
      </c>
      <c r="C23" s="141">
        <v>0</v>
      </c>
      <c r="D23" s="141">
        <v>0</v>
      </c>
      <c r="E23" s="516">
        <v>249496.83544793946</v>
      </c>
      <c r="F23" s="307">
        <v>268035.87007134617</v>
      </c>
      <c r="G23" s="307">
        <v>37078.069246813466</v>
      </c>
      <c r="I23" s="1292"/>
    </row>
    <row r="24" spans="1:15" s="837" customFormat="1">
      <c r="A24" s="303" t="s">
        <v>681</v>
      </c>
      <c r="B24" s="141">
        <v>0</v>
      </c>
      <c r="C24" s="141">
        <v>0</v>
      </c>
      <c r="D24" s="141">
        <v>0</v>
      </c>
      <c r="E24" s="141">
        <v>0</v>
      </c>
      <c r="F24" s="141">
        <v>0</v>
      </c>
      <c r="G24" s="141">
        <v>0</v>
      </c>
      <c r="I24" s="1292"/>
    </row>
    <row r="25" spans="1:15" ht="15.75" customHeight="1">
      <c r="A25" s="303" t="s">
        <v>91</v>
      </c>
      <c r="B25" s="1282">
        <v>577546.91335812176</v>
      </c>
      <c r="C25" s="101">
        <v>0</v>
      </c>
      <c r="D25" s="101">
        <v>0</v>
      </c>
      <c r="E25" s="1282">
        <v>503638.06337688223</v>
      </c>
      <c r="F25" s="1282">
        <v>540592.488367502</v>
      </c>
      <c r="G25" s="1282">
        <v>73908.849981239546</v>
      </c>
      <c r="H25" s="1284"/>
      <c r="J25" s="1285">
        <v>4025628.7382762991</v>
      </c>
      <c r="K25" s="1293">
        <v>802762.39543726237</v>
      </c>
      <c r="L25" s="1293">
        <v>3443966.3428390366</v>
      </c>
    </row>
    <row r="26" spans="1:15">
      <c r="A26" s="303" t="s">
        <v>697</v>
      </c>
      <c r="B26" s="101">
        <v>0</v>
      </c>
      <c r="C26" s="101">
        <v>0</v>
      </c>
      <c r="D26" s="101">
        <v>0</v>
      </c>
      <c r="E26" s="101">
        <v>0</v>
      </c>
      <c r="F26" s="101">
        <v>0</v>
      </c>
      <c r="G26" s="101">
        <v>0</v>
      </c>
    </row>
    <row r="27" spans="1:15">
      <c r="A27" s="303" t="s">
        <v>676</v>
      </c>
      <c r="B27" s="101">
        <v>0</v>
      </c>
      <c r="C27" s="101">
        <v>0</v>
      </c>
      <c r="D27" s="101">
        <v>0</v>
      </c>
      <c r="E27" s="101">
        <v>0</v>
      </c>
      <c r="F27" s="101">
        <v>0</v>
      </c>
      <c r="G27" s="101">
        <v>0</v>
      </c>
    </row>
    <row r="28" spans="1:15" s="837" customFormat="1">
      <c r="A28" s="303" t="s">
        <v>677</v>
      </c>
      <c r="B28" s="1283">
        <v>577546.91335812176</v>
      </c>
      <c r="C28" s="141">
        <v>0</v>
      </c>
      <c r="D28" s="141">
        <v>0</v>
      </c>
      <c r="E28" s="516">
        <v>503638.06337688223</v>
      </c>
      <c r="F28" s="1282">
        <v>540592.488367502</v>
      </c>
      <c r="G28" s="1282">
        <v>73908.849981239546</v>
      </c>
      <c r="I28" s="1292"/>
    </row>
    <row r="29" spans="1:15">
      <c r="A29" s="303" t="s">
        <v>681</v>
      </c>
      <c r="B29" s="101">
        <v>0</v>
      </c>
      <c r="C29" s="101">
        <v>0</v>
      </c>
      <c r="D29" s="101">
        <v>0</v>
      </c>
      <c r="E29" s="101">
        <v>0</v>
      </c>
      <c r="F29" s="101">
        <v>0</v>
      </c>
      <c r="G29" s="101">
        <v>0</v>
      </c>
      <c r="H29" s="1284"/>
      <c r="J29" s="1285"/>
    </row>
    <row r="30" spans="1:15" ht="27.6" customHeight="1">
      <c r="A30" s="1294" t="s">
        <v>92</v>
      </c>
      <c r="B30" s="1295">
        <v>864121.81805287465</v>
      </c>
      <c r="C30" s="1277">
        <v>0</v>
      </c>
      <c r="D30" s="1277">
        <v>0</v>
      </c>
      <c r="E30" s="1295">
        <v>753134.89882482169</v>
      </c>
      <c r="F30" s="1296">
        <v>808628.35843884817</v>
      </c>
      <c r="G30" s="1296">
        <v>110986.91922805301</v>
      </c>
      <c r="J30" s="1285">
        <v>5955601.7382762991</v>
      </c>
      <c r="K30" s="1285">
        <v>802762.39543726237</v>
      </c>
      <c r="L30" s="1285">
        <v>5152839.3428390371</v>
      </c>
      <c r="M30" s="1285"/>
      <c r="N30" s="1285"/>
      <c r="O30" s="1285"/>
    </row>
    <row r="31" spans="1:15">
      <c r="A31" s="303" t="s">
        <v>697</v>
      </c>
      <c r="B31" s="101">
        <v>0</v>
      </c>
      <c r="C31" s="101">
        <v>0</v>
      </c>
      <c r="D31" s="101">
        <v>0</v>
      </c>
      <c r="E31" s="101">
        <v>0</v>
      </c>
      <c r="F31" s="101">
        <v>0</v>
      </c>
      <c r="G31" s="101">
        <v>0</v>
      </c>
      <c r="J31" s="1285"/>
      <c r="K31" s="1285"/>
      <c r="L31" s="1285"/>
      <c r="M31" s="1285"/>
      <c r="N31" s="1285"/>
      <c r="O31" s="1285"/>
    </row>
    <row r="32" spans="1:15">
      <c r="A32" s="303" t="s">
        <v>676</v>
      </c>
      <c r="B32" s="101">
        <v>0</v>
      </c>
      <c r="C32" s="101">
        <v>0</v>
      </c>
      <c r="D32" s="101">
        <v>0</v>
      </c>
      <c r="E32" s="101">
        <v>0</v>
      </c>
      <c r="F32" s="101">
        <v>0</v>
      </c>
      <c r="G32" s="101">
        <v>0</v>
      </c>
    </row>
    <row r="33" spans="1:12">
      <c r="A33" s="303" t="s">
        <v>677</v>
      </c>
      <c r="B33" s="1283">
        <v>864121.81805287465</v>
      </c>
      <c r="C33" s="101">
        <v>0</v>
      </c>
      <c r="D33" s="101">
        <v>0</v>
      </c>
      <c r="E33" s="1283">
        <v>753134.89882482169</v>
      </c>
      <c r="F33" s="1282">
        <v>808628.35843884817</v>
      </c>
      <c r="G33" s="1282">
        <v>110986.91922805301</v>
      </c>
    </row>
    <row r="34" spans="1:12">
      <c r="A34" s="303" t="s">
        <v>681</v>
      </c>
      <c r="B34" s="516">
        <v>0</v>
      </c>
      <c r="C34" s="101">
        <v>0</v>
      </c>
      <c r="D34" s="101">
        <v>0</v>
      </c>
      <c r="E34" s="516">
        <v>0</v>
      </c>
      <c r="F34" s="101">
        <v>0</v>
      </c>
      <c r="G34" s="516">
        <v>0</v>
      </c>
      <c r="L34" s="201">
        <v>17789.823885654663</v>
      </c>
    </row>
    <row r="35" spans="1:12">
      <c r="A35" s="278"/>
    </row>
    <row r="36" spans="1:12">
      <c r="A36" s="278"/>
    </row>
    <row r="39" spans="1:12" s="835" customFormat="1" ht="23.25" customHeight="1">
      <c r="A39" s="839" t="s">
        <v>1266</v>
      </c>
      <c r="B39" s="839"/>
      <c r="C39" s="834"/>
      <c r="H39" s="1297"/>
    </row>
    <row r="40" spans="1:12" s="835" customFormat="1" ht="15" customHeight="1">
      <c r="A40" s="839" t="s">
        <v>1304</v>
      </c>
      <c r="B40" s="840"/>
      <c r="C40" s="834"/>
      <c r="G40" s="841" t="s">
        <v>2876</v>
      </c>
    </row>
    <row r="41" spans="1:12" s="282" customFormat="1" ht="15.6">
      <c r="A41" s="865"/>
      <c r="C41" s="283"/>
      <c r="F41" s="172"/>
      <c r="L41" s="678"/>
    </row>
    <row r="42" spans="1:12" s="282" customFormat="1" ht="11.25" customHeight="1">
      <c r="I42" s="290"/>
    </row>
    <row r="43" spans="1:12" s="282" customFormat="1">
      <c r="I43" s="290"/>
    </row>
    <row r="44" spans="1:12" s="282" customFormat="1">
      <c r="I44" s="290"/>
    </row>
    <row r="45" spans="1:12">
      <c r="A45" s="4191"/>
      <c r="B45" s="4192"/>
      <c r="C45" s="4192"/>
      <c r="D45" s="4192"/>
      <c r="E45" s="4192"/>
      <c r="F45" s="4192"/>
      <c r="G45" s="4192"/>
    </row>
    <row r="53" spans="1:1">
      <c r="A53" s="98"/>
    </row>
    <row r="54" spans="1:1">
      <c r="A54" s="98"/>
    </row>
  </sheetData>
  <mergeCells count="3">
    <mergeCell ref="A45:G45"/>
    <mergeCell ref="A9:A13"/>
    <mergeCell ref="G9:G13"/>
  </mergeCells>
  <phoneticPr fontId="0" type="noConversion"/>
  <printOptions horizontalCentered="1"/>
  <pageMargins left="0.78740157480314965" right="0.78740157480314965" top="0.78740157480314965" bottom="0.11811023622047245" header="0.51181102362204722" footer="3.937007874015748E-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tabColor rgb="FFCCFF33"/>
  </sheetPr>
  <dimension ref="A1:O25"/>
  <sheetViews>
    <sheetView zoomScaleSheetLayoutView="75" workbookViewId="0">
      <selection activeCell="C6" sqref="C6:E6"/>
    </sheetView>
  </sheetViews>
  <sheetFormatPr defaultRowHeight="13.2"/>
  <cols>
    <col min="1" max="1" width="28.44140625" customWidth="1"/>
    <col min="2" max="2" width="6.6640625" customWidth="1"/>
    <col min="3" max="7" width="9.6640625" customWidth="1"/>
    <col min="8" max="8" width="9.6640625" style="2951" customWidth="1"/>
    <col min="9" max="9" width="9.6640625" customWidth="1"/>
    <col min="11" max="15" width="0" hidden="1" customWidth="1"/>
  </cols>
  <sheetData>
    <row r="1" spans="1:15" ht="19.5" customHeight="1">
      <c r="C1" s="3970" t="s">
        <v>1307</v>
      </c>
      <c r="D1" s="3970"/>
    </row>
    <row r="2" spans="1:15" ht="66.75" customHeight="1">
      <c r="A2" s="2137" t="s">
        <v>2533</v>
      </c>
      <c r="B2" s="844"/>
      <c r="C2" s="844"/>
      <c r="D2" s="844"/>
      <c r="E2" s="844"/>
      <c r="F2" s="844"/>
      <c r="G2" s="844"/>
      <c r="H2" s="844"/>
    </row>
    <row r="3" spans="1:15" ht="66.75" customHeight="1">
      <c r="A3" s="3971" t="s">
        <v>1308</v>
      </c>
      <c r="B3" s="3971"/>
      <c r="C3" s="3971"/>
      <c r="D3" s="3971"/>
      <c r="E3" s="3971"/>
      <c r="F3" s="3971"/>
      <c r="G3" s="3971"/>
      <c r="H3" s="2949"/>
    </row>
    <row r="4" spans="1:15" ht="42.75" customHeight="1">
      <c r="D4" s="872"/>
      <c r="G4" s="872"/>
      <c r="H4" s="872" t="s">
        <v>2389</v>
      </c>
    </row>
    <row r="5" spans="1:15" ht="46.8">
      <c r="A5" s="847" t="s">
        <v>1309</v>
      </c>
      <c r="B5" s="848" t="s">
        <v>805</v>
      </c>
      <c r="C5" s="848" t="s">
        <v>2749</v>
      </c>
      <c r="D5" s="848" t="s">
        <v>2861</v>
      </c>
      <c r="E5" s="848" t="s">
        <v>2860</v>
      </c>
      <c r="F5" s="848" t="s">
        <v>2933</v>
      </c>
      <c r="G5" s="848" t="s">
        <v>2862</v>
      </c>
      <c r="H5" s="848" t="s">
        <v>2863</v>
      </c>
      <c r="I5" s="848" t="s">
        <v>2864</v>
      </c>
      <c r="M5" s="2279" t="s">
        <v>871</v>
      </c>
      <c r="N5" s="2279" t="s">
        <v>2386</v>
      </c>
      <c r="O5" t="s">
        <v>1624</v>
      </c>
    </row>
    <row r="6" spans="1:15">
      <c r="A6" s="849" t="s">
        <v>1316</v>
      </c>
      <c r="B6" s="850" t="s">
        <v>1317</v>
      </c>
      <c r="C6" s="3378">
        <v>665</v>
      </c>
      <c r="D6" s="3378">
        <v>665</v>
      </c>
      <c r="E6" s="3378">
        <v>665</v>
      </c>
      <c r="F6" s="3131">
        <v>656.13</v>
      </c>
      <c r="G6" s="3131">
        <v>656.16269999999997</v>
      </c>
      <c r="H6" s="3131">
        <v>656.16269999999997</v>
      </c>
      <c r="I6" s="3131">
        <v>656.16269999999997</v>
      </c>
      <c r="M6" s="858">
        <v>665</v>
      </c>
      <c r="N6">
        <v>811.99699999999996</v>
      </c>
      <c r="O6">
        <v>541.09699999999998</v>
      </c>
    </row>
    <row r="8" spans="1:15" ht="45" customHeight="1">
      <c r="A8" s="3972" t="s">
        <v>1318</v>
      </c>
      <c r="B8" s="3972"/>
      <c r="C8" s="3972"/>
      <c r="D8" s="3972"/>
    </row>
    <row r="9" spans="1:15">
      <c r="A9" s="851"/>
      <c r="B9" s="851"/>
      <c r="C9" s="851"/>
      <c r="D9" s="851"/>
      <c r="H9" s="851"/>
    </row>
    <row r="10" spans="1:15" s="2699" customFormat="1" hidden="1">
      <c r="A10" s="3973" t="s">
        <v>663</v>
      </c>
      <c r="B10" s="3973"/>
      <c r="C10" s="3973"/>
      <c r="D10" s="3973"/>
    </row>
    <row r="11" spans="1:15" s="2699" customFormat="1" hidden="1">
      <c r="A11" s="2898" t="s">
        <v>2608</v>
      </c>
      <c r="B11" s="2705"/>
      <c r="C11" s="2705"/>
      <c r="D11" s="2705"/>
      <c r="H11" s="2950"/>
    </row>
    <row r="12" spans="1:15" s="2699" customFormat="1" hidden="1">
      <c r="A12" s="2898" t="s">
        <v>2609</v>
      </c>
    </row>
    <row r="13" spans="1:15" s="2699" customFormat="1">
      <c r="A13" s="2898"/>
    </row>
    <row r="14" spans="1:15" s="2699" customFormat="1">
      <c r="A14" s="2704"/>
      <c r="B14" s="2705"/>
      <c r="C14" s="2705"/>
      <c r="D14" s="2705"/>
      <c r="H14" s="2950"/>
    </row>
    <row r="15" spans="1:15" s="2699" customFormat="1">
      <c r="A15" s="2688"/>
    </row>
    <row r="24" spans="1:12" s="3257" customFormat="1" ht="23.25" customHeight="1">
      <c r="A24" s="3254" t="s">
        <v>1266</v>
      </c>
      <c r="B24" s="3255"/>
      <c r="C24" s="3256"/>
      <c r="E24" s="3256"/>
      <c r="F24" s="3258" t="s">
        <v>2876</v>
      </c>
      <c r="G24" s="3259"/>
      <c r="H24" s="3258"/>
      <c r="I24" s="3256"/>
      <c r="J24" s="3256"/>
      <c r="K24" s="3256"/>
      <c r="L24" s="3256"/>
    </row>
    <row r="25" spans="1:12" s="3257" customFormat="1" ht="15" customHeight="1">
      <c r="A25" s="3254" t="s">
        <v>1304</v>
      </c>
      <c r="B25" s="3255"/>
      <c r="C25" s="3256"/>
      <c r="D25" s="3260"/>
      <c r="E25" s="3260"/>
      <c r="F25" s="3256"/>
      <c r="H25" s="3260"/>
      <c r="I25" s="3256"/>
      <c r="J25" s="3256"/>
      <c r="K25" s="3256"/>
      <c r="L25" s="3256"/>
    </row>
  </sheetData>
  <mergeCells count="4">
    <mergeCell ref="C1:D1"/>
    <mergeCell ref="A3:G3"/>
    <mergeCell ref="A8:D8"/>
    <mergeCell ref="A10:D10"/>
  </mergeCells>
  <printOptions horizontalCentered="1"/>
  <pageMargins left="0.78740157480314965" right="0.19685039370078741" top="0.98425196850393704" bottom="0.98425196850393704" header="0.51181102362204722" footer="0.51181102362204722"/>
  <pageSetup paperSize="9" scale="91" orientation="portrait" r:id="rId1"/>
  <headerFooter alignWithMargins="0"/>
  <colBreaks count="1" manualBreakCount="1">
    <brk id="9" max="1048575" man="1"/>
  </col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3">
    <tabColor rgb="FFFFC000"/>
  </sheetPr>
  <dimension ref="A1:I42"/>
  <sheetViews>
    <sheetView workbookViewId="0">
      <selection activeCell="B32" sqref="A1:XFD1048576"/>
    </sheetView>
  </sheetViews>
  <sheetFormatPr defaultColWidth="9.109375" defaultRowHeight="13.2"/>
  <cols>
    <col min="1" max="1" width="5.5546875" style="10" customWidth="1"/>
    <col min="2" max="2" width="38.5546875" style="10" customWidth="1"/>
    <col min="3" max="3" width="22.33203125" style="10" customWidth="1"/>
    <col min="4" max="4" width="21.5546875" style="10" customWidth="1"/>
    <col min="5" max="16384" width="9.109375" style="10"/>
  </cols>
  <sheetData>
    <row r="1" spans="1:9">
      <c r="D1" s="11" t="s">
        <v>53</v>
      </c>
    </row>
    <row r="2" spans="1:9">
      <c r="A2" s="6"/>
    </row>
    <row r="3" spans="1:9" ht="15.6">
      <c r="A3" s="109" t="s">
        <v>629</v>
      </c>
      <c r="B3" s="110"/>
      <c r="C3" s="110"/>
      <c r="D3" s="110"/>
    </row>
    <row r="4" spans="1:9" ht="18" customHeight="1">
      <c r="A4" s="109" t="s">
        <v>2426</v>
      </c>
      <c r="B4" s="109"/>
      <c r="C4" s="109"/>
      <c r="D4" s="109"/>
    </row>
    <row r="5" spans="1:9" ht="18" customHeight="1">
      <c r="A5" s="109" t="s">
        <v>2536</v>
      </c>
      <c r="B5" s="109"/>
      <c r="C5" s="109"/>
      <c r="D5" s="109"/>
      <c r="E5" s="84"/>
      <c r="F5" s="84"/>
      <c r="G5" s="84"/>
    </row>
    <row r="6" spans="1:9" ht="18" customHeight="1">
      <c r="A6" s="109"/>
      <c r="B6" s="109"/>
      <c r="C6" s="109"/>
      <c r="D6" s="109"/>
      <c r="E6" s="84"/>
      <c r="F6" s="84"/>
      <c r="G6" s="84"/>
    </row>
    <row r="7" spans="1:9">
      <c r="C7" s="872" t="s">
        <v>1401</v>
      </c>
      <c r="D7" s="11" t="s">
        <v>24</v>
      </c>
    </row>
    <row r="8" spans="1:9">
      <c r="A8" s="17" t="s">
        <v>54</v>
      </c>
      <c r="B8" s="17" t="s">
        <v>696</v>
      </c>
      <c r="C8" s="17" t="s">
        <v>799</v>
      </c>
      <c r="D8" s="17" t="s">
        <v>730</v>
      </c>
    </row>
    <row r="9" spans="1:9" ht="39.6">
      <c r="A9" s="2404" t="s">
        <v>55</v>
      </c>
      <c r="B9" s="130" t="s">
        <v>635</v>
      </c>
      <c r="C9" s="147"/>
      <c r="D9" s="147"/>
      <c r="G9" s="10">
        <v>11768.208000000001</v>
      </c>
    </row>
    <row r="10" spans="1:9" ht="39.6">
      <c r="A10" s="2404" t="s">
        <v>207</v>
      </c>
      <c r="B10" s="16" t="s">
        <v>634</v>
      </c>
      <c r="C10" s="147"/>
      <c r="D10" s="147"/>
      <c r="G10" s="151">
        <v>5955.6017382762993</v>
      </c>
      <c r="H10" s="160">
        <v>0</v>
      </c>
    </row>
    <row r="11" spans="1:9" ht="19.5" customHeight="1">
      <c r="A11" s="2404" t="s">
        <v>208</v>
      </c>
      <c r="B11" s="2405" t="s">
        <v>57</v>
      </c>
      <c r="C11" s="141"/>
      <c r="D11" s="141"/>
    </row>
    <row r="12" spans="1:9" ht="27.75" customHeight="1">
      <c r="A12" s="2404" t="s">
        <v>210</v>
      </c>
      <c r="B12" s="2405" t="s">
        <v>58</v>
      </c>
      <c r="C12" s="141"/>
      <c r="D12" s="141"/>
    </row>
    <row r="13" spans="1:9" ht="27" customHeight="1">
      <c r="A13" s="2404" t="s">
        <v>212</v>
      </c>
      <c r="B13" s="2405" t="s">
        <v>878</v>
      </c>
      <c r="C13" s="147"/>
      <c r="D13" s="147"/>
      <c r="F13" s="60"/>
      <c r="G13" s="151">
        <v>808.62835843884818</v>
      </c>
      <c r="H13" s="151">
        <v>0</v>
      </c>
      <c r="I13" s="151"/>
    </row>
    <row r="14" spans="1:9" ht="13.5" customHeight="1">
      <c r="A14" s="2404" t="s">
        <v>215</v>
      </c>
      <c r="B14" s="2405" t="s">
        <v>60</v>
      </c>
      <c r="C14" s="149"/>
      <c r="D14" s="149"/>
    </row>
    <row r="15" spans="1:9" ht="16.5" customHeight="1">
      <c r="A15" s="2404" t="s">
        <v>218</v>
      </c>
      <c r="B15" s="2405" t="s">
        <v>61</v>
      </c>
      <c r="C15" s="148">
        <v>0</v>
      </c>
      <c r="D15" s="148">
        <v>0</v>
      </c>
      <c r="E15" s="64"/>
      <c r="G15" s="10">
        <v>134.62179867372532</v>
      </c>
    </row>
    <row r="16" spans="1:9">
      <c r="A16" s="18"/>
    </row>
    <row r="17" spans="1:8">
      <c r="A17" s="18"/>
    </row>
    <row r="18" spans="1:8">
      <c r="A18" s="34"/>
    </row>
    <row r="19" spans="1:8">
      <c r="A19" s="34"/>
      <c r="E19" s="34"/>
    </row>
    <row r="20" spans="1:8">
      <c r="A20" s="34"/>
      <c r="E20" s="34"/>
    </row>
    <row r="22" spans="1:8" s="776" customFormat="1" ht="23.25" customHeight="1">
      <c r="A22" s="839" t="s">
        <v>1266</v>
      </c>
      <c r="B22" s="774"/>
      <c r="C22" s="775"/>
      <c r="H22" s="777"/>
    </row>
    <row r="23" spans="1:8" s="776" customFormat="1" ht="15" customHeight="1">
      <c r="A23" s="839" t="s">
        <v>1304</v>
      </c>
      <c r="B23" s="778"/>
      <c r="C23" s="775"/>
      <c r="D23" s="779" t="s">
        <v>2876</v>
      </c>
      <c r="F23" s="780"/>
    </row>
    <row r="24" spans="1:8" s="52" customFormat="1"/>
    <row r="25" spans="1:8" s="52" customFormat="1"/>
    <row r="26" spans="1:8">
      <c r="A26" s="4189"/>
      <c r="B26" s="4190"/>
      <c r="C26" s="4190"/>
      <c r="D26" s="4190"/>
      <c r="E26" s="4190"/>
      <c r="F26" s="4190"/>
      <c r="G26" s="4190"/>
    </row>
    <row r="41" spans="1:1">
      <c r="A41" s="98"/>
    </row>
    <row r="42" spans="1:1">
      <c r="A42" s="98"/>
    </row>
  </sheetData>
  <mergeCells count="1">
    <mergeCell ref="A26:G26"/>
  </mergeCells>
  <pageMargins left="0.75" right="0.75" top="1" bottom="1" header="0.5" footer="0.5"/>
  <pageSetup paperSize="9"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4" enableFormatConditionsCalculation="0">
    <tabColor rgb="FFFFC000"/>
  </sheetPr>
  <dimension ref="A1:H47"/>
  <sheetViews>
    <sheetView topLeftCell="A7" workbookViewId="0">
      <selection activeCell="B32" sqref="A1:XFD1048576"/>
    </sheetView>
  </sheetViews>
  <sheetFormatPr defaultColWidth="9.109375" defaultRowHeight="13.2"/>
  <cols>
    <col min="1" max="1" width="5.5546875" style="10" customWidth="1"/>
    <col min="2" max="2" width="38.5546875" style="10" customWidth="1"/>
    <col min="3" max="3" width="22.33203125" style="10" customWidth="1"/>
    <col min="4" max="4" width="21.5546875" style="10" customWidth="1"/>
    <col min="5" max="16384" width="9.109375" style="10"/>
  </cols>
  <sheetData>
    <row r="1" spans="1:7">
      <c r="D1" s="11" t="s">
        <v>53</v>
      </c>
    </row>
    <row r="2" spans="1:7">
      <c r="A2" s="6"/>
    </row>
    <row r="3" spans="1:7" ht="15.6">
      <c r="A3" s="109" t="s">
        <v>629</v>
      </c>
      <c r="B3" s="110"/>
      <c r="C3" s="110"/>
      <c r="D3" s="110"/>
    </row>
    <row r="4" spans="1:7" ht="18" customHeight="1">
      <c r="A4" s="109" t="s">
        <v>630</v>
      </c>
      <c r="B4" s="109"/>
      <c r="C4" s="109"/>
      <c r="D4" s="109"/>
    </row>
    <row r="5" spans="1:7" ht="18" customHeight="1">
      <c r="A5" s="109" t="s">
        <v>2487</v>
      </c>
      <c r="B5" s="109"/>
      <c r="C5" s="109"/>
      <c r="D5" s="109"/>
      <c r="E5" s="84"/>
      <c r="F5" s="84"/>
      <c r="G5" s="84"/>
    </row>
    <row r="6" spans="1:7" ht="18" customHeight="1">
      <c r="A6" s="109"/>
      <c r="B6" s="109"/>
      <c r="C6" s="109"/>
      <c r="D6" s="109"/>
      <c r="E6" s="84"/>
      <c r="F6" s="84"/>
      <c r="G6" s="84"/>
    </row>
    <row r="7" spans="1:7" ht="18" customHeight="1">
      <c r="A7" s="109"/>
      <c r="B7" s="109"/>
      <c r="C7" s="109"/>
      <c r="D7" s="675" t="s">
        <v>175</v>
      </c>
      <c r="E7" s="84"/>
      <c r="F7" s="84"/>
      <c r="G7" s="84"/>
    </row>
    <row r="8" spans="1:7">
      <c r="D8" s="11" t="s">
        <v>24</v>
      </c>
    </row>
    <row r="9" spans="1:7">
      <c r="A9" s="17" t="s">
        <v>54</v>
      </c>
      <c r="B9" s="17" t="s">
        <v>696</v>
      </c>
      <c r="C9" s="17" t="s">
        <v>799</v>
      </c>
      <c r="D9" s="17" t="s">
        <v>730</v>
      </c>
    </row>
    <row r="10" spans="1:7" ht="39.6">
      <c r="A10" s="14" t="s">
        <v>55</v>
      </c>
      <c r="B10" s="130" t="s">
        <v>635</v>
      </c>
      <c r="C10" s="147"/>
      <c r="D10" s="147"/>
    </row>
    <row r="11" spans="1:7" ht="39.6">
      <c r="A11" s="14" t="s">
        <v>207</v>
      </c>
      <c r="B11" s="16" t="s">
        <v>634</v>
      </c>
      <c r="C11" s="147"/>
      <c r="D11" s="147"/>
    </row>
    <row r="12" spans="1:7" ht="19.5" customHeight="1">
      <c r="A12" s="14" t="s">
        <v>208</v>
      </c>
      <c r="B12" s="9" t="s">
        <v>57</v>
      </c>
      <c r="C12" s="141"/>
      <c r="D12" s="141"/>
    </row>
    <row r="13" spans="1:7" ht="27.75" customHeight="1">
      <c r="A13" s="14" t="s">
        <v>210</v>
      </c>
      <c r="B13" s="9" t="s">
        <v>58</v>
      </c>
      <c r="C13" s="141"/>
      <c r="D13" s="141"/>
    </row>
    <row r="14" spans="1:7" ht="27" customHeight="1">
      <c r="A14" s="14" t="s">
        <v>212</v>
      </c>
      <c r="B14" s="9" t="s">
        <v>59</v>
      </c>
      <c r="C14" s="147"/>
      <c r="D14" s="147"/>
      <c r="F14" s="60"/>
      <c r="G14" s="192">
        <v>808.62835843884818</v>
      </c>
    </row>
    <row r="15" spans="1:7" ht="13.5" customHeight="1">
      <c r="A15" s="14" t="s">
        <v>215</v>
      </c>
      <c r="B15" s="9" t="s">
        <v>60</v>
      </c>
      <c r="C15" s="149"/>
      <c r="D15" s="149"/>
    </row>
    <row r="16" spans="1:7" ht="16.5" customHeight="1">
      <c r="A16" s="14" t="s">
        <v>218</v>
      </c>
      <c r="B16" s="9" t="s">
        <v>61</v>
      </c>
      <c r="C16" s="148">
        <v>134.62179867372532</v>
      </c>
      <c r="D16" s="148">
        <v>110.98691922805301</v>
      </c>
      <c r="E16" s="64"/>
    </row>
    <row r="17" spans="1:8">
      <c r="A17" s="18"/>
    </row>
    <row r="18" spans="1:8">
      <c r="A18" s="18"/>
    </row>
    <row r="19" spans="1:8">
      <c r="A19" s="34"/>
    </row>
    <row r="20" spans="1:8">
      <c r="A20" s="34"/>
      <c r="E20" s="34"/>
    </row>
    <row r="21" spans="1:8">
      <c r="A21" s="34"/>
      <c r="E21" s="34"/>
    </row>
    <row r="23" spans="1:8" s="776" customFormat="1" ht="23.25" customHeight="1">
      <c r="A23" s="839" t="s">
        <v>1266</v>
      </c>
      <c r="B23" s="774"/>
      <c r="C23" s="775"/>
      <c r="H23" s="777"/>
    </row>
    <row r="24" spans="1:8" s="776" customFormat="1" ht="15" customHeight="1">
      <c r="A24" s="839" t="s">
        <v>1304</v>
      </c>
      <c r="B24" s="778"/>
      <c r="C24" s="775"/>
      <c r="D24" s="779" t="s">
        <v>2876</v>
      </c>
    </row>
    <row r="25" spans="1:8" s="52" customFormat="1">
      <c r="A25" s="10"/>
      <c r="B25" s="10"/>
      <c r="C25" s="10"/>
      <c r="D25" s="10"/>
    </row>
    <row r="26" spans="1:8" s="52" customFormat="1">
      <c r="A26" s="10"/>
      <c r="B26" s="10"/>
      <c r="C26" s="10"/>
      <c r="D26" s="10"/>
    </row>
    <row r="27" spans="1:8">
      <c r="A27" s="4189"/>
      <c r="B27" s="4190"/>
      <c r="C27" s="4190"/>
      <c r="D27" s="4190"/>
      <c r="E27" s="4190"/>
      <c r="F27" s="4190"/>
      <c r="G27" s="4190"/>
    </row>
    <row r="46" spans="1:1">
      <c r="A46" s="113"/>
    </row>
    <row r="47" spans="1:1">
      <c r="A47" s="113"/>
    </row>
  </sheetData>
  <mergeCells count="1">
    <mergeCell ref="A27:G27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5">
    <tabColor rgb="FFFF0000"/>
  </sheetPr>
  <dimension ref="A1:IV44"/>
  <sheetViews>
    <sheetView workbookViewId="0">
      <selection activeCell="E1" sqref="E1:J1048576"/>
    </sheetView>
  </sheetViews>
  <sheetFormatPr defaultColWidth="9.109375" defaultRowHeight="13.2"/>
  <cols>
    <col min="1" max="1" width="5.5546875" style="10" customWidth="1"/>
    <col min="2" max="2" width="38.5546875" style="10" customWidth="1"/>
    <col min="3" max="3" width="22.33203125" style="10" customWidth="1"/>
    <col min="4" max="4" width="21.5546875" style="10" customWidth="1"/>
    <col min="5" max="10" width="0" style="10" hidden="1" customWidth="1"/>
    <col min="11" max="16384" width="9.109375" style="10"/>
  </cols>
  <sheetData>
    <row r="1" spans="1:256">
      <c r="D1" s="11" t="s">
        <v>53</v>
      </c>
    </row>
    <row r="2" spans="1:256">
      <c r="A2" s="6"/>
    </row>
    <row r="3" spans="1:256" ht="15.6">
      <c r="A3" s="109" t="s">
        <v>629</v>
      </c>
      <c r="B3" s="110"/>
      <c r="C3" s="110"/>
      <c r="D3" s="110"/>
    </row>
    <row r="4" spans="1:256" ht="18" customHeight="1">
      <c r="A4" s="109" t="s">
        <v>630</v>
      </c>
      <c r="B4" s="109"/>
      <c r="C4" s="109"/>
      <c r="D4" s="109"/>
    </row>
    <row r="5" spans="1:256" ht="18" customHeight="1">
      <c r="A5" s="109" t="s">
        <v>2535</v>
      </c>
      <c r="B5" s="109"/>
      <c r="C5" s="109"/>
      <c r="D5" s="109"/>
      <c r="E5" s="84"/>
      <c r="F5" s="84"/>
      <c r="G5" s="84"/>
    </row>
    <row r="6" spans="1:256" ht="18" customHeight="1">
      <c r="A6" s="109"/>
      <c r="B6" s="109"/>
      <c r="C6" s="109"/>
      <c r="D6" s="109"/>
      <c r="E6" s="84"/>
      <c r="F6" s="84"/>
      <c r="G6" s="84"/>
    </row>
    <row r="7" spans="1:256">
      <c r="D7" s="872" t="s">
        <v>1424</v>
      </c>
    </row>
    <row r="8" spans="1:256">
      <c r="A8" s="871"/>
      <c r="B8" s="871"/>
      <c r="C8" s="871"/>
      <c r="D8" s="11" t="s">
        <v>24</v>
      </c>
      <c r="E8" s="871"/>
      <c r="F8" s="871"/>
      <c r="G8" s="871"/>
      <c r="H8" s="871"/>
      <c r="I8" s="871"/>
      <c r="J8" s="871"/>
      <c r="K8" s="871"/>
      <c r="L8" s="871"/>
      <c r="M8" s="871"/>
      <c r="N8" s="871"/>
      <c r="O8" s="871"/>
      <c r="P8" s="871"/>
      <c r="Q8" s="871"/>
      <c r="R8" s="871"/>
      <c r="S8" s="871"/>
      <c r="T8" s="871"/>
      <c r="U8" s="871"/>
      <c r="V8" s="871"/>
      <c r="W8" s="871"/>
      <c r="X8" s="871"/>
      <c r="Y8" s="871"/>
      <c r="Z8" s="871"/>
      <c r="AA8" s="871"/>
      <c r="AB8" s="871"/>
      <c r="AC8" s="871"/>
      <c r="AD8" s="871"/>
      <c r="AE8" s="871"/>
      <c r="AF8" s="871"/>
      <c r="AG8" s="871"/>
      <c r="AH8" s="871"/>
      <c r="AI8" s="871"/>
      <c r="AJ8" s="871"/>
      <c r="AK8" s="871"/>
      <c r="AL8" s="871"/>
      <c r="AM8" s="871"/>
      <c r="AN8" s="871"/>
      <c r="AO8" s="871"/>
      <c r="AP8" s="871"/>
      <c r="AQ8" s="871"/>
      <c r="AR8" s="871"/>
      <c r="AS8" s="871"/>
      <c r="AT8" s="871"/>
      <c r="AU8" s="871"/>
      <c r="AV8" s="871"/>
      <c r="AW8" s="871"/>
      <c r="AX8" s="871"/>
      <c r="AY8" s="871"/>
      <c r="AZ8" s="871"/>
      <c r="BA8" s="871"/>
      <c r="BB8" s="871"/>
      <c r="BC8" s="871"/>
      <c r="BD8" s="871"/>
      <c r="BE8" s="871"/>
      <c r="BF8" s="871"/>
      <c r="BG8" s="871"/>
      <c r="BH8" s="871"/>
      <c r="BI8" s="871"/>
      <c r="BJ8" s="871"/>
      <c r="BK8" s="871"/>
      <c r="BL8" s="871"/>
      <c r="BM8" s="871"/>
      <c r="BN8" s="871"/>
      <c r="BO8" s="871"/>
      <c r="BP8" s="871"/>
      <c r="BQ8" s="871"/>
      <c r="BR8" s="871"/>
      <c r="BS8" s="871"/>
      <c r="BT8" s="871"/>
      <c r="BU8" s="871"/>
      <c r="BV8" s="871"/>
      <c r="BW8" s="871"/>
      <c r="BX8" s="871"/>
      <c r="BY8" s="871"/>
      <c r="BZ8" s="871"/>
      <c r="CA8" s="871"/>
      <c r="CB8" s="871"/>
      <c r="CC8" s="871"/>
      <c r="CD8" s="871"/>
      <c r="CE8" s="871"/>
      <c r="CF8" s="871"/>
      <c r="CG8" s="871"/>
      <c r="CH8" s="871"/>
      <c r="CI8" s="871"/>
      <c r="CJ8" s="871"/>
      <c r="CK8" s="871"/>
      <c r="CL8" s="871"/>
      <c r="CM8" s="871"/>
      <c r="CN8" s="871"/>
      <c r="CO8" s="871"/>
      <c r="CP8" s="871"/>
      <c r="CQ8" s="871"/>
      <c r="CR8" s="871"/>
      <c r="CS8" s="871"/>
      <c r="CT8" s="871"/>
      <c r="CU8" s="871"/>
      <c r="CV8" s="871"/>
      <c r="CW8" s="871"/>
      <c r="CX8" s="871"/>
      <c r="CY8" s="871"/>
      <c r="CZ8" s="871"/>
      <c r="DA8" s="871"/>
      <c r="DB8" s="871"/>
      <c r="DC8" s="871"/>
      <c r="DD8" s="871"/>
      <c r="DE8" s="871"/>
      <c r="DF8" s="871"/>
      <c r="DG8" s="871"/>
      <c r="DH8" s="871"/>
      <c r="DI8" s="871"/>
      <c r="DJ8" s="871"/>
      <c r="DK8" s="871"/>
      <c r="DL8" s="871"/>
      <c r="DM8" s="871"/>
      <c r="DN8" s="871"/>
      <c r="DO8" s="871"/>
      <c r="DP8" s="871"/>
      <c r="DQ8" s="871"/>
      <c r="DR8" s="871"/>
      <c r="DS8" s="871"/>
      <c r="DT8" s="871"/>
      <c r="DU8" s="871"/>
      <c r="DV8" s="871"/>
      <c r="DW8" s="871"/>
      <c r="DX8" s="871"/>
      <c r="DY8" s="871"/>
      <c r="DZ8" s="871"/>
      <c r="EA8" s="871"/>
      <c r="EB8" s="871"/>
      <c r="EC8" s="871"/>
      <c r="ED8" s="871"/>
      <c r="EE8" s="871"/>
      <c r="EF8" s="871"/>
      <c r="EG8" s="871"/>
      <c r="EH8" s="871"/>
      <c r="EI8" s="871"/>
      <c r="EJ8" s="871"/>
      <c r="EK8" s="871"/>
      <c r="EL8" s="871"/>
      <c r="EM8" s="871"/>
      <c r="EN8" s="871"/>
      <c r="EO8" s="871"/>
      <c r="EP8" s="871"/>
      <c r="EQ8" s="871"/>
      <c r="ER8" s="871"/>
      <c r="ES8" s="871"/>
      <c r="ET8" s="871"/>
      <c r="EU8" s="871"/>
      <c r="EV8" s="871"/>
      <c r="EW8" s="871"/>
      <c r="EX8" s="871"/>
      <c r="EY8" s="871"/>
      <c r="EZ8" s="871"/>
      <c r="FA8" s="871"/>
      <c r="FB8" s="871"/>
      <c r="FC8" s="871"/>
      <c r="FD8" s="871"/>
      <c r="FE8" s="871"/>
      <c r="FF8" s="871"/>
      <c r="FG8" s="871"/>
      <c r="FH8" s="871"/>
      <c r="FI8" s="871"/>
      <c r="FJ8" s="871"/>
      <c r="FK8" s="871"/>
      <c r="FL8" s="871"/>
      <c r="FM8" s="871"/>
      <c r="FN8" s="871"/>
      <c r="FO8" s="871"/>
      <c r="FP8" s="871"/>
      <c r="FQ8" s="871"/>
      <c r="FR8" s="871"/>
      <c r="FS8" s="871"/>
      <c r="FT8" s="871"/>
      <c r="FU8" s="871"/>
      <c r="FV8" s="871"/>
      <c r="FW8" s="871"/>
      <c r="FX8" s="871"/>
      <c r="FY8" s="871"/>
      <c r="FZ8" s="871"/>
      <c r="GA8" s="871"/>
      <c r="GB8" s="871"/>
      <c r="GC8" s="871"/>
      <c r="GD8" s="871"/>
      <c r="GE8" s="871"/>
      <c r="GF8" s="871"/>
      <c r="GG8" s="871"/>
      <c r="GH8" s="871"/>
      <c r="GI8" s="871"/>
      <c r="GJ8" s="871"/>
      <c r="GK8" s="871"/>
      <c r="GL8" s="871"/>
      <c r="GM8" s="871"/>
      <c r="GN8" s="871"/>
      <c r="GO8" s="871"/>
      <c r="GP8" s="871"/>
      <c r="GQ8" s="871"/>
      <c r="GR8" s="871"/>
      <c r="GS8" s="871"/>
      <c r="GT8" s="871"/>
      <c r="GU8" s="871"/>
      <c r="GV8" s="871"/>
      <c r="GW8" s="871"/>
      <c r="GX8" s="871"/>
      <c r="GY8" s="871"/>
      <c r="GZ8" s="871"/>
      <c r="HA8" s="871"/>
      <c r="HB8" s="871"/>
      <c r="HC8" s="871"/>
      <c r="HD8" s="871"/>
      <c r="HE8" s="871"/>
      <c r="HF8" s="871"/>
      <c r="HG8" s="871"/>
      <c r="HH8" s="871"/>
      <c r="HI8" s="871"/>
      <c r="HJ8" s="871"/>
      <c r="HK8" s="871"/>
      <c r="HL8" s="871"/>
      <c r="HM8" s="871"/>
      <c r="HN8" s="871"/>
      <c r="HO8" s="871"/>
      <c r="HP8" s="871"/>
      <c r="HQ8" s="871"/>
      <c r="HR8" s="871"/>
      <c r="HS8" s="871"/>
      <c r="HT8" s="871"/>
      <c r="HU8" s="871"/>
      <c r="HV8" s="871"/>
      <c r="HW8" s="871"/>
      <c r="HX8" s="871"/>
      <c r="HY8" s="871"/>
      <c r="HZ8" s="871"/>
      <c r="IA8" s="871"/>
      <c r="IB8" s="871"/>
      <c r="IC8" s="871"/>
      <c r="ID8" s="871"/>
      <c r="IE8" s="871"/>
      <c r="IF8" s="871"/>
      <c r="IG8" s="871"/>
      <c r="IH8" s="871"/>
      <c r="II8" s="871"/>
      <c r="IJ8" s="871"/>
      <c r="IK8" s="871"/>
      <c r="IL8" s="871"/>
      <c r="IM8" s="871"/>
      <c r="IN8" s="871"/>
      <c r="IO8" s="871"/>
      <c r="IP8" s="871"/>
      <c r="IQ8" s="871"/>
      <c r="IR8" s="871"/>
      <c r="IS8" s="871"/>
      <c r="IT8" s="871"/>
      <c r="IU8" s="871"/>
      <c r="IV8" s="871"/>
    </row>
    <row r="9" spans="1:256">
      <c r="A9" s="17" t="s">
        <v>54</v>
      </c>
      <c r="B9" s="17" t="s">
        <v>696</v>
      </c>
      <c r="C9" s="17" t="s">
        <v>799</v>
      </c>
      <c r="D9" s="17" t="s">
        <v>730</v>
      </c>
      <c r="F9" s="872"/>
    </row>
    <row r="10" spans="1:256" ht="39.6">
      <c r="A10" s="14" t="s">
        <v>55</v>
      </c>
      <c r="B10" s="130" t="s">
        <v>635</v>
      </c>
      <c r="C10" s="147">
        <v>32592.37</v>
      </c>
      <c r="D10" s="2090">
        <v>32592.37</v>
      </c>
      <c r="G10" s="10">
        <v>11768.208000000001</v>
      </c>
    </row>
    <row r="11" spans="1:256" ht="39.6">
      <c r="A11" s="14" t="s">
        <v>207</v>
      </c>
      <c r="B11" s="16" t="s">
        <v>634</v>
      </c>
      <c r="C11" s="147">
        <v>5955.6017382762993</v>
      </c>
      <c r="D11" s="2090">
        <v>5152.8393428390373</v>
      </c>
      <c r="G11" s="904">
        <v>5955.6017382762993</v>
      </c>
      <c r="H11" s="160">
        <v>5152.8393428390373</v>
      </c>
    </row>
    <row r="12" spans="1:256" ht="19.5" customHeight="1">
      <c r="A12" s="14" t="s">
        <v>208</v>
      </c>
      <c r="B12" s="9" t="s">
        <v>57</v>
      </c>
      <c r="C12" s="141">
        <v>0</v>
      </c>
      <c r="D12" s="2908">
        <v>0</v>
      </c>
    </row>
    <row r="13" spans="1:256" ht="27.75" customHeight="1">
      <c r="A13" s="14" t="s">
        <v>210</v>
      </c>
      <c r="B13" s="9" t="s">
        <v>58</v>
      </c>
      <c r="C13" s="141">
        <v>0</v>
      </c>
      <c r="D13" s="2908">
        <v>0</v>
      </c>
    </row>
    <row r="14" spans="1:256" ht="27" customHeight="1">
      <c r="A14" s="14" t="s">
        <v>212</v>
      </c>
      <c r="B14" s="9" t="s">
        <v>878</v>
      </c>
      <c r="C14" s="147">
        <v>5554.2205405576678</v>
      </c>
      <c r="D14" s="2090">
        <v>4821.9266451204057</v>
      </c>
      <c r="F14" s="60"/>
      <c r="G14" s="904">
        <v>4821.9266451204057</v>
      </c>
      <c r="H14" s="904">
        <v>4821.9266451204057</v>
      </c>
      <c r="I14" s="904"/>
    </row>
    <row r="15" spans="1:256" ht="13.5" customHeight="1">
      <c r="A15" s="14" t="s">
        <v>215</v>
      </c>
      <c r="B15" s="9" t="s">
        <v>60</v>
      </c>
      <c r="C15" s="149">
        <v>2.463037807429354</v>
      </c>
      <c r="D15" s="3008">
        <v>2.0306145132657196</v>
      </c>
    </row>
    <row r="16" spans="1:256" ht="16.5" customHeight="1">
      <c r="A16" s="14" t="s">
        <v>218</v>
      </c>
      <c r="B16" s="9" t="s">
        <v>61</v>
      </c>
      <c r="C16" s="148">
        <v>802.7623954372624</v>
      </c>
      <c r="D16" s="3009">
        <v>661.82539543726239</v>
      </c>
      <c r="E16" s="64"/>
      <c r="G16" s="10">
        <v>844.65600000000006</v>
      </c>
    </row>
    <row r="17" spans="1:8" ht="26.4">
      <c r="A17" s="2916" t="s">
        <v>226</v>
      </c>
      <c r="B17" s="2917" t="s">
        <v>2696</v>
      </c>
      <c r="C17" s="148">
        <v>122.19285189226871</v>
      </c>
      <c r="D17" s="3009">
        <v>106.08238619264894</v>
      </c>
      <c r="E17" s="64"/>
      <c r="G17" s="10">
        <v>851.98800000000006</v>
      </c>
    </row>
    <row r="18" spans="1:8">
      <c r="A18" s="18"/>
    </row>
    <row r="19" spans="1:8">
      <c r="A19" s="34"/>
    </row>
    <row r="20" spans="1:8">
      <c r="A20" s="34"/>
      <c r="E20" s="34"/>
    </row>
    <row r="21" spans="1:8">
      <c r="A21" s="34"/>
      <c r="E21" s="34"/>
    </row>
    <row r="23" spans="1:8" s="776" customFormat="1" ht="23.25" customHeight="1">
      <c r="A23" s="839" t="s">
        <v>1266</v>
      </c>
      <c r="B23" s="905"/>
      <c r="C23" s="775"/>
      <c r="H23" s="906"/>
    </row>
    <row r="24" spans="1:8" s="776" customFormat="1" ht="15" customHeight="1">
      <c r="A24" s="839" t="s">
        <v>1304</v>
      </c>
      <c r="B24" s="778"/>
      <c r="C24" s="775"/>
      <c r="D24" s="779" t="s">
        <v>2876</v>
      </c>
      <c r="F24" s="780"/>
    </row>
    <row r="25" spans="1:8" s="52" customFormat="1"/>
    <row r="26" spans="1:8" s="52" customFormat="1"/>
    <row r="27" spans="1:8">
      <c r="A27" s="4189"/>
      <c r="B27" s="4190"/>
      <c r="C27" s="4190"/>
      <c r="D27" s="4190"/>
      <c r="E27" s="4190"/>
      <c r="F27" s="4190"/>
      <c r="G27" s="4190"/>
    </row>
    <row r="43" spans="1:1">
      <c r="A43" s="98"/>
    </row>
    <row r="44" spans="1:1">
      <c r="A44" s="98"/>
    </row>
  </sheetData>
  <mergeCells count="1">
    <mergeCell ref="A27:G27"/>
  </mergeCells>
  <pageMargins left="0.75" right="0.75" top="1" bottom="1" header="0.5" footer="0.5"/>
  <pageSetup paperSize="9" orientation="portrait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6">
    <tabColor rgb="FFFF0000"/>
  </sheetPr>
  <dimension ref="A1:O54"/>
  <sheetViews>
    <sheetView workbookViewId="0">
      <pane ySplit="14" topLeftCell="A30" activePane="bottomLeft" state="frozen"/>
      <selection activeCell="B32" sqref="A1:XFD1048576"/>
      <selection pane="bottomLeft" activeCell="D41" sqref="D41"/>
    </sheetView>
  </sheetViews>
  <sheetFormatPr defaultColWidth="9.109375" defaultRowHeight="13.2"/>
  <cols>
    <col min="1" max="1" width="13.6640625" style="201" customWidth="1"/>
    <col min="2" max="2" width="11.88671875" style="201" customWidth="1"/>
    <col min="3" max="3" width="10.44140625" style="201" customWidth="1"/>
    <col min="4" max="4" width="9" style="201" customWidth="1"/>
    <col min="5" max="6" width="11.44140625" style="201" customWidth="1"/>
    <col min="7" max="7" width="10.33203125" style="201" customWidth="1"/>
    <col min="8" max="8" width="0" style="201" hidden="1" customWidth="1"/>
    <col min="9" max="9" width="0" style="290" hidden="1" customWidth="1"/>
    <col min="10" max="12" width="10" style="201" hidden="1" customWidth="1"/>
    <col min="13" max="13" width="0" style="201" hidden="1" customWidth="1"/>
    <col min="14" max="16384" width="9.109375" style="201"/>
  </cols>
  <sheetData>
    <row r="1" spans="1:9">
      <c r="G1" s="278" t="s">
        <v>62</v>
      </c>
    </row>
    <row r="2" spans="1:9" ht="13.5" customHeight="1">
      <c r="A2" s="280" t="s">
        <v>63</v>
      </c>
      <c r="B2" s="280"/>
      <c r="C2" s="280"/>
      <c r="D2" s="280"/>
      <c r="E2" s="280"/>
      <c r="F2" s="280"/>
      <c r="G2" s="280"/>
    </row>
    <row r="3" spans="1:9" ht="15.6">
      <c r="A3" s="280" t="s">
        <v>64</v>
      </c>
      <c r="B3" s="280"/>
      <c r="C3" s="280"/>
      <c r="D3" s="280"/>
      <c r="E3" s="280"/>
      <c r="F3" s="280"/>
      <c r="G3" s="280"/>
    </row>
    <row r="4" spans="1:9" ht="18" customHeight="1">
      <c r="A4" s="280" t="s">
        <v>65</v>
      </c>
      <c r="B4" s="280"/>
      <c r="C4" s="280"/>
      <c r="D4" s="280"/>
      <c r="E4" s="280"/>
      <c r="F4" s="280"/>
      <c r="G4" s="280"/>
    </row>
    <row r="5" spans="1:9" ht="18" customHeight="1">
      <c r="A5" s="280" t="s">
        <v>2487</v>
      </c>
      <c r="B5" s="280"/>
      <c r="C5" s="280"/>
      <c r="D5" s="280"/>
      <c r="E5" s="280"/>
      <c r="F5" s="280"/>
      <c r="G5" s="280"/>
    </row>
    <row r="6" spans="1:9" ht="16.5" customHeight="1">
      <c r="A6" s="280" t="s">
        <v>2965</v>
      </c>
      <c r="B6" s="280"/>
      <c r="C6" s="280"/>
      <c r="D6" s="280"/>
      <c r="E6" s="280"/>
      <c r="F6" s="280"/>
      <c r="G6" s="280"/>
    </row>
    <row r="7" spans="1:9" ht="16.5" customHeight="1">
      <c r="A7" s="280"/>
      <c r="B7" s="280"/>
      <c r="C7" s="280"/>
      <c r="D7" s="280"/>
      <c r="E7" s="280"/>
      <c r="F7" s="280"/>
      <c r="G7" s="280"/>
    </row>
    <row r="8" spans="1:9">
      <c r="G8" s="916" t="s">
        <v>1424</v>
      </c>
      <c r="I8" s="201"/>
    </row>
    <row r="9" spans="1:9" ht="13.5" customHeight="1">
      <c r="A9" s="1286"/>
      <c r="B9" s="1286"/>
      <c r="C9" s="1286"/>
      <c r="D9" s="1286"/>
      <c r="E9" s="1286"/>
      <c r="F9" s="1287"/>
      <c r="G9" s="1286" t="s">
        <v>601</v>
      </c>
    </row>
    <row r="10" spans="1:9" ht="12.75" customHeight="1">
      <c r="A10" s="4193"/>
      <c r="B10" s="1276" t="s">
        <v>66</v>
      </c>
      <c r="C10" s="1276" t="s">
        <v>70</v>
      </c>
      <c r="D10" s="1276" t="s">
        <v>74</v>
      </c>
      <c r="E10" s="1276" t="s">
        <v>79</v>
      </c>
      <c r="F10" s="1276" t="s">
        <v>84</v>
      </c>
      <c r="G10" s="4196" t="s">
        <v>87</v>
      </c>
    </row>
    <row r="11" spans="1:9" ht="14.25" customHeight="1">
      <c r="A11" s="4194"/>
      <c r="B11" s="1288" t="s">
        <v>67</v>
      </c>
      <c r="C11" s="1288" t="s">
        <v>71</v>
      </c>
      <c r="D11" s="1288" t="s">
        <v>75</v>
      </c>
      <c r="E11" s="1288" t="s">
        <v>80</v>
      </c>
      <c r="F11" s="1288" t="s">
        <v>85</v>
      </c>
      <c r="G11" s="4197"/>
    </row>
    <row r="12" spans="1:9" ht="13.5" customHeight="1">
      <c r="A12" s="4194"/>
      <c r="B12" s="1288" t="s">
        <v>68</v>
      </c>
      <c r="C12" s="1288" t="s">
        <v>72</v>
      </c>
      <c r="D12" s="1288" t="s">
        <v>76</v>
      </c>
      <c r="E12" s="1288" t="s">
        <v>81</v>
      </c>
      <c r="F12" s="1288" t="s">
        <v>86</v>
      </c>
      <c r="G12" s="4197"/>
    </row>
    <row r="13" spans="1:9">
      <c r="A13" s="4194"/>
      <c r="B13" s="1288" t="s">
        <v>69</v>
      </c>
      <c r="C13" s="1288" t="s">
        <v>73</v>
      </c>
      <c r="D13" s="1288" t="s">
        <v>77</v>
      </c>
      <c r="E13" s="1288" t="s">
        <v>82</v>
      </c>
      <c r="F13" s="1289"/>
      <c r="G13" s="4197"/>
    </row>
    <row r="14" spans="1:9">
      <c r="A14" s="4195"/>
      <c r="B14" s="302"/>
      <c r="C14" s="302"/>
      <c r="D14" s="518" t="s">
        <v>78</v>
      </c>
      <c r="E14" s="518" t="s">
        <v>83</v>
      </c>
      <c r="F14" s="302"/>
      <c r="G14" s="4198"/>
    </row>
    <row r="15" spans="1:9" ht="27.75" customHeight="1">
      <c r="A15" s="1290" t="s">
        <v>88</v>
      </c>
      <c r="B15" s="2161">
        <v>1708873</v>
      </c>
      <c r="C15" s="2162">
        <v>0</v>
      </c>
      <c r="D15" s="2162">
        <v>0</v>
      </c>
      <c r="E15" s="2161">
        <v>1487773</v>
      </c>
      <c r="F15" s="2161">
        <v>1598323</v>
      </c>
      <c r="G15" s="2161">
        <v>221100</v>
      </c>
    </row>
    <row r="16" spans="1:9">
      <c r="A16" s="303" t="s">
        <v>89</v>
      </c>
      <c r="B16" s="2161">
        <v>0</v>
      </c>
      <c r="C16" s="2162">
        <v>0</v>
      </c>
      <c r="D16" s="2162">
        <v>0</v>
      </c>
      <c r="E16" s="2161">
        <v>0</v>
      </c>
      <c r="F16" s="2161">
        <v>0</v>
      </c>
      <c r="G16" s="2161">
        <v>0</v>
      </c>
    </row>
    <row r="17" spans="1:15">
      <c r="A17" s="303" t="s">
        <v>697</v>
      </c>
      <c r="B17" s="2162">
        <v>0</v>
      </c>
      <c r="C17" s="2162">
        <v>0</v>
      </c>
      <c r="D17" s="2162">
        <v>0</v>
      </c>
      <c r="E17" s="2162">
        <v>0</v>
      </c>
      <c r="F17" s="2162">
        <v>0</v>
      </c>
      <c r="G17" s="2162">
        <v>0</v>
      </c>
    </row>
    <row r="18" spans="1:15">
      <c r="A18" s="303" t="s">
        <v>676</v>
      </c>
      <c r="B18" s="2162">
        <v>0</v>
      </c>
      <c r="C18" s="2162">
        <v>0</v>
      </c>
      <c r="D18" s="2162">
        <v>0</v>
      </c>
      <c r="E18" s="2162">
        <v>0</v>
      </c>
      <c r="F18" s="2162">
        <v>0</v>
      </c>
      <c r="G18" s="2162">
        <v>0</v>
      </c>
    </row>
    <row r="19" spans="1:15">
      <c r="A19" s="303" t="s">
        <v>677</v>
      </c>
      <c r="B19" s="2161">
        <v>0</v>
      </c>
      <c r="C19" s="2162">
        <v>0</v>
      </c>
      <c r="D19" s="2162">
        <v>0</v>
      </c>
      <c r="E19" s="2161">
        <v>0</v>
      </c>
      <c r="F19" s="2161">
        <v>0</v>
      </c>
      <c r="G19" s="2161">
        <v>0</v>
      </c>
    </row>
    <row r="20" spans="1:15">
      <c r="A20" s="303" t="s">
        <v>681</v>
      </c>
      <c r="B20" s="2161">
        <v>0</v>
      </c>
      <c r="C20" s="2162">
        <v>0</v>
      </c>
      <c r="D20" s="2162">
        <v>0</v>
      </c>
      <c r="E20" s="2161">
        <v>0</v>
      </c>
      <c r="F20" s="2161">
        <v>0</v>
      </c>
      <c r="G20" s="2161">
        <v>0</v>
      </c>
      <c r="K20" s="201" t="s">
        <v>879</v>
      </c>
      <c r="L20" s="201" t="s">
        <v>880</v>
      </c>
    </row>
    <row r="21" spans="1:15" s="837" customFormat="1">
      <c r="A21" s="303" t="s">
        <v>90</v>
      </c>
      <c r="B21" s="2161">
        <v>1708873</v>
      </c>
      <c r="C21" s="2162">
        <v>0</v>
      </c>
      <c r="D21" s="2162">
        <v>0</v>
      </c>
      <c r="E21" s="2161">
        <v>1487773</v>
      </c>
      <c r="F21" s="2161">
        <v>1598323</v>
      </c>
      <c r="G21" s="2161">
        <v>221100</v>
      </c>
      <c r="I21" s="296"/>
      <c r="J21" s="296">
        <v>1929973</v>
      </c>
      <c r="K21" s="1291">
        <v>359820</v>
      </c>
      <c r="L21" s="1291">
        <v>1570153</v>
      </c>
    </row>
    <row r="22" spans="1:15">
      <c r="A22" s="303" t="s">
        <v>697</v>
      </c>
      <c r="B22" s="2162">
        <v>0</v>
      </c>
      <c r="C22" s="2162">
        <v>0</v>
      </c>
      <c r="D22" s="2162">
        <v>0</v>
      </c>
      <c r="E22" s="2162">
        <v>0</v>
      </c>
      <c r="F22" s="2162">
        <v>0</v>
      </c>
      <c r="G22" s="2162">
        <v>0</v>
      </c>
    </row>
    <row r="23" spans="1:15">
      <c r="A23" s="303" t="s">
        <v>676</v>
      </c>
      <c r="B23" s="2162">
        <v>0</v>
      </c>
      <c r="C23" s="2162">
        <v>0</v>
      </c>
      <c r="D23" s="2162">
        <v>0</v>
      </c>
      <c r="E23" s="2162">
        <v>0</v>
      </c>
      <c r="F23" s="2162">
        <v>0</v>
      </c>
      <c r="G23" s="2162">
        <v>0</v>
      </c>
    </row>
    <row r="24" spans="1:15" s="837" customFormat="1">
      <c r="A24" s="303" t="s">
        <v>677</v>
      </c>
      <c r="B24" s="2161">
        <v>1708873</v>
      </c>
      <c r="C24" s="2162">
        <v>0</v>
      </c>
      <c r="D24" s="2162">
        <v>0</v>
      </c>
      <c r="E24" s="2161">
        <v>1487773</v>
      </c>
      <c r="F24" s="2161">
        <v>1598323</v>
      </c>
      <c r="G24" s="2161">
        <v>221100</v>
      </c>
      <c r="I24" s="1292"/>
    </row>
    <row r="25" spans="1:15" s="837" customFormat="1">
      <c r="A25" s="303" t="s">
        <v>681</v>
      </c>
      <c r="B25" s="2908">
        <v>0</v>
      </c>
      <c r="C25" s="2908">
        <v>0</v>
      </c>
      <c r="D25" s="2908">
        <v>0</v>
      </c>
      <c r="E25" s="2908">
        <v>0</v>
      </c>
      <c r="F25" s="2908">
        <v>0</v>
      </c>
      <c r="G25" s="2908">
        <v>0</v>
      </c>
      <c r="I25" s="1292"/>
    </row>
    <row r="26" spans="1:15" ht="15.75" customHeight="1">
      <c r="A26" s="303" t="s">
        <v>91</v>
      </c>
      <c r="B26" s="3010">
        <v>3443966.3428390366</v>
      </c>
      <c r="C26" s="2162">
        <v>0</v>
      </c>
      <c r="D26" s="2162">
        <v>0</v>
      </c>
      <c r="E26" s="3010">
        <v>3003240.9474017741</v>
      </c>
      <c r="F26" s="3010">
        <v>3223603.6451204056</v>
      </c>
      <c r="G26" s="3010">
        <v>440725.39543726237</v>
      </c>
      <c r="H26" s="1284"/>
      <c r="J26" s="1285">
        <v>4025628.7382762991</v>
      </c>
      <c r="K26" s="1293">
        <v>802762.39543726237</v>
      </c>
      <c r="L26" s="1293">
        <v>3443966.3428390366</v>
      </c>
    </row>
    <row r="27" spans="1:15">
      <c r="A27" s="303" t="s">
        <v>697</v>
      </c>
      <c r="B27" s="2162">
        <v>0</v>
      </c>
      <c r="C27" s="2162">
        <v>0</v>
      </c>
      <c r="D27" s="2162">
        <v>0</v>
      </c>
      <c r="E27" s="2162">
        <v>0</v>
      </c>
      <c r="F27" s="2162">
        <v>0</v>
      </c>
      <c r="G27" s="2162">
        <v>0</v>
      </c>
    </row>
    <row r="28" spans="1:15">
      <c r="A28" s="303" t="s">
        <v>676</v>
      </c>
      <c r="B28" s="2162">
        <v>0</v>
      </c>
      <c r="C28" s="2162">
        <v>0</v>
      </c>
      <c r="D28" s="2162">
        <v>0</v>
      </c>
      <c r="E28" s="2162">
        <v>0</v>
      </c>
      <c r="F28" s="2162">
        <v>0</v>
      </c>
      <c r="G28" s="2162">
        <v>0</v>
      </c>
    </row>
    <row r="29" spans="1:15" s="837" customFormat="1">
      <c r="A29" s="303" t="s">
        <v>677</v>
      </c>
      <c r="B29" s="3011">
        <v>3443966.3428390366</v>
      </c>
      <c r="C29" s="2908">
        <v>0</v>
      </c>
      <c r="D29" s="2908">
        <v>0</v>
      </c>
      <c r="E29" s="2161">
        <v>3003240.9474017741</v>
      </c>
      <c r="F29" s="3010">
        <v>3223603.6451204056</v>
      </c>
      <c r="G29" s="3010">
        <v>440725.39543726237</v>
      </c>
      <c r="I29" s="1292"/>
    </row>
    <row r="30" spans="1:15">
      <c r="A30" s="303" t="s">
        <v>681</v>
      </c>
      <c r="B30" s="2162">
        <v>0</v>
      </c>
      <c r="C30" s="2162">
        <v>0</v>
      </c>
      <c r="D30" s="2162">
        <v>0</v>
      </c>
      <c r="E30" s="2162">
        <v>0</v>
      </c>
      <c r="F30" s="2162">
        <v>0</v>
      </c>
      <c r="G30" s="2162">
        <v>0</v>
      </c>
      <c r="H30" s="1284"/>
      <c r="J30" s="1285"/>
    </row>
    <row r="31" spans="1:15" ht="29.4" customHeight="1">
      <c r="A31" s="1294" t="s">
        <v>92</v>
      </c>
      <c r="B31" s="3012">
        <v>5152839.3428390361</v>
      </c>
      <c r="C31" s="3013">
        <v>0</v>
      </c>
      <c r="D31" s="3013">
        <v>0</v>
      </c>
      <c r="E31" s="3012">
        <v>4491013.9474017741</v>
      </c>
      <c r="F31" s="3014">
        <v>4821926.6451204056</v>
      </c>
      <c r="G31" s="3014">
        <v>661825.39543726237</v>
      </c>
      <c r="J31" s="1285">
        <v>5955601.7382762991</v>
      </c>
      <c r="K31" s="1285">
        <v>802762.39543726237</v>
      </c>
      <c r="L31" s="1285">
        <v>5152839.3428390371</v>
      </c>
      <c r="M31" s="1285"/>
      <c r="N31" s="1285"/>
      <c r="O31" s="1285"/>
    </row>
    <row r="32" spans="1:15">
      <c r="A32" s="303" t="s">
        <v>697</v>
      </c>
      <c r="B32" s="2162">
        <v>0</v>
      </c>
      <c r="C32" s="2162">
        <v>0</v>
      </c>
      <c r="D32" s="2162">
        <v>0</v>
      </c>
      <c r="E32" s="2162">
        <v>0</v>
      </c>
      <c r="F32" s="2162">
        <v>0</v>
      </c>
      <c r="G32" s="2162">
        <v>0</v>
      </c>
      <c r="J32" s="1285"/>
      <c r="K32" s="1285"/>
      <c r="L32" s="1285"/>
      <c r="M32" s="1285"/>
      <c r="N32" s="1285"/>
      <c r="O32" s="1285"/>
    </row>
    <row r="33" spans="1:12">
      <c r="A33" s="303" t="s">
        <v>676</v>
      </c>
      <c r="B33" s="2162">
        <v>0</v>
      </c>
      <c r="C33" s="2162">
        <v>0</v>
      </c>
      <c r="D33" s="2162">
        <v>0</v>
      </c>
      <c r="E33" s="2162">
        <v>0</v>
      </c>
      <c r="F33" s="2162">
        <v>0</v>
      </c>
      <c r="G33" s="2162">
        <v>0</v>
      </c>
    </row>
    <row r="34" spans="1:12">
      <c r="A34" s="303" t="s">
        <v>677</v>
      </c>
      <c r="B34" s="3011">
        <v>5152839.3428390361</v>
      </c>
      <c r="C34" s="2162">
        <v>0</v>
      </c>
      <c r="D34" s="2162">
        <v>0</v>
      </c>
      <c r="E34" s="3011">
        <v>4491013.9474017741</v>
      </c>
      <c r="F34" s="3010">
        <v>4821926.6451204056</v>
      </c>
      <c r="G34" s="3010">
        <v>661825.39543726237</v>
      </c>
    </row>
    <row r="35" spans="1:12">
      <c r="A35" s="303" t="s">
        <v>681</v>
      </c>
      <c r="B35" s="2161">
        <v>0</v>
      </c>
      <c r="C35" s="2162">
        <v>0</v>
      </c>
      <c r="D35" s="2162">
        <v>0</v>
      </c>
      <c r="E35" s="2162">
        <v>0</v>
      </c>
      <c r="F35" s="2162">
        <v>0</v>
      </c>
      <c r="G35" s="2162">
        <v>0</v>
      </c>
      <c r="L35" s="201">
        <v>106082.38619264893</v>
      </c>
    </row>
    <row r="36" spans="1:12">
      <c r="A36" s="278"/>
    </row>
    <row r="37" spans="1:12">
      <c r="A37" s="278"/>
    </row>
    <row r="40" spans="1:12" s="835" customFormat="1" ht="23.25" customHeight="1">
      <c r="A40" s="839" t="s">
        <v>1266</v>
      </c>
      <c r="B40" s="839"/>
      <c r="C40" s="834"/>
      <c r="H40" s="1297"/>
    </row>
    <row r="41" spans="1:12" s="835" customFormat="1" ht="15" customHeight="1">
      <c r="A41" s="839" t="s">
        <v>1304</v>
      </c>
      <c r="B41" s="840"/>
      <c r="C41" s="834"/>
      <c r="G41" s="841" t="s">
        <v>2876</v>
      </c>
    </row>
    <row r="42" spans="1:12" s="282" customFormat="1" ht="15.6">
      <c r="A42" s="865"/>
      <c r="C42" s="283"/>
      <c r="F42" s="172"/>
      <c r="L42" s="678"/>
    </row>
    <row r="43" spans="1:12" s="282" customFormat="1" ht="11.25" customHeight="1">
      <c r="I43" s="290"/>
    </row>
    <row r="44" spans="1:12" s="282" customFormat="1">
      <c r="I44" s="290"/>
    </row>
    <row r="45" spans="1:12" s="282" customFormat="1">
      <c r="I45" s="290"/>
    </row>
    <row r="46" spans="1:12">
      <c r="A46" s="4191"/>
      <c r="B46" s="4192"/>
      <c r="C46" s="4192"/>
      <c r="D46" s="4192"/>
      <c r="E46" s="4192"/>
      <c r="F46" s="4192"/>
      <c r="G46" s="4192"/>
    </row>
    <row r="53" spans="1:1">
      <c r="A53" s="98"/>
    </row>
    <row r="54" spans="1:1">
      <c r="A54" s="98"/>
    </row>
  </sheetData>
  <mergeCells count="3">
    <mergeCell ref="A10:A14"/>
    <mergeCell ref="G10:G14"/>
    <mergeCell ref="A46:G46"/>
  </mergeCells>
  <printOptions horizontalCentered="1"/>
  <pageMargins left="0.78740157480314965" right="0.78740157480314965" top="0.78740157480314965" bottom="0.11811023622047245" header="0.51181102362204722" footer="3.937007874015748E-2"/>
  <pageSetup paperSize="9" orientation="portrait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7" enableFormatConditionsCalculation="0">
    <tabColor rgb="FF7030A0"/>
  </sheetPr>
  <dimension ref="A1:Z63"/>
  <sheetViews>
    <sheetView workbookViewId="0">
      <selection activeCell="B32" sqref="A1:XFD1048576"/>
    </sheetView>
  </sheetViews>
  <sheetFormatPr defaultColWidth="9.109375" defaultRowHeight="15.6"/>
  <cols>
    <col min="1" max="1" width="47.88671875" style="26" customWidth="1"/>
    <col min="2" max="2" width="8.109375" style="26" hidden="1" customWidth="1"/>
    <col min="3" max="3" width="7" style="26" hidden="1" customWidth="1"/>
    <col min="4" max="4" width="17.88671875" style="10" hidden="1" customWidth="1"/>
    <col min="5" max="5" width="19.6640625" style="10" hidden="1" customWidth="1"/>
    <col min="6" max="6" width="11.5546875" style="10" hidden="1" customWidth="1"/>
    <col min="7" max="7" width="13.88671875" style="10" hidden="1" customWidth="1"/>
    <col min="8" max="8" width="12.33203125" style="10" hidden="1" customWidth="1"/>
    <col min="9" max="9" width="11.44140625" style="10" hidden="1" customWidth="1"/>
    <col min="10" max="10" width="18.109375" style="201" customWidth="1"/>
    <col min="11" max="11" width="16.6640625" style="10" customWidth="1"/>
    <col min="12" max="12" width="14.109375" style="10" customWidth="1"/>
    <col min="13" max="13" width="15.109375" style="10" customWidth="1"/>
    <col min="14" max="14" width="15" style="10" customWidth="1"/>
    <col min="15" max="15" width="12.44140625" style="10" customWidth="1"/>
    <col min="16" max="16" width="14" style="26" customWidth="1"/>
    <col min="17" max="17" width="14.44140625" style="26" customWidth="1"/>
    <col min="18" max="18" width="13.109375" style="26" customWidth="1"/>
    <col min="19" max="19" width="11.44140625" style="635" bestFit="1" customWidth="1"/>
    <col min="20" max="20" width="10.109375" style="26" customWidth="1"/>
    <col min="21" max="21" width="12.44140625" style="26" customWidth="1"/>
    <col min="22" max="22" width="12" style="26" bestFit="1" customWidth="1"/>
    <col min="23" max="23" width="9.6640625" style="26" bestFit="1" customWidth="1"/>
    <col min="24" max="16384" width="9.109375" style="26"/>
  </cols>
  <sheetData>
    <row r="1" spans="1:24" ht="18">
      <c r="A1" s="128" t="s">
        <v>633</v>
      </c>
      <c r="B1" s="128"/>
      <c r="C1" s="128"/>
      <c r="D1" s="866"/>
      <c r="E1" s="866"/>
      <c r="F1" s="866"/>
      <c r="G1" s="866"/>
      <c r="H1" s="866"/>
      <c r="I1" s="866"/>
      <c r="J1" s="867"/>
      <c r="K1" s="866"/>
      <c r="L1" s="866"/>
      <c r="M1" s="866"/>
      <c r="N1" s="866"/>
      <c r="O1" s="868"/>
    </row>
    <row r="2" spans="1:24" ht="18">
      <c r="A2" s="128" t="s">
        <v>2530</v>
      </c>
      <c r="B2" s="128"/>
      <c r="C2" s="128"/>
      <c r="D2" s="866"/>
      <c r="E2" s="866"/>
      <c r="F2" s="866"/>
      <c r="G2" s="866"/>
      <c r="H2" s="866"/>
      <c r="I2" s="866"/>
      <c r="J2" s="867"/>
      <c r="K2" s="866"/>
      <c r="L2" s="866"/>
      <c r="M2" s="866"/>
      <c r="N2" s="866"/>
      <c r="O2" s="868"/>
    </row>
    <row r="3" spans="1:24" ht="18">
      <c r="A3" s="128" t="s">
        <v>2956</v>
      </c>
      <c r="B3" s="128"/>
      <c r="C3" s="128"/>
      <c r="D3" s="866"/>
      <c r="E3" s="866"/>
      <c r="F3" s="866"/>
      <c r="G3" s="866"/>
      <c r="H3" s="866"/>
      <c r="I3" s="866"/>
      <c r="J3" s="867"/>
      <c r="K3" s="866"/>
      <c r="L3" s="866"/>
      <c r="M3" s="866"/>
      <c r="N3" s="866"/>
      <c r="O3" s="868"/>
    </row>
    <row r="4" spans="1:24">
      <c r="H4" s="78"/>
      <c r="K4" s="129"/>
      <c r="M4" s="1241" t="s">
        <v>2424</v>
      </c>
      <c r="N4" s="129" t="s">
        <v>601</v>
      </c>
      <c r="O4" s="78"/>
    </row>
    <row r="5" spans="1:24" s="106" customFormat="1" ht="73.5" customHeight="1">
      <c r="A5" s="355" t="s">
        <v>1162</v>
      </c>
      <c r="B5" s="355" t="s">
        <v>658</v>
      </c>
      <c r="C5" s="355" t="s">
        <v>1161</v>
      </c>
      <c r="D5" s="2673" t="s">
        <v>2006</v>
      </c>
      <c r="E5" s="2673" t="s">
        <v>1677</v>
      </c>
      <c r="F5" s="2673" t="s">
        <v>1163</v>
      </c>
      <c r="G5" s="2673" t="s">
        <v>2007</v>
      </c>
      <c r="H5" s="2673" t="s">
        <v>1207</v>
      </c>
      <c r="I5" s="2673" t="s">
        <v>2008</v>
      </c>
      <c r="J5" s="355" t="s">
        <v>2967</v>
      </c>
      <c r="K5" s="355" t="s">
        <v>2807</v>
      </c>
      <c r="L5" s="355" t="s">
        <v>2968</v>
      </c>
      <c r="M5" s="355" t="s">
        <v>2893</v>
      </c>
      <c r="N5" s="355" t="s">
        <v>2894</v>
      </c>
      <c r="O5" s="355" t="s">
        <v>2895</v>
      </c>
      <c r="P5" s="355" t="s">
        <v>2969</v>
      </c>
      <c r="Q5" s="355" t="s">
        <v>2970</v>
      </c>
      <c r="R5" s="355" t="s">
        <v>2895</v>
      </c>
      <c r="T5" s="1798"/>
      <c r="V5" s="1799"/>
      <c r="W5" s="1800"/>
      <c r="X5" s="1801" t="s">
        <v>1160</v>
      </c>
    </row>
    <row r="6" spans="1:24" s="106" customFormat="1" ht="25.5" hidden="1" customHeight="1">
      <c r="A6" s="1802"/>
      <c r="B6" s="676"/>
      <c r="C6" s="677"/>
      <c r="D6" s="2674"/>
      <c r="E6" s="2675"/>
      <c r="F6" s="2676"/>
      <c r="G6" s="2675"/>
      <c r="H6" s="2675">
        <v>0</v>
      </c>
      <c r="I6" s="2675">
        <v>0</v>
      </c>
      <c r="J6" s="1803">
        <v>0</v>
      </c>
      <c r="K6" s="1198">
        <v>0</v>
      </c>
      <c r="L6" s="1198"/>
      <c r="M6" s="1198">
        <v>0</v>
      </c>
      <c r="N6" s="1198">
        <v>0</v>
      </c>
      <c r="O6" s="1198" t="e">
        <v>#DIV/0!</v>
      </c>
      <c r="P6" s="1198">
        <v>0</v>
      </c>
      <c r="Q6" s="1198">
        <v>0</v>
      </c>
      <c r="R6" s="1198" t="e">
        <v>#DIV/0!</v>
      </c>
      <c r="S6" s="1804" t="e">
        <v>#DIV/0!</v>
      </c>
      <c r="T6" s="1805"/>
      <c r="V6" s="1799"/>
      <c r="W6" s="1805"/>
      <c r="X6" s="1806">
        <v>0</v>
      </c>
    </row>
    <row r="7" spans="1:24" s="106" customFormat="1" ht="25.5" hidden="1" customHeight="1">
      <c r="A7" s="1802"/>
      <c r="B7" s="676"/>
      <c r="C7" s="677"/>
      <c r="D7" s="2674"/>
      <c r="E7" s="2675"/>
      <c r="F7" s="2676"/>
      <c r="G7" s="2675"/>
      <c r="H7" s="2675">
        <v>0</v>
      </c>
      <c r="I7" s="2675">
        <v>0</v>
      </c>
      <c r="J7" s="1803">
        <v>0</v>
      </c>
      <c r="K7" s="1198">
        <v>0</v>
      </c>
      <c r="L7" s="1198"/>
      <c r="M7" s="1198">
        <v>0</v>
      </c>
      <c r="N7" s="1198">
        <v>0</v>
      </c>
      <c r="O7" s="1198" t="e">
        <v>#DIV/0!</v>
      </c>
      <c r="P7" s="1198">
        <v>0</v>
      </c>
      <c r="Q7" s="1198">
        <v>0</v>
      </c>
      <c r="R7" s="1198" t="e">
        <v>#DIV/0!</v>
      </c>
      <c r="S7" s="1804" t="e">
        <v>#DIV/0!</v>
      </c>
      <c r="T7" s="1805"/>
      <c r="V7" s="1799"/>
      <c r="W7" s="1805"/>
      <c r="X7" s="1806">
        <v>0</v>
      </c>
    </row>
    <row r="8" spans="1:24" s="106" customFormat="1" ht="25.5" hidden="1" customHeight="1">
      <c r="A8" s="1802"/>
      <c r="B8" s="676"/>
      <c r="C8" s="677"/>
      <c r="D8" s="2674"/>
      <c r="E8" s="2675"/>
      <c r="F8" s="2676"/>
      <c r="G8" s="2675"/>
      <c r="H8" s="2675">
        <v>0</v>
      </c>
      <c r="I8" s="2675">
        <v>0</v>
      </c>
      <c r="J8" s="1803">
        <v>0</v>
      </c>
      <c r="K8" s="1198">
        <v>0</v>
      </c>
      <c r="L8" s="1198"/>
      <c r="M8" s="1198">
        <v>0</v>
      </c>
      <c r="N8" s="1198">
        <v>0</v>
      </c>
      <c r="O8" s="1198" t="e">
        <v>#DIV/0!</v>
      </c>
      <c r="P8" s="1198">
        <v>0</v>
      </c>
      <c r="Q8" s="1198">
        <v>0</v>
      </c>
      <c r="R8" s="1198" t="e">
        <v>#DIV/0!</v>
      </c>
      <c r="S8" s="1804" t="e">
        <v>#DIV/0!</v>
      </c>
      <c r="T8" s="1805"/>
      <c r="V8" s="1799"/>
      <c r="W8" s="1805"/>
      <c r="X8" s="1806">
        <v>0</v>
      </c>
    </row>
    <row r="9" spans="1:24" s="106" customFormat="1" ht="13.8" hidden="1">
      <c r="A9" s="1802"/>
      <c r="B9" s="676"/>
      <c r="C9" s="677"/>
      <c r="D9" s="2676"/>
      <c r="E9" s="2676"/>
      <c r="F9" s="2675"/>
      <c r="G9" s="2676"/>
      <c r="H9" s="2675">
        <v>0</v>
      </c>
      <c r="I9" s="2675">
        <v>0</v>
      </c>
      <c r="J9" s="1198">
        <v>0</v>
      </c>
      <c r="K9" s="1198">
        <v>0</v>
      </c>
      <c r="L9" s="573"/>
      <c r="M9" s="1198">
        <v>0</v>
      </c>
      <c r="N9" s="1198">
        <v>0</v>
      </c>
      <c r="O9" s="1198" t="e">
        <v>#DIV/0!</v>
      </c>
      <c r="P9" s="1198">
        <v>0</v>
      </c>
      <c r="Q9" s="1198">
        <v>0</v>
      </c>
      <c r="R9" s="1198" t="e">
        <v>#DIV/0!</v>
      </c>
      <c r="S9" s="1804" t="e">
        <v>#DIV/0!</v>
      </c>
      <c r="T9" s="1805">
        <v>0</v>
      </c>
      <c r="V9" s="1799"/>
      <c r="W9" s="1805"/>
      <c r="X9" s="1806">
        <v>0</v>
      </c>
    </row>
    <row r="10" spans="1:24" s="106" customFormat="1" ht="27" hidden="1" customHeight="1">
      <c r="A10" s="1826" t="s">
        <v>1664</v>
      </c>
      <c r="B10" s="1826"/>
      <c r="C10" s="1826"/>
      <c r="D10" s="2677">
        <v>16085258</v>
      </c>
      <c r="E10" s="2677">
        <v>4850307</v>
      </c>
      <c r="F10" s="2675">
        <v>0</v>
      </c>
      <c r="G10" s="2677">
        <v>6764</v>
      </c>
      <c r="H10" s="2675"/>
      <c r="I10" s="2675">
        <v>81168</v>
      </c>
      <c r="J10" s="2918">
        <v>5810983</v>
      </c>
      <c r="K10" s="2407">
        <v>4769139</v>
      </c>
      <c r="L10" s="2407">
        <v>43001</v>
      </c>
      <c r="M10" s="1827">
        <v>516012</v>
      </c>
      <c r="N10" s="1827">
        <v>4253127</v>
      </c>
      <c r="O10" s="1827">
        <v>8.8799433761895372</v>
      </c>
      <c r="P10" s="1827">
        <v>516012</v>
      </c>
      <c r="Q10" s="1827">
        <v>3737115</v>
      </c>
      <c r="R10" s="1827">
        <v>8.8799433761895372</v>
      </c>
      <c r="U10" s="106">
        <v>0.50461111658886659</v>
      </c>
      <c r="V10" s="106">
        <v>974016</v>
      </c>
      <c r="X10" s="106">
        <v>4789431</v>
      </c>
    </row>
    <row r="11" spans="1:24" s="106" customFormat="1" ht="33.75" hidden="1" customHeight="1">
      <c r="A11" s="1802" t="s">
        <v>1660</v>
      </c>
      <c r="B11" s="676"/>
      <c r="C11" s="677"/>
      <c r="D11" s="2676">
        <v>0</v>
      </c>
      <c r="E11" s="2676">
        <v>0</v>
      </c>
      <c r="F11" s="2676"/>
      <c r="G11" s="2676">
        <v>0</v>
      </c>
      <c r="H11" s="2675">
        <v>0</v>
      </c>
      <c r="I11" s="2676">
        <v>0</v>
      </c>
      <c r="J11" s="573">
        <v>0</v>
      </c>
      <c r="K11" s="573">
        <v>0</v>
      </c>
      <c r="L11" s="573">
        <v>0</v>
      </c>
      <c r="M11" s="573">
        <v>0</v>
      </c>
      <c r="N11" s="573">
        <v>0</v>
      </c>
      <c r="O11" s="573">
        <v>0</v>
      </c>
      <c r="P11" s="573">
        <v>0</v>
      </c>
      <c r="Q11" s="573">
        <v>0</v>
      </c>
      <c r="R11" s="573">
        <v>0</v>
      </c>
      <c r="U11" s="1804" t="e">
        <v>#DIV/0!</v>
      </c>
      <c r="V11" s="1805">
        <v>0</v>
      </c>
      <c r="W11" s="1805"/>
      <c r="X11" s="1806">
        <v>0</v>
      </c>
    </row>
    <row r="12" spans="1:24" s="106" customFormat="1" ht="33.75" hidden="1" customHeight="1">
      <c r="A12" s="2409" t="s">
        <v>2419</v>
      </c>
      <c r="B12" s="2410"/>
      <c r="C12" s="2411"/>
      <c r="D12" s="2678">
        <v>1556773</v>
      </c>
      <c r="E12" s="2676">
        <v>1175070</v>
      </c>
      <c r="F12" s="2676"/>
      <c r="G12" s="2676">
        <v>4238</v>
      </c>
      <c r="H12" s="2675">
        <v>0</v>
      </c>
      <c r="I12" s="2676">
        <v>50856</v>
      </c>
      <c r="J12" s="1827">
        <v>1556773</v>
      </c>
      <c r="K12" s="2412">
        <v>920790</v>
      </c>
      <c r="L12" s="2412">
        <v>4238</v>
      </c>
      <c r="M12" s="2412">
        <v>50856</v>
      </c>
      <c r="N12" s="2412">
        <v>869934</v>
      </c>
      <c r="O12" s="2413">
        <v>3.2667575812273211</v>
      </c>
      <c r="P12" s="2412">
        <v>50856</v>
      </c>
      <c r="Q12" s="2412">
        <v>819078</v>
      </c>
      <c r="R12" s="2413">
        <v>3.2667575812273211</v>
      </c>
      <c r="S12" s="2414" t="s">
        <v>2420</v>
      </c>
      <c r="T12" s="2415">
        <v>30.611392952650622</v>
      </c>
      <c r="U12" s="1804">
        <v>3.2667575812273211</v>
      </c>
      <c r="V12" s="1805">
        <v>610272</v>
      </c>
      <c r="W12" s="1805"/>
      <c r="X12" s="1806">
        <v>1136928</v>
      </c>
    </row>
    <row r="13" spans="1:24" s="1812" customFormat="1" ht="32.25" customHeight="1">
      <c r="A13" s="1807" t="s">
        <v>1661</v>
      </c>
      <c r="B13" s="945"/>
      <c r="C13" s="946"/>
      <c r="D13" s="2679">
        <v>17642031</v>
      </c>
      <c r="E13" s="2679">
        <v>6025377</v>
      </c>
      <c r="F13" s="2679">
        <v>0</v>
      </c>
      <c r="G13" s="2679">
        <v>11002</v>
      </c>
      <c r="H13" s="2679">
        <v>0</v>
      </c>
      <c r="I13" s="2679">
        <v>132024</v>
      </c>
      <c r="J13" s="1808">
        <v>7372256</v>
      </c>
      <c r="K13" s="1808">
        <v>4025628.7382762991</v>
      </c>
      <c r="L13" s="1808">
        <v>48471.866286438526</v>
      </c>
      <c r="M13" s="1808">
        <v>581662.39543726237</v>
      </c>
      <c r="N13" s="1808">
        <v>3443966.3428390366</v>
      </c>
      <c r="O13" s="1809">
        <v>3.2970262632304772</v>
      </c>
      <c r="P13" s="1808">
        <v>440725.39543726237</v>
      </c>
      <c r="Q13" s="1808">
        <v>3003240.9474017741</v>
      </c>
      <c r="R13" s="1809">
        <v>5.9781618467571169</v>
      </c>
      <c r="S13" s="1810"/>
      <c r="T13" s="1811"/>
      <c r="W13" s="1813">
        <v>0.74834921217404049</v>
      </c>
      <c r="X13" s="1811">
        <v>5926359</v>
      </c>
    </row>
    <row r="14" spans="1:24" s="106" customFormat="1" ht="27" customHeight="1">
      <c r="A14" s="1826" t="s">
        <v>1663</v>
      </c>
      <c r="B14" s="1826"/>
      <c r="C14" s="1826"/>
      <c r="D14" s="2675">
        <v>14648680</v>
      </c>
      <c r="E14" s="2675">
        <v>4924684</v>
      </c>
      <c r="F14" s="2675">
        <v>0</v>
      </c>
      <c r="G14" s="2675">
        <v>29374</v>
      </c>
      <c r="H14" s="2675"/>
      <c r="I14" s="2675">
        <v>352488</v>
      </c>
      <c r="J14" s="1827">
        <v>4395952</v>
      </c>
      <c r="K14" s="1827">
        <v>1929973</v>
      </c>
      <c r="L14" s="1827">
        <v>18425</v>
      </c>
      <c r="M14" s="1827">
        <v>221100</v>
      </c>
      <c r="N14" s="1803">
        <v>1708873</v>
      </c>
      <c r="O14" s="1827">
        <v>5.0296272570765108</v>
      </c>
      <c r="P14" s="1827">
        <v>221100</v>
      </c>
      <c r="Q14" s="1803">
        <v>1487773</v>
      </c>
      <c r="R14" s="1827">
        <v>5.0296272570765108</v>
      </c>
      <c r="W14" s="106">
        <v>2.4062782448657489</v>
      </c>
      <c r="X14" s="106">
        <v>4660318</v>
      </c>
    </row>
    <row r="15" spans="1:24" s="106" customFormat="1" ht="31.5" hidden="1" customHeight="1">
      <c r="A15" s="2877" t="s">
        <v>1675</v>
      </c>
      <c r="B15" s="2877"/>
      <c r="C15" s="2877"/>
      <c r="D15" s="2413">
        <v>301659</v>
      </c>
      <c r="E15" s="2413">
        <v>71286</v>
      </c>
      <c r="F15" s="2413">
        <v>0</v>
      </c>
      <c r="G15" s="2413">
        <v>611</v>
      </c>
      <c r="H15" s="2413"/>
      <c r="I15" s="2413">
        <v>7332</v>
      </c>
      <c r="J15" s="2413"/>
      <c r="K15" s="2413"/>
      <c r="L15" s="2413"/>
      <c r="M15" s="2413"/>
      <c r="N15" s="2413">
        <v>0</v>
      </c>
      <c r="O15" s="2413" t="e">
        <v>#DIV/0!</v>
      </c>
      <c r="P15" s="2413">
        <v>0</v>
      </c>
      <c r="Q15" s="2413">
        <v>0</v>
      </c>
      <c r="R15" s="2413" t="e">
        <v>#DIV/0!</v>
      </c>
      <c r="W15" s="106">
        <v>2.4305590086819886</v>
      </c>
      <c r="X15" s="106">
        <v>65787</v>
      </c>
    </row>
    <row r="16" spans="1:24" s="1812" customFormat="1" ht="32.25" customHeight="1">
      <c r="A16" s="1814" t="s">
        <v>1676</v>
      </c>
      <c r="B16" s="946"/>
      <c r="C16" s="946"/>
      <c r="D16" s="2680">
        <v>14950339</v>
      </c>
      <c r="E16" s="2680">
        <v>4995970</v>
      </c>
      <c r="F16" s="2681">
        <v>0</v>
      </c>
      <c r="G16" s="2680">
        <v>29985</v>
      </c>
      <c r="H16" s="2681">
        <v>0</v>
      </c>
      <c r="I16" s="2679">
        <v>359820</v>
      </c>
      <c r="J16" s="1808">
        <v>4395952</v>
      </c>
      <c r="K16" s="1816">
        <v>1929973</v>
      </c>
      <c r="L16" s="1815">
        <v>18425</v>
      </c>
      <c r="M16" s="1816">
        <v>221100</v>
      </c>
      <c r="N16" s="1816">
        <v>1708873</v>
      </c>
      <c r="O16" s="1815">
        <v>5.0296272570765108</v>
      </c>
      <c r="P16" s="1816">
        <v>221100</v>
      </c>
      <c r="Q16" s="1816">
        <v>1487773</v>
      </c>
      <c r="R16" s="1815">
        <v>5.0296272570765108</v>
      </c>
      <c r="S16" s="1810"/>
      <c r="T16" s="1811"/>
      <c r="W16" s="1813">
        <v>2.4067681675980728</v>
      </c>
      <c r="X16" s="1811">
        <v>4726105</v>
      </c>
    </row>
    <row r="17" spans="1:26" s="106" customFormat="1" ht="32.25" hidden="1" customHeight="1">
      <c r="A17" s="415" t="s">
        <v>370</v>
      </c>
      <c r="B17" s="677"/>
      <c r="C17" s="677"/>
      <c r="D17" s="2674"/>
      <c r="E17" s="2676">
        <v>0</v>
      </c>
      <c r="F17" s="2676">
        <v>0</v>
      </c>
      <c r="G17" s="2676">
        <v>0</v>
      </c>
      <c r="H17" s="2676">
        <v>0</v>
      </c>
      <c r="I17" s="2676">
        <v>0</v>
      </c>
      <c r="J17" s="1803"/>
      <c r="K17" s="573">
        <v>0</v>
      </c>
      <c r="L17" s="573">
        <v>0</v>
      </c>
      <c r="M17" s="573">
        <v>0</v>
      </c>
      <c r="N17" s="573">
        <v>0</v>
      </c>
      <c r="O17" s="1198" t="e">
        <v>#DIV/0!</v>
      </c>
      <c r="P17" s="573">
        <v>0</v>
      </c>
      <c r="Q17" s="573">
        <v>0</v>
      </c>
      <c r="R17" s="1827" t="e">
        <v>#DIV/0!</v>
      </c>
      <c r="T17" s="1798"/>
      <c r="V17" s="1799"/>
      <c r="W17" s="1804" t="e">
        <v>#DIV/0!</v>
      </c>
      <c r="X17" s="1806"/>
    </row>
    <row r="18" spans="1:26" s="106" customFormat="1" ht="21" hidden="1" customHeight="1">
      <c r="A18" s="415" t="s">
        <v>370</v>
      </c>
      <c r="B18" s="677"/>
      <c r="C18" s="677"/>
      <c r="D18" s="2676">
        <v>0</v>
      </c>
      <c r="E18" s="2676">
        <v>0</v>
      </c>
      <c r="F18" s="2676">
        <v>0</v>
      </c>
      <c r="G18" s="2676">
        <v>0</v>
      </c>
      <c r="H18" s="2676">
        <v>0</v>
      </c>
      <c r="I18" s="2676">
        <v>0</v>
      </c>
      <c r="J18" s="573">
        <v>0</v>
      </c>
      <c r="K18" s="573">
        <v>0</v>
      </c>
      <c r="L18" s="573">
        <v>0</v>
      </c>
      <c r="M18" s="573">
        <v>0</v>
      </c>
      <c r="N18" s="573">
        <v>0</v>
      </c>
      <c r="O18" s="1198" t="e">
        <v>#DIV/0!</v>
      </c>
      <c r="P18" s="573">
        <v>0</v>
      </c>
      <c r="Q18" s="573">
        <v>0</v>
      </c>
      <c r="R18" s="573" t="e">
        <v>#DIV/0!</v>
      </c>
      <c r="V18" s="1799"/>
      <c r="W18" s="1804" t="e">
        <v>#DIV/0!</v>
      </c>
      <c r="X18" s="1806"/>
    </row>
    <row r="19" spans="1:26" s="1810" customFormat="1" ht="31.5" customHeight="1">
      <c r="A19" s="1817" t="s">
        <v>419</v>
      </c>
      <c r="B19" s="1817"/>
      <c r="C19" s="1817"/>
      <c r="D19" s="2682">
        <v>32592370</v>
      </c>
      <c r="E19" s="2682">
        <v>11021347</v>
      </c>
      <c r="F19" s="2682">
        <v>0</v>
      </c>
      <c r="G19" s="2682">
        <v>40987</v>
      </c>
      <c r="H19" s="2682">
        <v>0</v>
      </c>
      <c r="I19" s="2682">
        <v>491844</v>
      </c>
      <c r="J19" s="1809">
        <v>11768208</v>
      </c>
      <c r="K19" s="1809">
        <v>5955601.7382762991</v>
      </c>
      <c r="L19" s="1809">
        <v>66896.866286438526</v>
      </c>
      <c r="M19" s="2682">
        <v>802762.39543726237</v>
      </c>
      <c r="N19" s="1809">
        <v>5152839.3428390361</v>
      </c>
      <c r="O19" s="1809">
        <v>6.8214497520545381</v>
      </c>
      <c r="P19" s="2682">
        <v>661825.39543726237</v>
      </c>
      <c r="Q19" s="1809">
        <v>4491013.9474017741</v>
      </c>
      <c r="R19" s="1809">
        <v>5.6238417560028031</v>
      </c>
      <c r="T19" s="1818"/>
      <c r="V19" s="1810">
        <v>17.529840211752262</v>
      </c>
      <c r="W19" s="1804">
        <v>1.5090771244926342</v>
      </c>
      <c r="X19" s="1819"/>
    </row>
    <row r="20" spans="1:26" s="10" customFormat="1" ht="13.2">
      <c r="A20" s="38"/>
      <c r="B20" s="38"/>
      <c r="C20" s="38"/>
      <c r="D20" s="38"/>
      <c r="E20" s="869"/>
      <c r="F20" s="869"/>
      <c r="G20" s="869"/>
      <c r="H20" s="869"/>
      <c r="I20" s="869"/>
      <c r="J20" s="870"/>
      <c r="K20" s="869"/>
      <c r="L20" s="869"/>
      <c r="M20" s="869"/>
      <c r="N20" s="869"/>
      <c r="O20" s="869"/>
      <c r="T20" s="1824"/>
      <c r="U20" s="1823"/>
    </row>
    <row r="21" spans="1:26" s="10" customFormat="1" hidden="1">
      <c r="A21" s="2406" t="s">
        <v>663</v>
      </c>
      <c r="B21" s="38"/>
      <c r="C21" s="38"/>
      <c r="D21" s="38"/>
      <c r="E21" s="869"/>
      <c r="F21" s="869"/>
      <c r="G21" s="869"/>
      <c r="H21" s="869"/>
      <c r="I21" s="869"/>
      <c r="J21" s="870"/>
      <c r="K21" s="869"/>
      <c r="L21" s="869"/>
      <c r="M21" s="869"/>
      <c r="N21" s="869"/>
      <c r="O21" s="869"/>
      <c r="T21" s="1824"/>
      <c r="U21" s="1823"/>
    </row>
    <row r="22" spans="1:26" s="10" customFormat="1" hidden="1">
      <c r="A22" s="80" t="s">
        <v>2416</v>
      </c>
      <c r="B22" s="38"/>
      <c r="C22" s="38"/>
      <c r="D22" s="38"/>
      <c r="E22" s="869"/>
      <c r="F22" s="869"/>
      <c r="G22" s="869"/>
      <c r="H22" s="869"/>
      <c r="I22" s="869"/>
      <c r="J22" s="870"/>
      <c r="K22" s="869"/>
      <c r="L22" s="869"/>
      <c r="M22" s="869"/>
      <c r="N22" s="869"/>
      <c r="O22" s="869"/>
      <c r="T22" s="1824"/>
      <c r="U22" s="1823"/>
    </row>
    <row r="23" spans="1:26" s="10" customFormat="1" ht="16.5" hidden="1" customHeight="1">
      <c r="A23" s="80" t="s">
        <v>2425</v>
      </c>
      <c r="B23" s="38"/>
      <c r="C23" s="38"/>
      <c r="D23" s="38"/>
      <c r="E23" s="869"/>
      <c r="F23" s="869"/>
      <c r="G23" s="869"/>
      <c r="H23" s="869"/>
      <c r="I23" s="869"/>
      <c r="J23" s="870"/>
      <c r="K23" s="869"/>
      <c r="L23" s="869"/>
      <c r="M23" s="869"/>
      <c r="N23" s="869"/>
      <c r="O23" s="869"/>
      <c r="T23" s="1824"/>
      <c r="U23" s="1823"/>
    </row>
    <row r="24" spans="1:26" s="10" customFormat="1" hidden="1">
      <c r="A24" s="2408" t="s">
        <v>2418</v>
      </c>
      <c r="B24" s="38"/>
      <c r="C24" s="38"/>
      <c r="D24" s="38"/>
      <c r="E24" s="869"/>
      <c r="F24" s="869"/>
      <c r="G24" s="869"/>
      <c r="H24" s="869"/>
      <c r="I24" s="869"/>
      <c r="J24" s="870"/>
      <c r="K24" s="869"/>
      <c r="L24" s="869"/>
      <c r="M24" s="869"/>
      <c r="N24" s="869"/>
      <c r="O24" s="869"/>
      <c r="T24" s="1824"/>
      <c r="U24" s="1823"/>
    </row>
    <row r="25" spans="1:26" s="10" customFormat="1" hidden="1">
      <c r="A25" s="2408" t="s">
        <v>2417</v>
      </c>
      <c r="B25" s="38"/>
      <c r="C25" s="38"/>
      <c r="D25" s="38"/>
      <c r="E25" s="869"/>
      <c r="F25" s="869"/>
      <c r="G25" s="869"/>
      <c r="H25" s="869"/>
      <c r="I25" s="869"/>
      <c r="J25" s="870"/>
      <c r="K25" s="869"/>
      <c r="L25" s="869"/>
      <c r="M25" s="869"/>
      <c r="N25" s="869"/>
      <c r="O25" s="869"/>
      <c r="T25" s="1824"/>
      <c r="U25" s="1823"/>
    </row>
    <row r="26" spans="1:26" s="10" customFormat="1" hidden="1">
      <c r="A26" s="2927" t="s">
        <v>2734</v>
      </c>
      <c r="B26" s="38"/>
      <c r="C26" s="38"/>
      <c r="D26" s="38"/>
      <c r="E26" s="869"/>
      <c r="F26" s="869"/>
      <c r="G26" s="869"/>
      <c r="H26" s="869"/>
      <c r="I26" s="869"/>
      <c r="J26" s="870"/>
      <c r="K26" s="869"/>
      <c r="L26" s="869"/>
      <c r="M26" s="869"/>
      <c r="N26" s="869"/>
      <c r="O26" s="869"/>
      <c r="T26" s="1824"/>
      <c r="U26" s="1823"/>
    </row>
    <row r="27" spans="1:26" s="10" customFormat="1" hidden="1">
      <c r="A27" s="2927" t="s">
        <v>2735</v>
      </c>
      <c r="B27" s="38"/>
      <c r="C27" s="38"/>
      <c r="D27" s="38"/>
      <c r="E27" s="869"/>
      <c r="F27" s="869"/>
      <c r="G27" s="869"/>
      <c r="H27" s="869"/>
      <c r="I27" s="869"/>
      <c r="J27" s="870"/>
      <c r="K27" s="869"/>
      <c r="L27" s="869"/>
      <c r="M27" s="869"/>
      <c r="N27" s="869"/>
      <c r="O27" s="869"/>
      <c r="T27" s="1824"/>
      <c r="U27" s="1823"/>
    </row>
    <row r="28" spans="1:26" s="10" customFormat="1" hidden="1">
      <c r="A28" s="2408"/>
      <c r="B28" s="38"/>
      <c r="C28" s="38"/>
      <c r="D28" s="38"/>
      <c r="E28" s="869"/>
      <c r="F28" s="869"/>
      <c r="G28" s="869"/>
      <c r="H28" s="869"/>
      <c r="I28" s="869"/>
      <c r="J28" s="870"/>
      <c r="K28" s="869"/>
      <c r="L28" s="869"/>
      <c r="M28" s="869"/>
      <c r="N28" s="869"/>
      <c r="O28" s="869"/>
      <c r="T28" s="1824"/>
      <c r="U28" s="1823"/>
    </row>
    <row r="29" spans="1:26" s="10" customFormat="1">
      <c r="A29" s="80" t="s">
        <v>1427</v>
      </c>
      <c r="B29" s="80"/>
      <c r="C29" s="80"/>
      <c r="D29" s="80"/>
      <c r="E29" s="1820"/>
      <c r="F29" s="1820"/>
      <c r="G29" s="1820"/>
      <c r="H29" s="1820"/>
      <c r="I29" s="1820"/>
      <c r="J29" s="183"/>
      <c r="K29" s="1820"/>
      <c r="L29" s="1820"/>
      <c r="M29" s="869"/>
      <c r="N29" s="869"/>
      <c r="O29" s="869"/>
      <c r="T29" s="1824"/>
      <c r="U29" s="1823"/>
    </row>
    <row r="30" spans="1:26" s="10" customFormat="1">
      <c r="A30" s="80" t="s">
        <v>1428</v>
      </c>
      <c r="B30" s="80"/>
      <c r="C30" s="80"/>
      <c r="D30" s="80"/>
      <c r="E30" s="1820"/>
      <c r="F30" s="1820"/>
      <c r="G30" s="1820"/>
      <c r="H30" s="1820"/>
      <c r="I30" s="1820"/>
      <c r="J30" s="183"/>
      <c r="K30" s="1820"/>
      <c r="L30" s="1820"/>
      <c r="M30" s="869"/>
      <c r="N30" s="869"/>
      <c r="O30" s="869"/>
      <c r="S30" s="60">
        <v>134.62179867372535</v>
      </c>
      <c r="T30" s="1824"/>
      <c r="U30" s="1823"/>
    </row>
    <row r="31" spans="1:26" s="10" customFormat="1">
      <c r="A31" s="82" t="s">
        <v>902</v>
      </c>
      <c r="B31" s="2416"/>
      <c r="C31" s="2416"/>
      <c r="D31" s="2416"/>
      <c r="E31" s="2416"/>
      <c r="F31" s="2416"/>
      <c r="G31" s="2416"/>
      <c r="H31" s="2416"/>
      <c r="I31" s="2416"/>
      <c r="J31" s="134" t="s">
        <v>2421</v>
      </c>
      <c r="K31" s="2417"/>
      <c r="L31" s="134"/>
      <c r="M31" s="4199" t="s">
        <v>2010</v>
      </c>
      <c r="N31" s="4202" t="s">
        <v>2009</v>
      </c>
      <c r="O31" s="26"/>
      <c r="P31" s="26"/>
      <c r="Q31" s="80"/>
      <c r="R31" s="38"/>
      <c r="S31" s="869"/>
      <c r="T31" s="869"/>
      <c r="V31" s="870"/>
      <c r="W31" s="869"/>
      <c r="Y31" s="1822"/>
      <c r="Z31" s="1823"/>
    </row>
    <row r="32" spans="1:26" s="10" customFormat="1">
      <c r="A32" s="2419"/>
      <c r="B32" s="2419"/>
      <c r="C32" s="2419"/>
      <c r="D32" s="2419"/>
      <c r="E32" s="2419"/>
      <c r="F32" s="2419"/>
      <c r="G32" s="2419"/>
      <c r="H32" s="2419"/>
      <c r="I32" s="2419"/>
      <c r="J32" s="2701" t="s">
        <v>2422</v>
      </c>
      <c r="K32" s="2702"/>
      <c r="L32" s="2703" t="s">
        <v>832</v>
      </c>
      <c r="M32" s="4200"/>
      <c r="N32" s="4203"/>
      <c r="O32" s="26"/>
      <c r="P32" s="80"/>
      <c r="Q32" s="38"/>
      <c r="R32" s="869"/>
      <c r="S32" s="869"/>
      <c r="U32" s="870"/>
      <c r="V32" s="869"/>
      <c r="X32" s="1822"/>
      <c r="Y32" s="1823"/>
    </row>
    <row r="33" spans="1:25" s="10" customFormat="1" ht="27">
      <c r="A33" s="2419"/>
      <c r="B33" s="2419"/>
      <c r="C33" s="2419"/>
      <c r="D33" s="2419"/>
      <c r="E33" s="2419"/>
      <c r="F33" s="2419"/>
      <c r="G33" s="2419"/>
      <c r="H33" s="2419"/>
      <c r="I33" s="2419"/>
      <c r="J33" s="2418" t="s">
        <v>1134</v>
      </c>
      <c r="K33" s="39" t="s">
        <v>2423</v>
      </c>
      <c r="L33" s="2700" t="s">
        <v>640</v>
      </c>
      <c r="M33" s="4201"/>
      <c r="N33" s="4204"/>
      <c r="O33" s="26"/>
      <c r="P33" s="80"/>
      <c r="Q33" s="38"/>
      <c r="R33" s="869"/>
      <c r="S33" s="869"/>
      <c r="U33" s="870"/>
      <c r="V33" s="869"/>
      <c r="X33" s="1822"/>
      <c r="Y33" s="1823"/>
    </row>
    <row r="34" spans="1:25" s="10" customFormat="1" ht="15.75" customHeight="1">
      <c r="A34" s="2421" t="s">
        <v>1673</v>
      </c>
      <c r="B34" s="2419"/>
      <c r="C34" s="2419"/>
      <c r="D34" s="2419"/>
      <c r="E34" s="2419"/>
      <c r="F34" s="2419"/>
      <c r="G34" s="2419"/>
      <c r="H34" s="2419"/>
      <c r="I34" s="2419"/>
      <c r="J34" s="3003">
        <v>24827.262999999999</v>
      </c>
      <c r="K34" s="3003">
        <v>52.505391400000001</v>
      </c>
      <c r="L34" s="3003">
        <v>24879.768391399997</v>
      </c>
      <c r="M34" s="116">
        <v>16.769818745732007</v>
      </c>
      <c r="N34" s="3004">
        <v>110.986919228053</v>
      </c>
      <c r="O34" s="26"/>
      <c r="P34" s="26"/>
      <c r="U34" s="201">
        <v>23157.851999999999</v>
      </c>
      <c r="V34" s="1782">
        <v>0.14737284304993553</v>
      </c>
      <c r="X34" s="1825">
        <v>16.769818745732003</v>
      </c>
      <c r="Y34" s="1823"/>
    </row>
    <row r="35" spans="1:25" s="10" customFormat="1" ht="29.4">
      <c r="A35" s="2992" t="s">
        <v>2808</v>
      </c>
      <c r="B35" s="2419"/>
      <c r="C35" s="2419"/>
      <c r="D35" s="2419"/>
      <c r="E35" s="2419"/>
      <c r="F35" s="2419"/>
      <c r="G35" s="2419"/>
      <c r="H35" s="2419"/>
      <c r="I35" s="2419"/>
      <c r="J35" s="3003">
        <v>122064.49100000001</v>
      </c>
      <c r="K35" s="3003">
        <v>1416.13</v>
      </c>
      <c r="L35" s="3003">
        <v>123480.62100000001</v>
      </c>
      <c r="M35" s="116">
        <v>83.230181254268004</v>
      </c>
      <c r="N35" s="24"/>
      <c r="P35" s="26"/>
      <c r="U35" s="201">
        <v>133980</v>
      </c>
      <c r="V35" s="1782">
        <v>0.85262715695006441</v>
      </c>
      <c r="X35" s="1825">
        <v>83.23018125426799</v>
      </c>
      <c r="Y35" s="1823"/>
    </row>
    <row r="36" spans="1:25" s="10" customFormat="1">
      <c r="A36" s="2421" t="s">
        <v>419</v>
      </c>
      <c r="B36" s="2419"/>
      <c r="C36" s="2419"/>
      <c r="D36" s="2419"/>
      <c r="E36" s="2419"/>
      <c r="F36" s="2419"/>
      <c r="G36" s="2419"/>
      <c r="H36" s="2419"/>
      <c r="I36" s="2419"/>
      <c r="J36" s="24"/>
      <c r="K36" s="24"/>
      <c r="L36" s="3003">
        <v>148360.38939140001</v>
      </c>
      <c r="M36" s="116">
        <v>100.00000000000001</v>
      </c>
      <c r="N36" s="24"/>
      <c r="O36" s="26"/>
      <c r="P36" s="26"/>
      <c r="U36" s="201">
        <v>157137.85200000001</v>
      </c>
      <c r="V36" s="1782">
        <v>1</v>
      </c>
      <c r="X36" s="1825">
        <v>100</v>
      </c>
      <c r="Y36" s="1823"/>
    </row>
    <row r="37" spans="1:25" s="172" customFormat="1" ht="17.25" hidden="1" customHeight="1">
      <c r="A37" s="551" t="s">
        <v>1672</v>
      </c>
      <c r="D37" s="1271"/>
      <c r="E37" s="1278"/>
      <c r="H37" s="1279"/>
      <c r="J37" s="201"/>
      <c r="K37" s="201"/>
      <c r="M37" s="201"/>
      <c r="N37" s="201"/>
      <c r="O37" s="201"/>
      <c r="Q37" s="1272"/>
      <c r="R37" s="1273"/>
      <c r="S37" s="1274"/>
    </row>
    <row r="38" spans="1:25">
      <c r="D38" s="730"/>
      <c r="E38" s="730"/>
      <c r="F38" s="730"/>
      <c r="G38" s="730"/>
      <c r="L38" s="730"/>
    </row>
    <row r="39" spans="1:25">
      <c r="B39" s="98"/>
      <c r="C39" s="98"/>
    </row>
    <row r="40" spans="1:25">
      <c r="A40" s="98"/>
      <c r="B40" s="98"/>
      <c r="C40" s="98"/>
    </row>
    <row r="41" spans="1:25">
      <c r="A41" s="98"/>
    </row>
    <row r="43" spans="1:25">
      <c r="K43" s="297"/>
    </row>
    <row r="45" spans="1:25" s="2994" customFormat="1">
      <c r="D45" s="2064"/>
      <c r="E45" s="2064"/>
      <c r="F45" s="2064"/>
      <c r="G45" s="2064"/>
      <c r="H45" s="2064"/>
      <c r="I45" s="2064"/>
      <c r="J45" s="2995">
        <v>11768208</v>
      </c>
      <c r="K45" s="2996">
        <v>5955601.7382762991</v>
      </c>
      <c r="L45" s="2996">
        <v>66896.866286438526</v>
      </c>
      <c r="M45" s="2996">
        <v>802762.39543726237</v>
      </c>
      <c r="N45" s="2996">
        <v>5152839.3428390371</v>
      </c>
      <c r="O45" s="2996"/>
      <c r="P45" s="2996">
        <v>661825.39543726237</v>
      </c>
      <c r="Q45" s="2996">
        <v>4491013.947401775</v>
      </c>
      <c r="R45" s="2996"/>
      <c r="S45" s="2993"/>
    </row>
    <row r="46" spans="1:25">
      <c r="C46" s="26" t="s">
        <v>659</v>
      </c>
    </row>
    <row r="50" spans="4:12">
      <c r="D50" s="26"/>
      <c r="E50" s="26"/>
      <c r="F50" s="26"/>
      <c r="G50" s="26"/>
      <c r="H50" s="26"/>
      <c r="I50" s="26"/>
      <c r="J50" s="26"/>
      <c r="L50" s="26"/>
    </row>
    <row r="51" spans="4:12">
      <c r="D51" s="26"/>
      <c r="E51" s="26"/>
      <c r="F51" s="26"/>
      <c r="G51" s="26"/>
      <c r="H51" s="26"/>
      <c r="I51" s="26"/>
      <c r="J51" s="26"/>
      <c r="L51" s="26"/>
    </row>
    <row r="52" spans="4:12">
      <c r="D52" s="26"/>
      <c r="E52" s="26"/>
      <c r="F52" s="26"/>
      <c r="G52" s="26"/>
      <c r="H52" s="26"/>
      <c r="I52" s="26"/>
      <c r="J52" s="26"/>
      <c r="L52" s="26"/>
    </row>
    <row r="53" spans="4:12">
      <c r="D53" s="26"/>
      <c r="E53" s="26"/>
      <c r="F53" s="26"/>
      <c r="G53" s="26"/>
      <c r="H53" s="26"/>
      <c r="I53" s="26"/>
      <c r="J53" s="26"/>
      <c r="L53" s="26"/>
    </row>
    <row r="60" spans="4:12">
      <c r="D60" s="1280" t="s">
        <v>657</v>
      </c>
      <c r="G60" s="1280" t="s">
        <v>657</v>
      </c>
      <c r="H60" s="1280" t="s">
        <v>657</v>
      </c>
      <c r="I60" s="1280" t="s">
        <v>657</v>
      </c>
      <c r="L60" s="1280" t="s">
        <v>657</v>
      </c>
    </row>
    <row r="61" spans="4:12">
      <c r="D61" s="1281">
        <v>32622674.32</v>
      </c>
      <c r="G61" s="1281">
        <v>41576.85</v>
      </c>
      <c r="H61" s="1281">
        <v>17879.05</v>
      </c>
      <c r="I61" s="1281">
        <v>573012</v>
      </c>
      <c r="L61" s="1281">
        <v>67486.716286438532</v>
      </c>
    </row>
    <row r="62" spans="4:12">
      <c r="D62" s="10">
        <v>113600.61</v>
      </c>
    </row>
    <row r="63" spans="4:12">
      <c r="D63" s="297">
        <v>-32509073.710000001</v>
      </c>
    </row>
  </sheetData>
  <mergeCells count="2">
    <mergeCell ref="M31:M33"/>
    <mergeCell ref="N31:N33"/>
  </mergeCells>
  <phoneticPr fontId="27" type="noConversion"/>
  <printOptions horizontalCentered="1"/>
  <pageMargins left="1.1811023622047245" right="0.39370078740157483" top="0.98425196850393704" bottom="0.11811023622047245" header="0.51181102362204722" footer="3.937007874015748E-2"/>
  <pageSetup paperSize="9" scale="70" orientation="landscape" r:id="rId1"/>
  <headerFooter alignWithMargins="0"/>
  <colBreaks count="1" manualBreakCount="1">
    <brk id="18" max="1048575" man="1"/>
  </col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8">
    <tabColor rgb="FF7030A0"/>
  </sheetPr>
  <dimension ref="A1:Z60"/>
  <sheetViews>
    <sheetView workbookViewId="0">
      <selection activeCell="B32" sqref="A1:XFD1048576"/>
    </sheetView>
  </sheetViews>
  <sheetFormatPr defaultColWidth="9.109375" defaultRowHeight="15.6"/>
  <cols>
    <col min="1" max="1" width="47.88671875" style="26" customWidth="1"/>
    <col min="2" max="2" width="8.109375" style="26" hidden="1" customWidth="1"/>
    <col min="3" max="3" width="7" style="26" hidden="1" customWidth="1"/>
    <col min="4" max="4" width="17.88671875" style="10" hidden="1" customWidth="1"/>
    <col min="5" max="5" width="19.6640625" style="10" hidden="1" customWidth="1"/>
    <col min="6" max="6" width="11.5546875" style="10" hidden="1" customWidth="1"/>
    <col min="7" max="7" width="13.88671875" style="10" hidden="1" customWidth="1"/>
    <col min="8" max="8" width="12.33203125" style="10" hidden="1" customWidth="1"/>
    <col min="9" max="9" width="11.44140625" style="10" hidden="1" customWidth="1"/>
    <col min="10" max="10" width="18.109375" style="201" customWidth="1"/>
    <col min="11" max="11" width="16.6640625" style="10" customWidth="1"/>
    <col min="12" max="12" width="14.109375" style="10" customWidth="1"/>
    <col min="13" max="13" width="15.109375" style="10" customWidth="1"/>
    <col min="14" max="14" width="15" style="10" customWidth="1"/>
    <col min="15" max="15" width="8.109375" style="10" hidden="1" customWidth="1"/>
    <col min="16" max="16" width="14.5546875" style="26" customWidth="1"/>
    <col min="17" max="17" width="16" style="26" customWidth="1"/>
    <col min="18" max="18" width="14.44140625" style="26" bestFit="1" customWidth="1"/>
    <col min="19" max="19" width="13.109375" style="635" customWidth="1"/>
    <col min="20" max="20" width="10.109375" style="26" customWidth="1"/>
    <col min="21" max="21" width="12.44140625" style="26" customWidth="1"/>
    <col min="22" max="22" width="9.6640625" style="26" bestFit="1" customWidth="1"/>
    <col min="23" max="23" width="12" style="26" bestFit="1" customWidth="1"/>
    <col min="24" max="24" width="9.6640625" style="26" bestFit="1" customWidth="1"/>
    <col min="25" max="25" width="13.6640625" style="26" bestFit="1" customWidth="1"/>
    <col min="26" max="16384" width="9.109375" style="26"/>
  </cols>
  <sheetData>
    <row r="1" spans="1:24" s="2956" customFormat="1" ht="18">
      <c r="A1" s="2997" t="s">
        <v>2697</v>
      </c>
      <c r="B1" s="2997"/>
      <c r="C1" s="2997"/>
      <c r="D1" s="3015"/>
      <c r="E1" s="3015"/>
      <c r="F1" s="3015"/>
      <c r="G1" s="3015"/>
      <c r="H1" s="3015"/>
      <c r="I1" s="3015"/>
      <c r="J1" s="3016"/>
      <c r="K1" s="3015"/>
      <c r="L1" s="3015"/>
      <c r="M1" s="3015"/>
      <c r="N1" s="3015"/>
      <c r="O1" s="3017"/>
      <c r="P1" s="3005"/>
      <c r="Q1" s="3005"/>
      <c r="R1" s="3005"/>
      <c r="S1" s="3018"/>
    </row>
    <row r="2" spans="1:24" s="2956" customFormat="1" ht="18">
      <c r="A2" s="2997" t="s">
        <v>2530</v>
      </c>
      <c r="B2" s="2997"/>
      <c r="C2" s="2997"/>
      <c r="D2" s="3015"/>
      <c r="E2" s="3015"/>
      <c r="F2" s="3015"/>
      <c r="G2" s="3015"/>
      <c r="H2" s="3015"/>
      <c r="I2" s="3015"/>
      <c r="J2" s="3016"/>
      <c r="K2" s="3015"/>
      <c r="L2" s="3015"/>
      <c r="M2" s="3015"/>
      <c r="N2" s="3015"/>
      <c r="O2" s="3017"/>
      <c r="P2" s="3005"/>
      <c r="Q2" s="3005"/>
      <c r="R2" s="3005"/>
      <c r="S2" s="3018"/>
    </row>
    <row r="3" spans="1:24" s="2956" customFormat="1" ht="18">
      <c r="A3" s="2997" t="s">
        <v>2966</v>
      </c>
      <c r="B3" s="2997"/>
      <c r="C3" s="2997"/>
      <c r="D3" s="3015"/>
      <c r="E3" s="3015"/>
      <c r="F3" s="3015"/>
      <c r="G3" s="3015"/>
      <c r="H3" s="3015"/>
      <c r="I3" s="3015"/>
      <c r="J3" s="3016"/>
      <c r="K3" s="3015"/>
      <c r="L3" s="3015"/>
      <c r="M3" s="3015"/>
      <c r="N3" s="3015"/>
      <c r="O3" s="3017"/>
      <c r="P3" s="3005"/>
      <c r="Q3" s="3005"/>
      <c r="R3" s="3005"/>
      <c r="S3" s="3018"/>
    </row>
    <row r="4" spans="1:24" s="2956" customFormat="1">
      <c r="D4" s="2964"/>
      <c r="E4" s="2964"/>
      <c r="F4" s="2964"/>
      <c r="G4" s="2964"/>
      <c r="H4" s="3019"/>
      <c r="I4" s="2964"/>
      <c r="J4" s="3020"/>
      <c r="K4" s="3021"/>
      <c r="L4" s="2964"/>
      <c r="M4" s="2964"/>
      <c r="N4" s="3022" t="s">
        <v>2424</v>
      </c>
      <c r="O4" s="3019"/>
      <c r="Q4" s="3021" t="s">
        <v>601</v>
      </c>
      <c r="S4" s="3018"/>
    </row>
    <row r="5" spans="1:24" s="106" customFormat="1" ht="96.6">
      <c r="A5" s="355" t="s">
        <v>1162</v>
      </c>
      <c r="B5" s="355" t="s">
        <v>658</v>
      </c>
      <c r="C5" s="355" t="s">
        <v>1161</v>
      </c>
      <c r="D5" s="2673" t="s">
        <v>2006</v>
      </c>
      <c r="E5" s="2673" t="s">
        <v>1677</v>
      </c>
      <c r="F5" s="2673" t="s">
        <v>1163</v>
      </c>
      <c r="G5" s="2673" t="s">
        <v>2007</v>
      </c>
      <c r="H5" s="2673" t="s">
        <v>1207</v>
      </c>
      <c r="I5" s="2673" t="s">
        <v>2008</v>
      </c>
      <c r="J5" s="355" t="s">
        <v>2967</v>
      </c>
      <c r="K5" s="355" t="s">
        <v>2807</v>
      </c>
      <c r="L5" s="355" t="s">
        <v>2893</v>
      </c>
      <c r="M5" s="355" t="s">
        <v>2894</v>
      </c>
      <c r="N5" s="355" t="s">
        <v>2969</v>
      </c>
      <c r="O5" s="355" t="s">
        <v>2698</v>
      </c>
      <c r="P5" s="355" t="s">
        <v>2894</v>
      </c>
      <c r="Q5" s="355" t="s">
        <v>2897</v>
      </c>
      <c r="R5" s="355" t="s">
        <v>2971</v>
      </c>
      <c r="T5" s="1798"/>
      <c r="V5" s="1799"/>
      <c r="W5" s="1800"/>
      <c r="X5" s="1801" t="s">
        <v>1160</v>
      </c>
    </row>
    <row r="6" spans="1:24" s="106" customFormat="1" ht="25.5" hidden="1" customHeight="1">
      <c r="A6" s="1802"/>
      <c r="B6" s="676"/>
      <c r="C6" s="677"/>
      <c r="D6" s="2674"/>
      <c r="E6" s="2675"/>
      <c r="F6" s="2676"/>
      <c r="G6" s="2675"/>
      <c r="H6" s="2675">
        <v>0</v>
      </c>
      <c r="I6" s="2675">
        <v>0</v>
      </c>
      <c r="J6" s="1803">
        <v>0</v>
      </c>
      <c r="K6" s="1198">
        <v>0</v>
      </c>
      <c r="L6" s="1198">
        <v>0</v>
      </c>
      <c r="M6" s="1198">
        <v>0</v>
      </c>
      <c r="N6" s="1198" t="e">
        <v>#REF!</v>
      </c>
      <c r="O6" s="1198" t="e">
        <v>#REF!</v>
      </c>
      <c r="P6" s="1198" t="e">
        <v>#REF!</v>
      </c>
      <c r="Q6" s="1198" t="e">
        <v>#REF!</v>
      </c>
      <c r="R6" s="1198">
        <v>0</v>
      </c>
      <c r="S6" s="1804" t="e">
        <v>#DIV/0!</v>
      </c>
      <c r="T6" s="1805"/>
      <c r="V6" s="1799"/>
      <c r="W6" s="1805"/>
      <c r="X6" s="1806">
        <v>0</v>
      </c>
    </row>
    <row r="7" spans="1:24" s="106" customFormat="1" ht="25.5" hidden="1" customHeight="1">
      <c r="A7" s="1802"/>
      <c r="B7" s="676"/>
      <c r="C7" s="677"/>
      <c r="D7" s="2674"/>
      <c r="E7" s="2675"/>
      <c r="F7" s="2676"/>
      <c r="G7" s="2675"/>
      <c r="H7" s="2675">
        <v>0</v>
      </c>
      <c r="I7" s="2675">
        <v>0</v>
      </c>
      <c r="J7" s="1803">
        <v>0</v>
      </c>
      <c r="K7" s="1198">
        <v>0</v>
      </c>
      <c r="L7" s="1198">
        <v>0</v>
      </c>
      <c r="M7" s="1198">
        <v>0</v>
      </c>
      <c r="N7" s="1198" t="e">
        <v>#REF!</v>
      </c>
      <c r="O7" s="1198" t="e">
        <v>#REF!</v>
      </c>
      <c r="P7" s="1198" t="e">
        <v>#REF!</v>
      </c>
      <c r="Q7" s="1198" t="e">
        <v>#REF!</v>
      </c>
      <c r="R7" s="1198">
        <v>0</v>
      </c>
      <c r="S7" s="1804" t="e">
        <v>#DIV/0!</v>
      </c>
      <c r="T7" s="1805"/>
      <c r="V7" s="1799"/>
      <c r="W7" s="1805"/>
      <c r="X7" s="1806">
        <v>0</v>
      </c>
    </row>
    <row r="8" spans="1:24" s="106" customFormat="1" ht="25.5" hidden="1" customHeight="1">
      <c r="A8" s="1802"/>
      <c r="B8" s="676"/>
      <c r="C8" s="677"/>
      <c r="D8" s="2674"/>
      <c r="E8" s="2675"/>
      <c r="F8" s="2676"/>
      <c r="G8" s="2675"/>
      <c r="H8" s="2675">
        <v>0</v>
      </c>
      <c r="I8" s="2675">
        <v>0</v>
      </c>
      <c r="J8" s="1803">
        <v>0</v>
      </c>
      <c r="K8" s="1198">
        <v>0</v>
      </c>
      <c r="L8" s="1198">
        <v>0</v>
      </c>
      <c r="M8" s="1198">
        <v>0</v>
      </c>
      <c r="N8" s="1198" t="e">
        <v>#REF!</v>
      </c>
      <c r="O8" s="1198" t="e">
        <v>#REF!</v>
      </c>
      <c r="P8" s="1198" t="e">
        <v>#REF!</v>
      </c>
      <c r="Q8" s="1198" t="e">
        <v>#REF!</v>
      </c>
      <c r="R8" s="1198">
        <v>0</v>
      </c>
      <c r="S8" s="1804" t="e">
        <v>#DIV/0!</v>
      </c>
      <c r="T8" s="1805"/>
      <c r="V8" s="1799"/>
      <c r="W8" s="1805"/>
      <c r="X8" s="1806">
        <v>0</v>
      </c>
    </row>
    <row r="9" spans="1:24" s="106" customFormat="1" ht="13.8" hidden="1">
      <c r="A9" s="1802"/>
      <c r="B9" s="676"/>
      <c r="C9" s="677"/>
      <c r="D9" s="2676"/>
      <c r="E9" s="2676"/>
      <c r="F9" s="2675"/>
      <c r="G9" s="2676"/>
      <c r="H9" s="2675">
        <v>0</v>
      </c>
      <c r="I9" s="2675">
        <v>0</v>
      </c>
      <c r="J9" s="1198">
        <v>0</v>
      </c>
      <c r="K9" s="1198">
        <v>0</v>
      </c>
      <c r="L9" s="1198">
        <v>0</v>
      </c>
      <c r="M9" s="1198">
        <v>0</v>
      </c>
      <c r="N9" s="1198">
        <v>0</v>
      </c>
      <c r="O9" s="1198">
        <v>0</v>
      </c>
      <c r="P9" s="1198">
        <v>0</v>
      </c>
      <c r="Q9" s="1198">
        <v>0</v>
      </c>
      <c r="R9" s="1198" t="e">
        <v>#REF!</v>
      </c>
      <c r="S9" s="1804" t="e">
        <v>#DIV/0!</v>
      </c>
      <c r="T9" s="1805">
        <v>0</v>
      </c>
      <c r="V9" s="1799"/>
      <c r="W9" s="1805"/>
      <c r="X9" s="1806">
        <v>0</v>
      </c>
    </row>
    <row r="10" spans="1:24" s="106" customFormat="1" ht="27" hidden="1" customHeight="1">
      <c r="A10" s="1826" t="s">
        <v>1664</v>
      </c>
      <c r="B10" s="1826"/>
      <c r="C10" s="1826"/>
      <c r="D10" s="2677">
        <v>16085258</v>
      </c>
      <c r="E10" s="2677">
        <v>4850307</v>
      </c>
      <c r="F10" s="2675">
        <v>0</v>
      </c>
      <c r="G10" s="2677">
        <v>6764</v>
      </c>
      <c r="H10" s="2675"/>
      <c r="I10" s="2675">
        <v>81168</v>
      </c>
      <c r="J10" s="2942">
        <v>5810983</v>
      </c>
      <c r="K10" s="2407">
        <v>4769139</v>
      </c>
      <c r="L10" s="1827" t="e">
        <v>#REF!</v>
      </c>
      <c r="M10" s="1827" t="e">
        <v>#REF!</v>
      </c>
      <c r="N10" s="1827" t="e">
        <v>#REF!</v>
      </c>
      <c r="O10" s="1827" t="e">
        <v>#REF!</v>
      </c>
      <c r="P10" s="1827" t="e">
        <v>#REF!</v>
      </c>
      <c r="Q10" s="1827" t="e">
        <v>#REF!</v>
      </c>
      <c r="R10" s="1827" t="e">
        <v>#REF!</v>
      </c>
      <c r="U10" s="106">
        <v>0.50461111658886659</v>
      </c>
      <c r="V10" s="106">
        <v>974016</v>
      </c>
      <c r="X10" s="106">
        <v>4789431</v>
      </c>
    </row>
    <row r="11" spans="1:24" s="106" customFormat="1" ht="33.75" hidden="1" customHeight="1">
      <c r="A11" s="1802" t="s">
        <v>1660</v>
      </c>
      <c r="B11" s="676"/>
      <c r="C11" s="677"/>
      <c r="D11" s="2676">
        <v>0</v>
      </c>
      <c r="E11" s="2676">
        <v>0</v>
      </c>
      <c r="F11" s="2676"/>
      <c r="G11" s="2676">
        <v>0</v>
      </c>
      <c r="H11" s="2675">
        <v>0</v>
      </c>
      <c r="I11" s="2676">
        <v>0</v>
      </c>
      <c r="J11" s="573">
        <v>0</v>
      </c>
      <c r="K11" s="573">
        <v>0</v>
      </c>
      <c r="L11" s="573">
        <v>0</v>
      </c>
      <c r="M11" s="573">
        <v>0</v>
      </c>
      <c r="N11" s="573">
        <v>0</v>
      </c>
      <c r="O11" s="573">
        <v>0</v>
      </c>
      <c r="P11" s="573">
        <v>0</v>
      </c>
      <c r="Q11" s="573">
        <v>0</v>
      </c>
      <c r="R11" s="573">
        <v>0</v>
      </c>
      <c r="U11" s="1804" t="e">
        <v>#DIV/0!</v>
      </c>
      <c r="V11" s="1805">
        <v>0</v>
      </c>
      <c r="W11" s="1805"/>
      <c r="X11" s="1806">
        <v>0</v>
      </c>
    </row>
    <row r="12" spans="1:24" s="106" customFormat="1" ht="33.75" hidden="1" customHeight="1">
      <c r="A12" s="2409" t="s">
        <v>2419</v>
      </c>
      <c r="B12" s="2410"/>
      <c r="C12" s="2411"/>
      <c r="D12" s="2678">
        <v>1556773</v>
      </c>
      <c r="E12" s="2676">
        <v>1175070</v>
      </c>
      <c r="F12" s="2676"/>
      <c r="G12" s="2676">
        <v>4238</v>
      </c>
      <c r="H12" s="2675">
        <v>0</v>
      </c>
      <c r="I12" s="2676">
        <v>50856</v>
      </c>
      <c r="J12" s="1827">
        <v>1556773</v>
      </c>
      <c r="K12" s="2412">
        <v>920790</v>
      </c>
      <c r="L12" s="2412" t="e">
        <v>#REF!</v>
      </c>
      <c r="M12" s="2412" t="e">
        <v>#REF!</v>
      </c>
      <c r="N12" s="2412" t="e">
        <v>#REF!</v>
      </c>
      <c r="O12" s="2412" t="e">
        <v>#REF!</v>
      </c>
      <c r="P12" s="2412" t="e">
        <v>#REF!</v>
      </c>
      <c r="Q12" s="1827" t="e">
        <v>#REF!</v>
      </c>
      <c r="R12" s="1827" t="e">
        <v>#REF!</v>
      </c>
      <c r="S12" s="2414" t="s">
        <v>2420</v>
      </c>
      <c r="T12" s="2415" t="e">
        <v>#REF!</v>
      </c>
      <c r="U12" s="1804">
        <v>3.2667575812273211</v>
      </c>
      <c r="V12" s="1805">
        <v>610272</v>
      </c>
      <c r="W12" s="1805"/>
      <c r="X12" s="1806">
        <v>1136928</v>
      </c>
    </row>
    <row r="13" spans="1:24" s="1812" customFormat="1" ht="32.25" customHeight="1">
      <c r="A13" s="1807" t="s">
        <v>1661</v>
      </c>
      <c r="B13" s="945"/>
      <c r="C13" s="946"/>
      <c r="D13" s="2679">
        <v>17642031</v>
      </c>
      <c r="E13" s="2679">
        <v>6025377</v>
      </c>
      <c r="F13" s="2679">
        <v>0</v>
      </c>
      <c r="G13" s="2679">
        <v>11002</v>
      </c>
      <c r="H13" s="2679">
        <v>0</v>
      </c>
      <c r="I13" s="2679">
        <v>132024</v>
      </c>
      <c r="J13" s="1808">
        <v>7372256</v>
      </c>
      <c r="K13" s="1808">
        <v>4025628.7382762991</v>
      </c>
      <c r="L13" s="1808">
        <v>581662.39543726237</v>
      </c>
      <c r="M13" s="1808">
        <v>3443966.3428390366</v>
      </c>
      <c r="N13" s="1808">
        <v>440725.39543726237</v>
      </c>
      <c r="O13" s="1808" t="e">
        <v>#REF!</v>
      </c>
      <c r="P13" s="1808">
        <v>3003240.9474017741</v>
      </c>
      <c r="Q13" s="1808">
        <v>82165.545892268696</v>
      </c>
      <c r="R13" s="1808">
        <v>70919.280192648934</v>
      </c>
      <c r="S13" s="1810"/>
      <c r="T13" s="1811"/>
      <c r="W13" s="1813">
        <v>0.74834921217404049</v>
      </c>
      <c r="X13" s="1811">
        <v>5926359</v>
      </c>
    </row>
    <row r="14" spans="1:24" s="106" customFormat="1" ht="27" hidden="1" customHeight="1">
      <c r="A14" s="1826" t="s">
        <v>1663</v>
      </c>
      <c r="B14" s="1826"/>
      <c r="C14" s="1826"/>
      <c r="D14" s="2675">
        <v>14648680</v>
      </c>
      <c r="E14" s="2675">
        <v>4924684</v>
      </c>
      <c r="F14" s="2675">
        <v>0</v>
      </c>
      <c r="G14" s="2675">
        <v>29374</v>
      </c>
      <c r="H14" s="2675"/>
      <c r="I14" s="2675">
        <v>352488</v>
      </c>
      <c r="J14" s="2407">
        <v>4395952</v>
      </c>
      <c r="K14" s="2407">
        <v>4395952</v>
      </c>
      <c r="L14" s="1827" t="e">
        <v>#REF!</v>
      </c>
      <c r="M14" s="1827" t="e">
        <v>#REF!</v>
      </c>
      <c r="N14" s="1827" t="e">
        <v>#REF!</v>
      </c>
      <c r="O14" s="1827" t="e">
        <v>#REF!</v>
      </c>
      <c r="P14" s="1827" t="e">
        <v>#REF!</v>
      </c>
      <c r="Q14" s="1827" t="e">
        <v>#REF!</v>
      </c>
      <c r="R14" s="1827" t="e">
        <v>#REF!</v>
      </c>
      <c r="W14" s="106">
        <v>2.4062782448657489</v>
      </c>
      <c r="X14" s="106">
        <v>4660318</v>
      </c>
    </row>
    <row r="15" spans="1:24" s="106" customFormat="1" ht="31.5" hidden="1" customHeight="1">
      <c r="A15" s="2877" t="s">
        <v>1675</v>
      </c>
      <c r="B15" s="2877"/>
      <c r="C15" s="2877"/>
      <c r="D15" s="2413">
        <v>301659</v>
      </c>
      <c r="E15" s="2413">
        <v>71286</v>
      </c>
      <c r="F15" s="2413">
        <v>0</v>
      </c>
      <c r="G15" s="2413">
        <v>611</v>
      </c>
      <c r="H15" s="2413"/>
      <c r="I15" s="2413">
        <v>7332</v>
      </c>
      <c r="J15" s="2413">
        <v>301659</v>
      </c>
      <c r="K15" s="2413">
        <v>71897</v>
      </c>
      <c r="L15" s="2413">
        <v>7332</v>
      </c>
      <c r="M15" s="2413">
        <v>64565</v>
      </c>
      <c r="N15" s="2413">
        <v>7332</v>
      </c>
      <c r="O15" s="2413">
        <v>57233</v>
      </c>
      <c r="P15" s="2413">
        <v>-49901</v>
      </c>
      <c r="Q15" s="1827">
        <v>1501.0820000000001</v>
      </c>
      <c r="R15" s="1827">
        <v>1339.778</v>
      </c>
      <c r="W15" s="106">
        <v>2.4305590086819886</v>
      </c>
      <c r="X15" s="106">
        <v>65787</v>
      </c>
    </row>
    <row r="16" spans="1:24" s="1812" customFormat="1" ht="32.25" customHeight="1">
      <c r="A16" s="1814" t="s">
        <v>1676</v>
      </c>
      <c r="B16" s="946"/>
      <c r="C16" s="946"/>
      <c r="D16" s="2680">
        <v>14950339</v>
      </c>
      <c r="E16" s="2680">
        <v>4995970</v>
      </c>
      <c r="F16" s="2681">
        <v>0</v>
      </c>
      <c r="G16" s="2680">
        <v>29985</v>
      </c>
      <c r="H16" s="2681">
        <v>0</v>
      </c>
      <c r="I16" s="2679">
        <v>359820</v>
      </c>
      <c r="J16" s="1808">
        <v>4395952</v>
      </c>
      <c r="K16" s="1808">
        <v>1929973</v>
      </c>
      <c r="L16" s="1816">
        <v>221100</v>
      </c>
      <c r="M16" s="1808">
        <v>1708873</v>
      </c>
      <c r="N16" s="1816">
        <v>221100</v>
      </c>
      <c r="O16" s="1816" t="e">
        <v>#REF!</v>
      </c>
      <c r="P16" s="1808">
        <v>1487773</v>
      </c>
      <c r="Q16" s="1808">
        <v>40027.306000000004</v>
      </c>
      <c r="R16" s="1808">
        <v>35163.106000000007</v>
      </c>
      <c r="S16" s="1810"/>
      <c r="T16" s="1811"/>
      <c r="W16" s="1813">
        <v>2.4067681675980728</v>
      </c>
      <c r="X16" s="1811">
        <v>4726105</v>
      </c>
    </row>
    <row r="17" spans="1:26" s="106" customFormat="1" ht="32.25" hidden="1" customHeight="1">
      <c r="A17" s="415" t="s">
        <v>370</v>
      </c>
      <c r="B17" s="677"/>
      <c r="C17" s="677"/>
      <c r="D17" s="2674"/>
      <c r="E17" s="2676">
        <v>0</v>
      </c>
      <c r="F17" s="2676">
        <v>0</v>
      </c>
      <c r="G17" s="2676">
        <v>0</v>
      </c>
      <c r="H17" s="2676">
        <v>0</v>
      </c>
      <c r="I17" s="2676">
        <v>0</v>
      </c>
      <c r="J17" s="1803"/>
      <c r="K17" s="573">
        <v>0</v>
      </c>
      <c r="L17" s="573">
        <v>0</v>
      </c>
      <c r="M17" s="573">
        <v>0</v>
      </c>
      <c r="N17" s="573" t="e">
        <v>#REF!</v>
      </c>
      <c r="O17" s="573" t="e">
        <v>#REF!</v>
      </c>
      <c r="P17" s="573" t="e">
        <v>#REF!</v>
      </c>
      <c r="Q17" s="573" t="e">
        <v>#REF!</v>
      </c>
      <c r="R17" s="573" t="e">
        <v>#REF!</v>
      </c>
      <c r="T17" s="1798"/>
      <c r="V17" s="1799"/>
      <c r="W17" s="1804" t="e">
        <v>#DIV/0!</v>
      </c>
      <c r="X17" s="1806"/>
    </row>
    <row r="18" spans="1:26" s="106" customFormat="1" ht="21" hidden="1" customHeight="1">
      <c r="A18" s="415" t="s">
        <v>370</v>
      </c>
      <c r="B18" s="677"/>
      <c r="C18" s="677"/>
      <c r="D18" s="2676">
        <v>0</v>
      </c>
      <c r="E18" s="2676">
        <v>0</v>
      </c>
      <c r="F18" s="2676">
        <v>0</v>
      </c>
      <c r="G18" s="2676">
        <v>0</v>
      </c>
      <c r="H18" s="2676">
        <v>0</v>
      </c>
      <c r="I18" s="2676">
        <v>0</v>
      </c>
      <c r="J18" s="573">
        <v>0</v>
      </c>
      <c r="K18" s="573">
        <v>0</v>
      </c>
      <c r="L18" s="573">
        <v>0</v>
      </c>
      <c r="M18" s="573">
        <v>0</v>
      </c>
      <c r="N18" s="573" t="e">
        <v>#REF!</v>
      </c>
      <c r="O18" s="573" t="e">
        <v>#REF!</v>
      </c>
      <c r="P18" s="573" t="e">
        <v>#REF!</v>
      </c>
      <c r="Q18" s="573" t="e">
        <v>#REF!</v>
      </c>
      <c r="R18" s="573" t="e">
        <v>#REF!</v>
      </c>
      <c r="V18" s="1799"/>
      <c r="W18" s="1804" t="e">
        <v>#DIV/0!</v>
      </c>
      <c r="X18" s="1806"/>
    </row>
    <row r="19" spans="1:26" s="1810" customFormat="1" ht="31.5" customHeight="1">
      <c r="A19" s="1817" t="s">
        <v>419</v>
      </c>
      <c r="B19" s="1817"/>
      <c r="C19" s="1817"/>
      <c r="D19" s="2682">
        <v>32592370</v>
      </c>
      <c r="E19" s="2682">
        <v>11021347</v>
      </c>
      <c r="F19" s="2682">
        <v>0</v>
      </c>
      <c r="G19" s="2682">
        <v>40987</v>
      </c>
      <c r="H19" s="2682">
        <v>0</v>
      </c>
      <c r="I19" s="2682">
        <v>491844</v>
      </c>
      <c r="J19" s="1809">
        <v>11768208</v>
      </c>
      <c r="K19" s="1809">
        <v>5955601.7382762991</v>
      </c>
      <c r="L19" s="1809">
        <v>802762.39543726237</v>
      </c>
      <c r="M19" s="1809">
        <v>5152839.3428390361</v>
      </c>
      <c r="N19" s="1809">
        <v>661825.39543726237</v>
      </c>
      <c r="O19" s="1809" t="e">
        <v>#REF!</v>
      </c>
      <c r="P19" s="1809">
        <v>4491013.9474017741</v>
      </c>
      <c r="Q19" s="1809">
        <v>122192.85189226869</v>
      </c>
      <c r="R19" s="1809">
        <v>106082.38619264893</v>
      </c>
      <c r="T19" s="1818"/>
      <c r="V19" s="1810">
        <v>17.529840211752262</v>
      </c>
      <c r="W19" s="1804">
        <v>1.5090771244926342</v>
      </c>
      <c r="X19" s="1819"/>
    </row>
    <row r="20" spans="1:26" s="10" customFormat="1" ht="13.2">
      <c r="A20" s="38"/>
      <c r="B20" s="38"/>
      <c r="C20" s="38"/>
      <c r="D20" s="38"/>
      <c r="E20" s="869"/>
      <c r="F20" s="869"/>
      <c r="G20" s="869"/>
      <c r="H20" s="869"/>
      <c r="I20" s="869"/>
      <c r="J20" s="870"/>
      <c r="K20" s="869"/>
      <c r="L20" s="869"/>
      <c r="M20" s="869"/>
      <c r="N20" s="869"/>
      <c r="O20" s="869"/>
      <c r="T20" s="1824"/>
      <c r="U20" s="1823"/>
    </row>
    <row r="21" spans="1:26" s="10" customFormat="1" hidden="1">
      <c r="A21" s="2406" t="s">
        <v>663</v>
      </c>
      <c r="B21" s="38"/>
      <c r="C21" s="38"/>
      <c r="D21" s="38"/>
      <c r="E21" s="869"/>
      <c r="F21" s="869"/>
      <c r="G21" s="869"/>
      <c r="H21" s="869"/>
      <c r="I21" s="869"/>
      <c r="J21" s="870"/>
      <c r="K21" s="869"/>
      <c r="L21" s="869"/>
      <c r="M21" s="869"/>
      <c r="N21" s="869"/>
      <c r="O21" s="869"/>
      <c r="T21" s="1824"/>
      <c r="U21" s="1823"/>
    </row>
    <row r="22" spans="1:26" s="10" customFormat="1" hidden="1">
      <c r="A22" s="80" t="s">
        <v>2416</v>
      </c>
      <c r="B22" s="38"/>
      <c r="C22" s="38"/>
      <c r="D22" s="38"/>
      <c r="E22" s="869"/>
      <c r="F22" s="869"/>
      <c r="G22" s="869"/>
      <c r="H22" s="869"/>
      <c r="I22" s="869"/>
      <c r="J22" s="870"/>
      <c r="K22" s="869"/>
      <c r="L22" s="869"/>
      <c r="M22" s="869"/>
      <c r="N22" s="869"/>
      <c r="O22" s="869"/>
      <c r="T22" s="1824"/>
      <c r="U22" s="1823"/>
    </row>
    <row r="23" spans="1:26" s="10" customFormat="1" ht="16.5" hidden="1" customHeight="1">
      <c r="A23" s="80" t="s">
        <v>2425</v>
      </c>
      <c r="B23" s="38"/>
      <c r="C23" s="38"/>
      <c r="D23" s="38"/>
      <c r="E23" s="869"/>
      <c r="F23" s="869"/>
      <c r="G23" s="869"/>
      <c r="H23" s="869"/>
      <c r="I23" s="869"/>
      <c r="J23" s="870"/>
      <c r="K23" s="869"/>
      <c r="L23" s="869"/>
      <c r="M23" s="869"/>
      <c r="N23" s="869"/>
      <c r="O23" s="869"/>
      <c r="T23" s="1824"/>
      <c r="U23" s="1823"/>
    </row>
    <row r="24" spans="1:26" s="10" customFormat="1" hidden="1">
      <c r="A24" s="2408" t="s">
        <v>2418</v>
      </c>
      <c r="B24" s="38"/>
      <c r="C24" s="38"/>
      <c r="D24" s="38"/>
      <c r="E24" s="869"/>
      <c r="F24" s="869"/>
      <c r="G24" s="869"/>
      <c r="H24" s="869"/>
      <c r="I24" s="869"/>
      <c r="J24" s="870"/>
      <c r="K24" s="869"/>
      <c r="L24" s="869"/>
      <c r="M24" s="869"/>
      <c r="N24" s="869"/>
      <c r="O24" s="869"/>
      <c r="T24" s="1824"/>
      <c r="U24" s="1823"/>
    </row>
    <row r="25" spans="1:26" s="10" customFormat="1" hidden="1">
      <c r="A25" s="2408" t="s">
        <v>2417</v>
      </c>
      <c r="B25" s="38"/>
      <c r="C25" s="38"/>
      <c r="D25" s="38"/>
      <c r="E25" s="869"/>
      <c r="F25" s="869"/>
      <c r="G25" s="869"/>
      <c r="H25" s="869"/>
      <c r="I25" s="869"/>
      <c r="J25" s="870"/>
      <c r="K25" s="869"/>
      <c r="L25" s="869"/>
      <c r="M25" s="869"/>
      <c r="N25" s="869"/>
      <c r="O25" s="869"/>
      <c r="T25" s="1824"/>
      <c r="U25" s="1823"/>
    </row>
    <row r="26" spans="1:26" s="2006" customFormat="1">
      <c r="A26" s="2393" t="s">
        <v>2809</v>
      </c>
      <c r="B26" s="2393"/>
      <c r="C26" s="2393"/>
      <c r="D26" s="2393"/>
      <c r="E26" s="2999"/>
      <c r="F26" s="2999"/>
      <c r="G26" s="2999"/>
      <c r="H26" s="2999"/>
      <c r="I26" s="2999"/>
      <c r="J26" s="2393"/>
      <c r="K26" s="2999"/>
      <c r="L26" s="2999"/>
      <c r="M26" s="2326"/>
      <c r="N26" s="2326"/>
      <c r="O26" s="2326"/>
      <c r="T26" s="3000"/>
      <c r="U26" s="3001"/>
    </row>
    <row r="27" spans="1:26" s="2006" customFormat="1">
      <c r="A27" s="2393" t="s">
        <v>1428</v>
      </c>
      <c r="B27" s="2393"/>
      <c r="C27" s="2393"/>
      <c r="D27" s="2393"/>
      <c r="E27" s="2999"/>
      <c r="F27" s="2999"/>
      <c r="G27" s="2999"/>
      <c r="H27" s="2999"/>
      <c r="I27" s="2999"/>
      <c r="J27" s="2393"/>
      <c r="K27" s="2999"/>
      <c r="L27" s="2999"/>
      <c r="M27" s="2326"/>
      <c r="N27" s="2326"/>
      <c r="O27" s="2326"/>
      <c r="T27" s="3000"/>
      <c r="U27" s="3002">
        <v>134.62179867372535</v>
      </c>
    </row>
    <row r="28" spans="1:26" s="10" customFormat="1" ht="21.75" customHeight="1">
      <c r="A28" s="82" t="s">
        <v>902</v>
      </c>
      <c r="B28" s="2416"/>
      <c r="C28" s="2416"/>
      <c r="D28" s="2416"/>
      <c r="E28" s="2416"/>
      <c r="F28" s="2416"/>
      <c r="G28" s="2416"/>
      <c r="H28" s="2416"/>
      <c r="I28" s="2416"/>
      <c r="J28" s="134" t="s">
        <v>2421</v>
      </c>
      <c r="K28" s="2417"/>
      <c r="L28" s="134"/>
      <c r="M28" s="4199" t="s">
        <v>2010</v>
      </c>
      <c r="N28" s="4202" t="s">
        <v>2898</v>
      </c>
      <c r="O28" s="4207" t="s">
        <v>2973</v>
      </c>
      <c r="P28" s="4208"/>
      <c r="Q28" s="80"/>
      <c r="R28" s="38"/>
      <c r="S28" s="869"/>
      <c r="T28" s="869"/>
      <c r="V28" s="870"/>
      <c r="W28" s="869"/>
      <c r="Y28" s="1822"/>
      <c r="Z28" s="1823"/>
    </row>
    <row r="29" spans="1:26" s="10" customFormat="1">
      <c r="A29" s="2419"/>
      <c r="B29" s="2419"/>
      <c r="C29" s="2419"/>
      <c r="D29" s="2419"/>
      <c r="E29" s="2419"/>
      <c r="F29" s="2419"/>
      <c r="G29" s="2419"/>
      <c r="H29" s="2419"/>
      <c r="I29" s="2419"/>
      <c r="J29" s="2701" t="s">
        <v>2422</v>
      </c>
      <c r="K29" s="2702"/>
      <c r="L29" s="2703" t="s">
        <v>832</v>
      </c>
      <c r="M29" s="4200"/>
      <c r="N29" s="4203"/>
      <c r="O29" s="4207"/>
      <c r="P29" s="4208"/>
      <c r="Q29" s="38"/>
      <c r="R29" s="869"/>
      <c r="S29" s="869"/>
      <c r="U29" s="870"/>
      <c r="V29" s="869"/>
      <c r="X29" s="1822"/>
      <c r="Y29" s="1823"/>
    </row>
    <row r="30" spans="1:26" s="10" customFormat="1" ht="27">
      <c r="A30" s="2419"/>
      <c r="B30" s="2419"/>
      <c r="C30" s="2419"/>
      <c r="D30" s="2419"/>
      <c r="E30" s="2419"/>
      <c r="F30" s="2419"/>
      <c r="G30" s="2419"/>
      <c r="H30" s="2419"/>
      <c r="I30" s="2419"/>
      <c r="J30" s="2418" t="s">
        <v>1134</v>
      </c>
      <c r="K30" s="39" t="s">
        <v>2423</v>
      </c>
      <c r="L30" s="2700" t="s">
        <v>640</v>
      </c>
      <c r="M30" s="4201"/>
      <c r="N30" s="4204"/>
      <c r="O30" s="4207"/>
      <c r="P30" s="4208"/>
      <c r="Q30" s="38"/>
      <c r="R30" s="869"/>
      <c r="S30" s="869"/>
      <c r="U30" s="870"/>
      <c r="V30" s="869"/>
      <c r="X30" s="1822"/>
      <c r="Y30" s="1823"/>
    </row>
    <row r="31" spans="1:26" s="10" customFormat="1">
      <c r="A31" s="2421" t="s">
        <v>1673</v>
      </c>
      <c r="B31" s="2419"/>
      <c r="C31" s="2419"/>
      <c r="D31" s="2419"/>
      <c r="E31" s="2419"/>
      <c r="F31" s="2419"/>
      <c r="G31" s="2419"/>
      <c r="H31" s="2419"/>
      <c r="I31" s="2419"/>
      <c r="J31" s="2436">
        <v>24827.262999999999</v>
      </c>
      <c r="K31" s="2436">
        <v>52.505391400000001</v>
      </c>
      <c r="L31" s="2422">
        <v>24879.768391399997</v>
      </c>
      <c r="M31" s="2423">
        <v>16.769818745732007</v>
      </c>
      <c r="N31" s="2920">
        <v>20.491519782574223</v>
      </c>
      <c r="O31" s="2920">
        <v>17.789823885654663</v>
      </c>
      <c r="P31" s="2920">
        <v>17.889823885654664</v>
      </c>
      <c r="U31" s="201">
        <v>23157.851999999999</v>
      </c>
      <c r="V31" s="1782">
        <v>0.14737284304993553</v>
      </c>
      <c r="X31" s="1825">
        <v>16.769818745732003</v>
      </c>
      <c r="Y31" s="1823"/>
    </row>
    <row r="32" spans="1:26" s="10" customFormat="1">
      <c r="A32" s="2421" t="s">
        <v>1431</v>
      </c>
      <c r="B32" s="2419"/>
      <c r="C32" s="2419"/>
      <c r="D32" s="2419"/>
      <c r="E32" s="2419"/>
      <c r="F32" s="2419"/>
      <c r="G32" s="2419"/>
      <c r="H32" s="2419"/>
      <c r="I32" s="2419"/>
      <c r="J32" s="2422">
        <v>122064.49100000001</v>
      </c>
      <c r="K32" s="2422">
        <v>1416.13</v>
      </c>
      <c r="L32" s="2422">
        <v>123480.62100000001</v>
      </c>
      <c r="M32" s="2423">
        <v>83.230181254268004</v>
      </c>
      <c r="N32" s="2921">
        <v>101.70133210969449</v>
      </c>
      <c r="O32" s="2921">
        <v>88.292562306994284</v>
      </c>
      <c r="P32" s="2921">
        <v>88.292562306994284</v>
      </c>
      <c r="U32" s="201">
        <v>133980</v>
      </c>
      <c r="V32" s="1782">
        <v>0.85262715695006441</v>
      </c>
      <c r="X32" s="1825">
        <v>83.23018125426799</v>
      </c>
      <c r="Y32" s="1823"/>
    </row>
    <row r="33" spans="1:25" s="10" customFormat="1">
      <c r="A33" s="2421" t="s">
        <v>419</v>
      </c>
      <c r="B33" s="2419"/>
      <c r="C33" s="2419"/>
      <c r="D33" s="2419"/>
      <c r="E33" s="2419"/>
      <c r="F33" s="2419"/>
      <c r="G33" s="2419"/>
      <c r="H33" s="2419"/>
      <c r="I33" s="2419"/>
      <c r="J33" s="2420"/>
      <c r="K33" s="2422"/>
      <c r="L33" s="2422">
        <v>148360.38939140001</v>
      </c>
      <c r="M33" s="2424">
        <v>100.00000000000001</v>
      </c>
      <c r="N33" s="2921">
        <v>122.19285189226872</v>
      </c>
      <c r="O33" s="4205">
        <v>106.08238619264895</v>
      </c>
      <c r="P33" s="4206"/>
      <c r="U33" s="201">
        <v>157137.85200000001</v>
      </c>
      <c r="V33" s="1782">
        <v>1</v>
      </c>
      <c r="X33" s="1825">
        <v>100</v>
      </c>
      <c r="Y33" s="1823"/>
    </row>
    <row r="34" spans="1:25" s="172" customFormat="1" ht="17.25" hidden="1" customHeight="1">
      <c r="A34" s="551" t="s">
        <v>1672</v>
      </c>
      <c r="D34" s="1271"/>
      <c r="E34" s="1278"/>
      <c r="H34" s="1279"/>
      <c r="J34" s="201"/>
      <c r="K34" s="201"/>
      <c r="M34" s="201"/>
      <c r="N34" s="201"/>
      <c r="O34" s="201"/>
      <c r="Q34" s="1272"/>
      <c r="R34" s="1273"/>
      <c r="S34" s="1274"/>
    </row>
    <row r="35" spans="1:25">
      <c r="D35" s="730"/>
      <c r="E35" s="730"/>
      <c r="F35" s="730"/>
      <c r="G35" s="730"/>
      <c r="L35" s="730"/>
    </row>
    <row r="36" spans="1:25">
      <c r="B36" s="98"/>
      <c r="C36" s="98"/>
    </row>
    <row r="37" spans="1:25">
      <c r="A37" s="98"/>
      <c r="B37" s="98"/>
      <c r="C37" s="98"/>
    </row>
    <row r="38" spans="1:25">
      <c r="A38" s="98"/>
    </row>
    <row r="40" spans="1:25">
      <c r="K40" s="297"/>
    </row>
    <row r="43" spans="1:25">
      <c r="C43" s="26" t="s">
        <v>659</v>
      </c>
    </row>
    <row r="47" spans="1:25">
      <c r="D47" s="26"/>
      <c r="E47" s="26"/>
      <c r="F47" s="26"/>
      <c r="G47" s="26"/>
      <c r="H47" s="26"/>
      <c r="I47" s="26"/>
      <c r="J47" s="26"/>
      <c r="L47" s="26"/>
    </row>
    <row r="48" spans="1:25">
      <c r="D48" s="26"/>
      <c r="E48" s="26"/>
      <c r="F48" s="26"/>
      <c r="G48" s="26"/>
      <c r="H48" s="26"/>
      <c r="I48" s="26"/>
      <c r="J48" s="26"/>
      <c r="L48" s="26"/>
    </row>
    <row r="49" spans="4:12">
      <c r="D49" s="26"/>
      <c r="E49" s="26"/>
      <c r="F49" s="26"/>
      <c r="G49" s="26"/>
      <c r="H49" s="26"/>
      <c r="I49" s="26"/>
      <c r="J49" s="26"/>
      <c r="L49" s="26"/>
    </row>
    <row r="50" spans="4:12">
      <c r="D50" s="26"/>
      <c r="E50" s="26"/>
      <c r="F50" s="26"/>
      <c r="G50" s="26"/>
      <c r="H50" s="26"/>
      <c r="I50" s="26"/>
      <c r="J50" s="26"/>
      <c r="L50" s="26"/>
    </row>
    <row r="57" spans="4:12">
      <c r="D57" s="1280" t="s">
        <v>657</v>
      </c>
      <c r="G57" s="1280" t="s">
        <v>657</v>
      </c>
      <c r="H57" s="1280" t="s">
        <v>657</v>
      </c>
      <c r="I57" s="1280" t="s">
        <v>657</v>
      </c>
      <c r="L57" s="1280" t="s">
        <v>657</v>
      </c>
    </row>
    <row r="58" spans="4:12">
      <c r="D58" s="1281">
        <v>32622674.32</v>
      </c>
      <c r="G58" s="1281">
        <v>41576.85</v>
      </c>
      <c r="H58" s="1281">
        <v>17879.05</v>
      </c>
      <c r="I58" s="1281">
        <v>573012</v>
      </c>
      <c r="L58" s="1281" t="e">
        <v>#REF!</v>
      </c>
    </row>
    <row r="59" spans="4:12">
      <c r="D59" s="10">
        <v>113600.61</v>
      </c>
    </row>
    <row r="60" spans="4:12">
      <c r="D60" s="297">
        <v>-32509073.710000001</v>
      </c>
    </row>
  </sheetData>
  <mergeCells count="4">
    <mergeCell ref="O33:P33"/>
    <mergeCell ref="M28:M30"/>
    <mergeCell ref="N28:N30"/>
    <mergeCell ref="O28:P30"/>
  </mergeCells>
  <printOptions horizontalCentered="1"/>
  <pageMargins left="1.1811023622047245" right="0.39370078740157483" top="0.98425196850393704" bottom="0.11811023622047245" header="0.51181102362204722" footer="3.937007874015748E-2"/>
  <pageSetup paperSize="9" scale="70" orientation="landscape" r:id="rId1"/>
  <headerFooter alignWithMargins="0"/>
  <colBreaks count="1" manualBreakCount="1">
    <brk id="19" max="1048575" man="1"/>
  </colBreak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9">
    <tabColor theme="7" tint="0.39997558519241921"/>
  </sheetPr>
  <dimension ref="A1:T52"/>
  <sheetViews>
    <sheetView workbookViewId="0">
      <selection activeCell="A33" sqref="A33:A34"/>
    </sheetView>
  </sheetViews>
  <sheetFormatPr defaultColWidth="9.109375" defaultRowHeight="15.6"/>
  <cols>
    <col min="1" max="1" width="46" style="26" customWidth="1"/>
    <col min="2" max="2" width="8.109375" style="26" hidden="1" customWidth="1"/>
    <col min="3" max="3" width="7" style="26" hidden="1" customWidth="1"/>
    <col min="4" max="4" width="15" style="10" customWidth="1"/>
    <col min="5" max="5" width="12.6640625" style="10" customWidth="1"/>
    <col min="6" max="6" width="11.5546875" style="10" hidden="1" customWidth="1"/>
    <col min="7" max="7" width="11.5546875" style="10" customWidth="1"/>
    <col min="8" max="8" width="12.33203125" style="10" hidden="1" customWidth="1"/>
    <col min="9" max="9" width="11.44140625" style="10" customWidth="1"/>
    <col min="10" max="10" width="14.109375" style="201" customWidth="1"/>
    <col min="11" max="11" width="14" style="10" customWidth="1"/>
    <col min="12" max="12" width="12.88671875" style="10" customWidth="1"/>
    <col min="13" max="13" width="15" style="10" customWidth="1"/>
    <col min="14" max="14" width="8.109375" style="10" customWidth="1"/>
    <col min="15" max="15" width="9.109375" style="26"/>
    <col min="16" max="16" width="12.33203125" style="26" customWidth="1"/>
    <col min="17" max="17" width="14.33203125" style="26" bestFit="1" customWidth="1"/>
    <col min="18" max="18" width="11.33203125" style="635" bestFit="1" customWidth="1"/>
    <col min="19" max="19" width="10.109375" style="26" customWidth="1"/>
    <col min="20" max="20" width="12.44140625" style="26" customWidth="1"/>
    <col min="21" max="16384" width="9.109375" style="26"/>
  </cols>
  <sheetData>
    <row r="1" spans="1:20" ht="18">
      <c r="A1" s="128" t="s">
        <v>633</v>
      </c>
      <c r="B1" s="128"/>
      <c r="C1" s="128"/>
      <c r="D1" s="866"/>
      <c r="E1" s="866"/>
      <c r="F1" s="866"/>
      <c r="G1" s="866"/>
      <c r="H1" s="866"/>
      <c r="I1" s="866"/>
      <c r="J1" s="867"/>
      <c r="K1" s="866"/>
      <c r="L1" s="866"/>
      <c r="M1" s="866"/>
      <c r="N1" s="868"/>
    </row>
    <row r="2" spans="1:20" ht="18">
      <c r="A2" s="128" t="s">
        <v>1397</v>
      </c>
      <c r="B2" s="128"/>
      <c r="C2" s="128"/>
      <c r="D2" s="866"/>
      <c r="E2" s="866"/>
      <c r="F2" s="866"/>
      <c r="G2" s="866"/>
      <c r="H2" s="866"/>
      <c r="I2" s="866"/>
      <c r="J2" s="867"/>
      <c r="K2" s="866"/>
      <c r="L2" s="866"/>
      <c r="M2" s="866"/>
      <c r="N2" s="868"/>
    </row>
    <row r="3" spans="1:20" ht="18">
      <c r="A3" s="128" t="s">
        <v>1399</v>
      </c>
      <c r="B3" s="128"/>
      <c r="C3" s="128"/>
      <c r="D3" s="866"/>
      <c r="E3" s="866"/>
      <c r="F3" s="866"/>
      <c r="G3" s="866"/>
      <c r="H3" s="866"/>
      <c r="I3" s="866"/>
      <c r="J3" s="867"/>
      <c r="K3" s="866"/>
      <c r="L3" s="866"/>
      <c r="M3" s="866"/>
      <c r="N3" s="868"/>
    </row>
    <row r="4" spans="1:20">
      <c r="H4" s="78"/>
      <c r="K4" s="129"/>
      <c r="L4" s="1241" t="s">
        <v>1662</v>
      </c>
      <c r="M4" s="129" t="s">
        <v>601</v>
      </c>
      <c r="N4" s="78"/>
    </row>
    <row r="5" spans="1:20" s="106" customFormat="1" ht="64.5" customHeight="1">
      <c r="A5" s="355" t="s">
        <v>1162</v>
      </c>
      <c r="B5" s="355" t="s">
        <v>658</v>
      </c>
      <c r="C5" s="355" t="s">
        <v>1161</v>
      </c>
      <c r="D5" s="355" t="s">
        <v>1398</v>
      </c>
      <c r="E5" s="355" t="s">
        <v>1209</v>
      </c>
      <c r="F5" s="355" t="s">
        <v>1163</v>
      </c>
      <c r="G5" s="355" t="s">
        <v>1400</v>
      </c>
      <c r="H5" s="355" t="s">
        <v>1207</v>
      </c>
      <c r="I5" s="355" t="s">
        <v>1210</v>
      </c>
      <c r="J5" s="355" t="s">
        <v>1218</v>
      </c>
      <c r="K5" s="355" t="s">
        <v>1211</v>
      </c>
      <c r="L5" s="355" t="s">
        <v>1928</v>
      </c>
      <c r="M5" s="355" t="s">
        <v>1677</v>
      </c>
      <c r="N5" s="355" t="s">
        <v>1426</v>
      </c>
      <c r="P5" s="1798"/>
      <c r="R5" s="1799"/>
      <c r="S5" s="1800"/>
      <c r="T5" s="1801" t="s">
        <v>1160</v>
      </c>
    </row>
    <row r="6" spans="1:20" s="106" customFormat="1" ht="25.5" hidden="1" customHeight="1">
      <c r="A6" s="1802"/>
      <c r="B6" s="676"/>
      <c r="C6" s="677"/>
      <c r="D6" s="1803"/>
      <c r="E6" s="1198"/>
      <c r="F6" s="573"/>
      <c r="G6" s="1198"/>
      <c r="H6" s="1198">
        <f>E6-G6*10</f>
        <v>0</v>
      </c>
      <c r="I6" s="1198">
        <f>G6*12</f>
        <v>0</v>
      </c>
      <c r="J6" s="1803">
        <f t="shared" ref="J6:J11" si="0">D6+F6</f>
        <v>0</v>
      </c>
      <c r="K6" s="1198">
        <f>E6+F6-I6</f>
        <v>0</v>
      </c>
      <c r="L6" s="1198">
        <f>I6</f>
        <v>0</v>
      </c>
      <c r="M6" s="1198">
        <f t="shared" ref="M6:M11" si="1">K6-L6</f>
        <v>0</v>
      </c>
      <c r="N6" s="1198" t="e">
        <f>L6/J6*100</f>
        <v>#DIV/0!</v>
      </c>
      <c r="O6" s="1804" t="e">
        <f>I6/D6*100</f>
        <v>#DIV/0!</v>
      </c>
      <c r="P6" s="1805"/>
      <c r="R6" s="1799"/>
      <c r="S6" s="1805"/>
      <c r="T6" s="1806">
        <f t="shared" ref="T6:T15" si="2">E6-G6*9</f>
        <v>0</v>
      </c>
    </row>
    <row r="7" spans="1:20" s="106" customFormat="1" ht="25.5" hidden="1" customHeight="1">
      <c r="A7" s="1802"/>
      <c r="B7" s="676"/>
      <c r="C7" s="677"/>
      <c r="D7" s="1803"/>
      <c r="E7" s="1198"/>
      <c r="F7" s="573"/>
      <c r="G7" s="1198"/>
      <c r="H7" s="1198">
        <f>E7-G7*10</f>
        <v>0</v>
      </c>
      <c r="I7" s="1198">
        <f>G7*12</f>
        <v>0</v>
      </c>
      <c r="J7" s="1803">
        <f t="shared" si="0"/>
        <v>0</v>
      </c>
      <c r="K7" s="1198">
        <f>E7+F7-I7</f>
        <v>0</v>
      </c>
      <c r="L7" s="1198">
        <f>I7</f>
        <v>0</v>
      </c>
      <c r="M7" s="1198">
        <f t="shared" si="1"/>
        <v>0</v>
      </c>
      <c r="N7" s="1198" t="e">
        <f t="shared" ref="N7:N15" si="3">L7/J7*100</f>
        <v>#DIV/0!</v>
      </c>
      <c r="O7" s="1804" t="e">
        <f>I7/D7*100</f>
        <v>#DIV/0!</v>
      </c>
      <c r="P7" s="1805"/>
      <c r="R7" s="1799"/>
      <c r="S7" s="1805"/>
      <c r="T7" s="1806">
        <f t="shared" si="2"/>
        <v>0</v>
      </c>
    </row>
    <row r="8" spans="1:20" s="106" customFormat="1" ht="25.5" hidden="1" customHeight="1">
      <c r="A8" s="1802"/>
      <c r="B8" s="676"/>
      <c r="C8" s="677"/>
      <c r="D8" s="1803"/>
      <c r="E8" s="1198"/>
      <c r="F8" s="573"/>
      <c r="G8" s="1198"/>
      <c r="H8" s="1198">
        <f>E8-G8*10</f>
        <v>0</v>
      </c>
      <c r="I8" s="1198">
        <f>G8*12</f>
        <v>0</v>
      </c>
      <c r="J8" s="1803">
        <f t="shared" si="0"/>
        <v>0</v>
      </c>
      <c r="K8" s="1198">
        <f>E8+F8-I8</f>
        <v>0</v>
      </c>
      <c r="L8" s="1198">
        <f>I8</f>
        <v>0</v>
      </c>
      <c r="M8" s="1198">
        <f t="shared" si="1"/>
        <v>0</v>
      </c>
      <c r="N8" s="1198" t="e">
        <f t="shared" si="3"/>
        <v>#DIV/0!</v>
      </c>
      <c r="O8" s="1804" t="e">
        <f>I8/D8*100</f>
        <v>#DIV/0!</v>
      </c>
      <c r="P8" s="1805"/>
      <c r="R8" s="1799"/>
      <c r="S8" s="1805"/>
      <c r="T8" s="1806">
        <f t="shared" si="2"/>
        <v>0</v>
      </c>
    </row>
    <row r="9" spans="1:20" s="106" customFormat="1" ht="13.8" hidden="1">
      <c r="A9" s="1802"/>
      <c r="B9" s="676"/>
      <c r="C9" s="677"/>
      <c r="D9" s="573"/>
      <c r="E9" s="573"/>
      <c r="F9" s="1198"/>
      <c r="G9" s="573"/>
      <c r="H9" s="1198">
        <f>F9</f>
        <v>0</v>
      </c>
      <c r="I9" s="1198">
        <f>F9/20/12</f>
        <v>0</v>
      </c>
      <c r="J9" s="1198">
        <f t="shared" si="0"/>
        <v>0</v>
      </c>
      <c r="K9" s="1198">
        <f>E9+F9-I9</f>
        <v>0</v>
      </c>
      <c r="L9" s="1198">
        <f>H9/20</f>
        <v>0</v>
      </c>
      <c r="M9" s="1198">
        <f t="shared" si="1"/>
        <v>0</v>
      </c>
      <c r="N9" s="1198" t="e">
        <f t="shared" si="3"/>
        <v>#DIV/0!</v>
      </c>
      <c r="O9" s="1804" t="e">
        <f>I9/(D9+F9/12)*100</f>
        <v>#DIV/0!</v>
      </c>
      <c r="P9" s="1805">
        <f>I9*12</f>
        <v>0</v>
      </c>
      <c r="R9" s="1799"/>
      <c r="S9" s="1805"/>
      <c r="T9" s="1806">
        <f t="shared" si="2"/>
        <v>0</v>
      </c>
    </row>
    <row r="10" spans="1:20" s="106" customFormat="1" ht="27" customHeight="1">
      <c r="A10" s="1826" t="s">
        <v>1664</v>
      </c>
      <c r="B10" s="1826"/>
      <c r="C10" s="1826"/>
      <c r="D10" s="1827">
        <f>15649.14*1000</f>
        <v>15649140</v>
      </c>
      <c r="E10" s="1827">
        <f>559.369*1000</f>
        <v>559369</v>
      </c>
      <c r="F10" s="1827">
        <f>SUM(F5:F9)</f>
        <v>0</v>
      </c>
      <c r="G10" s="1827">
        <f>5.222*1000</f>
        <v>5222</v>
      </c>
      <c r="H10" s="1827"/>
      <c r="I10" s="1827">
        <f>G10*12</f>
        <v>62664</v>
      </c>
      <c r="J10" s="1827">
        <f t="shared" si="0"/>
        <v>15649140</v>
      </c>
      <c r="K10" s="1827">
        <f>E10-I10</f>
        <v>496705</v>
      </c>
      <c r="L10" s="1827">
        <f>I10</f>
        <v>62664</v>
      </c>
      <c r="M10" s="1827">
        <f t="shared" si="1"/>
        <v>434041</v>
      </c>
      <c r="N10" s="1827">
        <f>L10/J10*100</f>
        <v>0.40043095019918024</v>
      </c>
      <c r="Q10" s="106">
        <f>I10/(D10+F10/12)*100</f>
        <v>0.40043095019918024</v>
      </c>
      <c r="R10" s="106">
        <f>I10*12</f>
        <v>751968</v>
      </c>
      <c r="T10" s="106">
        <f t="shared" si="2"/>
        <v>512371</v>
      </c>
    </row>
    <row r="11" spans="1:20" s="106" customFormat="1" ht="33.75" customHeight="1">
      <c r="A11" s="1802" t="s">
        <v>1660</v>
      </c>
      <c r="B11" s="676"/>
      <c r="C11" s="677"/>
      <c r="D11" s="573">
        <v>0</v>
      </c>
      <c r="E11" s="573">
        <v>0</v>
      </c>
      <c r="F11" s="573"/>
      <c r="G11" s="573">
        <v>0</v>
      </c>
      <c r="H11" s="1198">
        <f>F11</f>
        <v>0</v>
      </c>
      <c r="I11" s="573">
        <f>F11/20/12</f>
        <v>0</v>
      </c>
      <c r="J11" s="573">
        <f t="shared" si="0"/>
        <v>0</v>
      </c>
      <c r="K11" s="573">
        <f>E11+F11-I11</f>
        <v>0</v>
      </c>
      <c r="L11" s="573">
        <f>H11/20</f>
        <v>0</v>
      </c>
      <c r="M11" s="573">
        <f t="shared" si="1"/>
        <v>0</v>
      </c>
      <c r="N11" s="573">
        <v>0</v>
      </c>
      <c r="Q11" s="1804" t="e">
        <f>I11/(D11+F11/12)*100</f>
        <v>#DIV/0!</v>
      </c>
      <c r="R11" s="1805">
        <f>I11*12</f>
        <v>0</v>
      </c>
      <c r="S11" s="1805"/>
      <c r="T11" s="1806">
        <f t="shared" si="2"/>
        <v>0</v>
      </c>
    </row>
    <row r="12" spans="1:20" s="1812" customFormat="1" ht="32.25" customHeight="1">
      <c r="A12" s="1807" t="s">
        <v>1661</v>
      </c>
      <c r="B12" s="945"/>
      <c r="C12" s="946"/>
      <c r="D12" s="1808">
        <f>SUM(D6:D11)</f>
        <v>15649140</v>
      </c>
      <c r="E12" s="1808">
        <f t="shared" ref="E12:M12" si="4">SUM(E6:E11)</f>
        <v>559369</v>
      </c>
      <c r="F12" s="1808">
        <f t="shared" si="4"/>
        <v>0</v>
      </c>
      <c r="G12" s="1808">
        <f t="shared" si="4"/>
        <v>5222</v>
      </c>
      <c r="H12" s="1808">
        <f t="shared" si="4"/>
        <v>0</v>
      </c>
      <c r="I12" s="1808">
        <f t="shared" si="4"/>
        <v>62664</v>
      </c>
      <c r="J12" s="1808">
        <f t="shared" si="4"/>
        <v>15649140</v>
      </c>
      <c r="K12" s="1808">
        <f t="shared" si="4"/>
        <v>496705</v>
      </c>
      <c r="L12" s="1808">
        <f t="shared" si="4"/>
        <v>62664</v>
      </c>
      <c r="M12" s="1808">
        <f t="shared" si="4"/>
        <v>434041</v>
      </c>
      <c r="N12" s="1809">
        <f>L12/D12*100</f>
        <v>0.40043095019918024</v>
      </c>
      <c r="O12" s="1810"/>
      <c r="P12" s="1811"/>
      <c r="S12" s="1813">
        <f t="shared" ref="S12:S17" si="5">I12/D12*100</f>
        <v>0.40043095019918024</v>
      </c>
      <c r="T12" s="1811">
        <f t="shared" si="2"/>
        <v>512371</v>
      </c>
    </row>
    <row r="13" spans="1:20" s="106" customFormat="1" ht="27" customHeight="1">
      <c r="A13" s="1826" t="s">
        <v>1663</v>
      </c>
      <c r="B13" s="1826"/>
      <c r="C13" s="1826"/>
      <c r="D13" s="1827">
        <f>(437.992+14210.688)*1000</f>
        <v>14648680</v>
      </c>
      <c r="E13" s="1827">
        <f>(314.305+5315.355)*1000</f>
        <v>5629660</v>
      </c>
      <c r="F13" s="1827">
        <f>SUM(F11:F12)</f>
        <v>0</v>
      </c>
      <c r="G13" s="1827">
        <f>(0.73+28.644)*1000</f>
        <v>29374</v>
      </c>
      <c r="H13" s="1827"/>
      <c r="I13" s="1827">
        <f>G13*12</f>
        <v>352488</v>
      </c>
      <c r="J13" s="1827">
        <f>D13+F13</f>
        <v>14648680</v>
      </c>
      <c r="K13" s="1827">
        <f>E13-I13</f>
        <v>5277172</v>
      </c>
      <c r="L13" s="1827">
        <f>I13</f>
        <v>352488</v>
      </c>
      <c r="M13" s="1827">
        <f>K13-L13</f>
        <v>4924684</v>
      </c>
      <c r="N13" s="1827">
        <f>L13/J13*100</f>
        <v>2.4062782448657489</v>
      </c>
      <c r="S13" s="106">
        <f t="shared" si="5"/>
        <v>2.4062782448657489</v>
      </c>
      <c r="T13" s="106">
        <f t="shared" si="2"/>
        <v>5365294</v>
      </c>
    </row>
    <row r="14" spans="1:20" s="106" customFormat="1" ht="31.5" customHeight="1">
      <c r="A14" s="1826" t="s">
        <v>1675</v>
      </c>
      <c r="B14" s="1826"/>
      <c r="C14" s="1826"/>
      <c r="D14" s="1827">
        <f>301659</f>
        <v>301659</v>
      </c>
      <c r="E14" s="1827">
        <f>85950</f>
        <v>85950</v>
      </c>
      <c r="F14" s="1827">
        <f>SUM(F12:F13)</f>
        <v>0</v>
      </c>
      <c r="G14" s="1827">
        <f>611</f>
        <v>611</v>
      </c>
      <c r="H14" s="1827"/>
      <c r="I14" s="1827">
        <f>G14*12</f>
        <v>7332</v>
      </c>
      <c r="J14" s="1827">
        <f>D14+F14</f>
        <v>301659</v>
      </c>
      <c r="K14" s="1827">
        <f>E14-I14</f>
        <v>78618</v>
      </c>
      <c r="L14" s="1827">
        <f>I14</f>
        <v>7332</v>
      </c>
      <c r="M14" s="1827">
        <f>K14-L14</f>
        <v>71286</v>
      </c>
      <c r="N14" s="1827">
        <f>L14/J14*100</f>
        <v>2.4305590086819886</v>
      </c>
      <c r="S14" s="106">
        <f t="shared" si="5"/>
        <v>2.4305590086819886</v>
      </c>
      <c r="T14" s="106">
        <f t="shared" si="2"/>
        <v>80451</v>
      </c>
    </row>
    <row r="15" spans="1:20" s="1812" customFormat="1" ht="32.25" customHeight="1">
      <c r="A15" s="1814" t="s">
        <v>1676</v>
      </c>
      <c r="B15" s="946"/>
      <c r="C15" s="946"/>
      <c r="D15" s="1815">
        <f>SUM(D13:D14)</f>
        <v>14950339</v>
      </c>
      <c r="E15" s="1815">
        <f>SUM(E13:E14)</f>
        <v>5715610</v>
      </c>
      <c r="F15" s="1816">
        <f>SUM(F13:F14)</f>
        <v>0</v>
      </c>
      <c r="G15" s="1815">
        <f t="shared" ref="G15:M15" si="6">SUM(G13:G14)</f>
        <v>29985</v>
      </c>
      <c r="H15" s="1816">
        <f t="shared" si="6"/>
        <v>0</v>
      </c>
      <c r="I15" s="1808">
        <f t="shared" si="6"/>
        <v>359820</v>
      </c>
      <c r="J15" s="1808">
        <f t="shared" si="6"/>
        <v>14950339</v>
      </c>
      <c r="K15" s="1816">
        <f t="shared" si="6"/>
        <v>5355790</v>
      </c>
      <c r="L15" s="1816">
        <f t="shared" si="6"/>
        <v>359820</v>
      </c>
      <c r="M15" s="1816">
        <f t="shared" si="6"/>
        <v>4995970</v>
      </c>
      <c r="N15" s="1815">
        <f t="shared" si="3"/>
        <v>2.4067681675980728</v>
      </c>
      <c r="O15" s="1810"/>
      <c r="P15" s="1811"/>
      <c r="S15" s="1813">
        <f t="shared" si="5"/>
        <v>2.4067681675980728</v>
      </c>
      <c r="T15" s="1811">
        <f t="shared" si="2"/>
        <v>5445745</v>
      </c>
    </row>
    <row r="16" spans="1:20" s="106" customFormat="1" ht="32.25" hidden="1" customHeight="1">
      <c r="A16" s="415" t="s">
        <v>370</v>
      </c>
      <c r="B16" s="677"/>
      <c r="C16" s="677"/>
      <c r="D16" s="1803"/>
      <c r="E16" s="573">
        <v>0</v>
      </c>
      <c r="F16" s="573">
        <v>0</v>
      </c>
      <c r="G16" s="573">
        <v>0</v>
      </c>
      <c r="H16" s="573">
        <f>E16-G16</f>
        <v>0</v>
      </c>
      <c r="I16" s="573">
        <f>G16*12</f>
        <v>0</v>
      </c>
      <c r="J16" s="1803"/>
      <c r="K16" s="573">
        <f>H16-I16</f>
        <v>0</v>
      </c>
      <c r="L16" s="573">
        <f>I16*12</f>
        <v>0</v>
      </c>
      <c r="M16" s="573">
        <f>K16-L16</f>
        <v>0</v>
      </c>
      <c r="N16" s="1198" t="e">
        <f>I16/D16*100</f>
        <v>#DIV/0!</v>
      </c>
      <c r="P16" s="1798"/>
      <c r="R16" s="1799"/>
      <c r="S16" s="1804" t="e">
        <f t="shared" si="5"/>
        <v>#DIV/0!</v>
      </c>
      <c r="T16" s="1806"/>
    </row>
    <row r="17" spans="1:20" s="106" customFormat="1" ht="21" hidden="1" customHeight="1">
      <c r="A17" s="415" t="s">
        <v>370</v>
      </c>
      <c r="B17" s="677"/>
      <c r="C17" s="677"/>
      <c r="D17" s="573">
        <v>0</v>
      </c>
      <c r="E17" s="573">
        <v>0</v>
      </c>
      <c r="F17" s="573">
        <f>0</f>
        <v>0</v>
      </c>
      <c r="G17" s="573">
        <f>0</f>
        <v>0</v>
      </c>
      <c r="H17" s="573">
        <f>E17-G17</f>
        <v>0</v>
      </c>
      <c r="I17" s="573">
        <f>G17*12</f>
        <v>0</v>
      </c>
      <c r="J17" s="573">
        <v>0</v>
      </c>
      <c r="K17" s="573">
        <f>H17-I17</f>
        <v>0</v>
      </c>
      <c r="L17" s="573">
        <f>I17*12</f>
        <v>0</v>
      </c>
      <c r="M17" s="573">
        <f>K17-L17</f>
        <v>0</v>
      </c>
      <c r="N17" s="1198" t="e">
        <f>I17/D17*100</f>
        <v>#DIV/0!</v>
      </c>
      <c r="R17" s="1799"/>
      <c r="S17" s="1804" t="e">
        <f t="shared" si="5"/>
        <v>#DIV/0!</v>
      </c>
      <c r="T17" s="1806"/>
    </row>
    <row r="18" spans="1:20" s="1810" customFormat="1" ht="31.5" customHeight="1">
      <c r="A18" s="1817" t="s">
        <v>419</v>
      </c>
      <c r="B18" s="1817"/>
      <c r="C18" s="1817"/>
      <c r="D18" s="1809">
        <f t="shared" ref="D18:M18" si="7">D12+D15</f>
        <v>30599479</v>
      </c>
      <c r="E18" s="1809">
        <f t="shared" si="7"/>
        <v>6274979</v>
      </c>
      <c r="F18" s="1809">
        <f t="shared" si="7"/>
        <v>0</v>
      </c>
      <c r="G18" s="1809">
        <f t="shared" si="7"/>
        <v>35207</v>
      </c>
      <c r="H18" s="1809">
        <f t="shared" si="7"/>
        <v>0</v>
      </c>
      <c r="I18" s="1809">
        <f t="shared" si="7"/>
        <v>422484</v>
      </c>
      <c r="J18" s="1809">
        <f t="shared" si="7"/>
        <v>30599479</v>
      </c>
      <c r="K18" s="1809">
        <f t="shared" si="7"/>
        <v>5852495</v>
      </c>
      <c r="L18" s="1809">
        <f t="shared" si="7"/>
        <v>422484</v>
      </c>
      <c r="M18" s="1809">
        <f t="shared" si="7"/>
        <v>5430011</v>
      </c>
      <c r="N18" s="1809">
        <f>L18/J18*100</f>
        <v>1.3806901744961082</v>
      </c>
      <c r="P18" s="1818"/>
      <c r="S18" s="1804">
        <f>I18/(D18+F18/12)*100</f>
        <v>1.3806901744961082</v>
      </c>
      <c r="T18" s="1819"/>
    </row>
    <row r="19" spans="1:20" s="10" customFormat="1" ht="13.2">
      <c r="A19" s="38"/>
      <c r="B19" s="38"/>
      <c r="C19" s="38"/>
      <c r="D19" s="38"/>
      <c r="E19" s="869"/>
      <c r="F19" s="869"/>
      <c r="G19" s="869"/>
      <c r="H19" s="869"/>
      <c r="I19" s="869"/>
      <c r="J19" s="870"/>
      <c r="K19" s="869"/>
      <c r="L19" s="869"/>
      <c r="M19" s="869"/>
      <c r="N19" s="869"/>
      <c r="S19" s="1824"/>
      <c r="T19" s="1823"/>
    </row>
    <row r="20" spans="1:20" s="10" customFormat="1">
      <c r="A20" s="80" t="s">
        <v>1427</v>
      </c>
      <c r="B20" s="80"/>
      <c r="C20" s="80"/>
      <c r="D20" s="80"/>
      <c r="E20" s="1820"/>
      <c r="F20" s="1820"/>
      <c r="G20" s="1820"/>
      <c r="H20" s="1820"/>
      <c r="I20" s="1820"/>
      <c r="J20" s="183"/>
      <c r="K20" s="1820"/>
      <c r="L20" s="869"/>
      <c r="M20" s="869"/>
      <c r="N20" s="869"/>
      <c r="S20" s="1824"/>
      <c r="T20" s="1823"/>
    </row>
    <row r="21" spans="1:20" s="10" customFormat="1" hidden="1">
      <c r="A21" s="80" t="s">
        <v>1428</v>
      </c>
      <c r="B21" s="80"/>
      <c r="C21" s="80"/>
      <c r="D21" s="80"/>
      <c r="E21" s="1820"/>
      <c r="F21" s="1820"/>
      <c r="G21" s="1820"/>
      <c r="H21" s="1820"/>
      <c r="I21" s="1820"/>
      <c r="J21" s="183"/>
      <c r="K21" s="1820"/>
      <c r="L21" s="869"/>
      <c r="M21" s="869"/>
      <c r="N21" s="869"/>
      <c r="P21" s="60"/>
      <c r="S21" s="1824"/>
      <c r="T21" s="1823"/>
    </row>
    <row r="22" spans="1:20" s="10" customFormat="1">
      <c r="A22" s="80"/>
      <c r="B22" s="26"/>
      <c r="C22" s="26"/>
      <c r="D22" s="1828" t="s">
        <v>1429</v>
      </c>
      <c r="E22" s="1829" t="s">
        <v>1302</v>
      </c>
      <c r="F22" s="80"/>
      <c r="G22" s="80"/>
      <c r="H22" s="80"/>
      <c r="I22" s="26"/>
      <c r="J22" s="172"/>
      <c r="K22" s="26"/>
      <c r="L22" s="38"/>
      <c r="M22" s="869"/>
      <c r="N22" s="869"/>
      <c r="P22" s="870"/>
      <c r="Q22" s="869"/>
      <c r="S22" s="1822"/>
      <c r="T22" s="1823"/>
    </row>
    <row r="23" spans="1:20" s="10" customFormat="1">
      <c r="A23" s="99" t="s">
        <v>1673</v>
      </c>
      <c r="B23" s="26"/>
      <c r="C23" s="26"/>
      <c r="D23" s="715">
        <f>'П1.30 - 07.06.11г.'!$C$17</f>
        <v>31984.329000000002</v>
      </c>
      <c r="E23" s="1007">
        <f>H23/$H$25*100</f>
        <v>20.549217680942228</v>
      </c>
      <c r="F23" s="99"/>
      <c r="G23" s="26"/>
      <c r="H23" s="1821">
        <f>'П1.30 - 07.06.11г.'!C17</f>
        <v>31984.329000000002</v>
      </c>
      <c r="I23" s="26"/>
      <c r="J23" s="172">
        <f>'[12]П1.30 -2014г., 1 и 2 п-е'!$G$9</f>
        <v>23157.851999999999</v>
      </c>
      <c r="K23" s="26">
        <f>J23/$J$25</f>
        <v>0.14737284304993553</v>
      </c>
      <c r="P23" s="201"/>
      <c r="Q23" s="1782"/>
      <c r="S23" s="1825">
        <f>D23/$D$25*100</f>
        <v>20.281186269029895</v>
      </c>
      <c r="T23" s="1823"/>
    </row>
    <row r="24" spans="1:20" s="10" customFormat="1">
      <c r="A24" s="99" t="s">
        <v>1431</v>
      </c>
      <c r="B24" s="26"/>
      <c r="C24" s="26"/>
      <c r="D24" s="715">
        <f>'2012 Баланс  '!$B$10</f>
        <v>125720.1</v>
      </c>
      <c r="E24" s="1007">
        <f>H24/$H$25*100</f>
        <v>79.45078231905778</v>
      </c>
      <c r="F24" s="26"/>
      <c r="G24" s="26"/>
      <c r="H24" s="1821">
        <f>'2012 Баланс  '!C10</f>
        <v>123663.1</v>
      </c>
      <c r="I24" s="26"/>
      <c r="J24" s="172">
        <f>'[12]стр-ра пол.отп. 2014г.'!$B$23</f>
        <v>133980</v>
      </c>
      <c r="K24" s="26">
        <f>J24/$J$25</f>
        <v>0.85262715695006441</v>
      </c>
      <c r="P24" s="201"/>
      <c r="Q24" s="1782">
        <v>422484</v>
      </c>
      <c r="S24" s="1825">
        <f>D24/$D$25*100</f>
        <v>79.718813730970112</v>
      </c>
      <c r="T24" s="1823"/>
    </row>
    <row r="25" spans="1:20" s="10" customFormat="1">
      <c r="A25" s="99" t="s">
        <v>419</v>
      </c>
      <c r="B25" s="26"/>
      <c r="C25" s="26"/>
      <c r="D25" s="715">
        <f>SUM(D23:D24)</f>
        <v>157704.429</v>
      </c>
      <c r="E25" s="1008">
        <f>SUM(E23:E24)</f>
        <v>100</v>
      </c>
      <c r="F25" s="26"/>
      <c r="G25" s="26"/>
      <c r="H25" s="1821">
        <f>SUM(H23:H24)</f>
        <v>155647.429</v>
      </c>
      <c r="I25" s="26"/>
      <c r="J25" s="172">
        <f>J23+J24</f>
        <v>157137.85200000001</v>
      </c>
      <c r="K25" s="26">
        <f>SUM(K23:K24)</f>
        <v>1</v>
      </c>
      <c r="P25" s="201"/>
      <c r="Q25" s="1782"/>
      <c r="S25" s="1825">
        <f>D25/$D$25*100</f>
        <v>100</v>
      </c>
      <c r="T25" s="1823"/>
    </row>
    <row r="26" spans="1:20" s="172" customFormat="1" ht="17.25" hidden="1" customHeight="1">
      <c r="A26" s="551" t="s">
        <v>1672</v>
      </c>
      <c r="D26" s="1271"/>
      <c r="E26" s="1278"/>
      <c r="H26" s="1279"/>
      <c r="J26" s="201"/>
      <c r="K26" s="201"/>
      <c r="L26" s="201"/>
      <c r="M26" s="201"/>
      <c r="N26" s="201"/>
      <c r="P26" s="1272"/>
      <c r="Q26" s="1273"/>
      <c r="R26" s="1274"/>
    </row>
    <row r="27" spans="1:20">
      <c r="D27" s="730"/>
      <c r="E27" s="730"/>
      <c r="F27" s="730"/>
      <c r="G27" s="730"/>
    </row>
    <row r="28" spans="1:20">
      <c r="B28" s="98"/>
      <c r="C28" s="98"/>
    </row>
    <row r="29" spans="1:20">
      <c r="B29" s="98"/>
      <c r="C29" s="98"/>
    </row>
    <row r="32" spans="1:20">
      <c r="K32" s="297"/>
    </row>
    <row r="33" spans="1:10">
      <c r="A33" s="98"/>
    </row>
    <row r="34" spans="1:10">
      <c r="A34" s="98"/>
    </row>
    <row r="35" spans="1:10">
      <c r="C35" s="26" t="s">
        <v>659</v>
      </c>
    </row>
    <row r="39" spans="1:10">
      <c r="D39" s="26"/>
      <c r="E39" s="26"/>
      <c r="F39" s="26"/>
      <c r="G39" s="26"/>
      <c r="H39" s="26"/>
      <c r="I39" s="26"/>
      <c r="J39" s="26"/>
    </row>
    <row r="40" spans="1:10">
      <c r="D40" s="26"/>
      <c r="E40" s="26"/>
      <c r="F40" s="26"/>
      <c r="G40" s="26"/>
      <c r="H40" s="26"/>
      <c r="I40" s="26"/>
      <c r="J40" s="26"/>
    </row>
    <row r="41" spans="1:10">
      <c r="D41" s="26"/>
      <c r="E41" s="26"/>
      <c r="F41" s="26"/>
      <c r="G41" s="26"/>
      <c r="H41" s="26"/>
      <c r="I41" s="26"/>
      <c r="J41" s="26"/>
    </row>
    <row r="42" spans="1:10">
      <c r="D42" s="26"/>
      <c r="E42" s="26"/>
      <c r="F42" s="26"/>
      <c r="G42" s="26"/>
      <c r="H42" s="26"/>
      <c r="I42" s="26"/>
      <c r="J42" s="26"/>
    </row>
    <row r="49" spans="4:9">
      <c r="D49" s="1280" t="s">
        <v>657</v>
      </c>
      <c r="G49" s="1280" t="s">
        <v>657</v>
      </c>
      <c r="H49" s="1280" t="s">
        <v>657</v>
      </c>
      <c r="I49" s="1280" t="s">
        <v>657</v>
      </c>
    </row>
    <row r="50" spans="4:9">
      <c r="D50" s="1281">
        <f>D18+30304.32</f>
        <v>30629783.32</v>
      </c>
      <c r="G50" s="1281">
        <f>G18+589.85</f>
        <v>35796.85</v>
      </c>
      <c r="H50" s="1281">
        <f>H18+17879.05</f>
        <v>17879.05</v>
      </c>
      <c r="I50" s="1281">
        <f>G12*12+I9+I10+I13+I14</f>
        <v>485148</v>
      </c>
    </row>
    <row r="51" spans="4:9">
      <c r="D51" s="10">
        <f>9723.88+39674.78+30304.32+18897.63+7500+7500</f>
        <v>113600.61</v>
      </c>
    </row>
    <row r="52" spans="4:9">
      <c r="D52" s="297">
        <f>D51-D50</f>
        <v>-30516182.710000001</v>
      </c>
    </row>
  </sheetData>
  <printOptions horizontalCentered="1"/>
  <pageMargins left="1.1811023622047245" right="0.39370078740157483" top="0.98425196850393704" bottom="0.11811023622047245" header="0.51181102362204722" footer="3.937007874015748E-2"/>
  <pageSetup paperSize="9" scale="77" orientation="landscape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0">
    <tabColor rgb="FFCCFF66"/>
  </sheetPr>
  <dimension ref="A1:H45"/>
  <sheetViews>
    <sheetView workbookViewId="0">
      <selection activeCell="C23" sqref="C23"/>
    </sheetView>
  </sheetViews>
  <sheetFormatPr defaultColWidth="9.109375" defaultRowHeight="13.2"/>
  <cols>
    <col min="1" max="1" width="4.44140625" style="10" customWidth="1"/>
    <col min="2" max="2" width="38.33203125" style="10" customWidth="1"/>
    <col min="3" max="3" width="17.5546875" style="10" customWidth="1"/>
    <col min="4" max="4" width="20.88671875" style="10" customWidth="1"/>
    <col min="5" max="16384" width="9.109375" style="10"/>
  </cols>
  <sheetData>
    <row r="1" spans="1:7">
      <c r="D1" s="11" t="s">
        <v>131</v>
      </c>
    </row>
    <row r="2" spans="1:7" ht="18.75" customHeight="1">
      <c r="A2" s="109" t="s">
        <v>132</v>
      </c>
      <c r="B2" s="109"/>
      <c r="C2" s="109"/>
      <c r="D2" s="109"/>
    </row>
    <row r="3" spans="1:7" ht="18" customHeight="1">
      <c r="A3" s="109" t="s">
        <v>2487</v>
      </c>
      <c r="B3" s="109"/>
      <c r="C3" s="109"/>
      <c r="D3" s="109"/>
      <c r="E3" s="84"/>
      <c r="F3" s="84"/>
      <c r="G3" s="84"/>
    </row>
    <row r="4" spans="1:7" ht="13.5" customHeight="1">
      <c r="A4" s="6"/>
      <c r="B4" s="6"/>
      <c r="C4" s="6"/>
      <c r="D4" s="6"/>
    </row>
    <row r="5" spans="1:7">
      <c r="D5" s="11" t="s">
        <v>24</v>
      </c>
    </row>
    <row r="6" spans="1:7" ht="16.5" customHeight="1">
      <c r="A6" s="17" t="s">
        <v>695</v>
      </c>
      <c r="B6" s="17" t="s">
        <v>133</v>
      </c>
      <c r="C6" s="17" t="s">
        <v>799</v>
      </c>
      <c r="D6" s="17" t="s">
        <v>674</v>
      </c>
    </row>
    <row r="7" spans="1:7">
      <c r="A7" s="14">
        <v>1</v>
      </c>
      <c r="B7" s="15">
        <v>2</v>
      </c>
      <c r="C7" s="15">
        <v>3</v>
      </c>
      <c r="D7" s="15">
        <v>4</v>
      </c>
    </row>
    <row r="8" spans="1:7" ht="14.25" customHeight="1">
      <c r="A8" s="14" t="s">
        <v>689</v>
      </c>
      <c r="B8" s="9" t="s">
        <v>134</v>
      </c>
      <c r="C8" s="77">
        <v>134.62179867372532</v>
      </c>
      <c r="D8" s="77">
        <v>110.98691922805301</v>
      </c>
    </row>
    <row r="9" spans="1:7" ht="14.25" customHeight="1">
      <c r="A9" s="14"/>
      <c r="B9" s="9" t="s">
        <v>780</v>
      </c>
      <c r="C9" s="77"/>
      <c r="D9" s="77"/>
    </row>
    <row r="10" spans="1:7" ht="26.4">
      <c r="A10" s="14"/>
      <c r="B10" s="9" t="s">
        <v>162</v>
      </c>
      <c r="C10" s="127">
        <v>134.62179867372532</v>
      </c>
      <c r="D10" s="127">
        <v>110.98691922805301</v>
      </c>
    </row>
    <row r="11" spans="1:7" ht="18" customHeight="1">
      <c r="A11" s="14"/>
      <c r="B11" s="9" t="s">
        <v>135</v>
      </c>
      <c r="C11" s="77"/>
      <c r="D11" s="77"/>
    </row>
    <row r="12" spans="1:7" ht="15" customHeight="1">
      <c r="A12" s="14" t="s">
        <v>700</v>
      </c>
      <c r="B12" s="9" t="s">
        <v>136</v>
      </c>
      <c r="C12" s="77">
        <v>134.62179867372532</v>
      </c>
      <c r="D12" s="77">
        <v>110.98691922805301</v>
      </c>
    </row>
    <row r="13" spans="1:7" ht="15.75" customHeight="1">
      <c r="A13" s="14"/>
      <c r="B13" s="9" t="s">
        <v>137</v>
      </c>
      <c r="C13" s="77"/>
      <c r="D13" s="77"/>
    </row>
    <row r="14" spans="1:7" ht="15" customHeight="1">
      <c r="A14" s="4209" t="s">
        <v>138</v>
      </c>
      <c r="B14" s="20" t="s">
        <v>139</v>
      </c>
      <c r="C14" s="4211">
        <v>134.62179867372532</v>
      </c>
      <c r="D14" s="4211">
        <v>110.98691922805301</v>
      </c>
    </row>
    <row r="15" spans="1:7" ht="15.75" customHeight="1">
      <c r="A15" s="4210"/>
      <c r="B15" s="9" t="s">
        <v>140</v>
      </c>
      <c r="C15" s="4212"/>
      <c r="D15" s="4212"/>
    </row>
    <row r="16" spans="1:7" ht="17.25" customHeight="1">
      <c r="A16" s="14" t="s">
        <v>141</v>
      </c>
      <c r="B16" s="9" t="s">
        <v>142</v>
      </c>
      <c r="C16" s="77"/>
      <c r="D16" s="77"/>
    </row>
    <row r="17" spans="1:4" ht="14.25" customHeight="1">
      <c r="A17" s="14" t="s">
        <v>143</v>
      </c>
      <c r="B17" s="9" t="s">
        <v>144</v>
      </c>
      <c r="C17" s="77"/>
      <c r="D17" s="77"/>
    </row>
    <row r="18" spans="1:4" ht="15" customHeight="1">
      <c r="A18" s="14" t="s">
        <v>145</v>
      </c>
      <c r="B18" s="9" t="s">
        <v>146</v>
      </c>
      <c r="C18" s="77"/>
      <c r="D18" s="77"/>
    </row>
    <row r="19" spans="1:4" ht="27.75" customHeight="1">
      <c r="A19" s="17" t="s">
        <v>147</v>
      </c>
      <c r="B19" s="2" t="s">
        <v>163</v>
      </c>
      <c r="C19" s="126"/>
      <c r="D19" s="126"/>
    </row>
    <row r="20" spans="1:4">
      <c r="A20" s="14" t="s">
        <v>148</v>
      </c>
      <c r="B20" s="9" t="s">
        <v>149</v>
      </c>
      <c r="C20" s="77"/>
      <c r="D20" s="77"/>
    </row>
    <row r="21" spans="1:4" ht="26.25" customHeight="1">
      <c r="A21" s="17" t="s">
        <v>150</v>
      </c>
      <c r="B21" s="2" t="s">
        <v>164</v>
      </c>
      <c r="C21" s="126"/>
      <c r="D21" s="126"/>
    </row>
    <row r="22" spans="1:4">
      <c r="A22" s="14" t="s">
        <v>151</v>
      </c>
      <c r="B22" s="9" t="s">
        <v>152</v>
      </c>
      <c r="C22" s="77"/>
      <c r="D22" s="77"/>
    </row>
    <row r="23" spans="1:4" ht="14.25" customHeight="1">
      <c r="A23" s="14" t="s">
        <v>153</v>
      </c>
      <c r="B23" s="9" t="s">
        <v>154</v>
      </c>
      <c r="C23" s="77">
        <v>134.62179867372532</v>
      </c>
      <c r="D23" s="77">
        <v>110.98691922805301</v>
      </c>
    </row>
    <row r="24" spans="1:4" ht="14.25" customHeight="1">
      <c r="A24" s="14" t="s">
        <v>155</v>
      </c>
      <c r="B24" s="9" t="s">
        <v>156</v>
      </c>
      <c r="C24" s="101">
        <v>0</v>
      </c>
      <c r="D24" s="101">
        <v>0</v>
      </c>
    </row>
    <row r="25" spans="1:4" ht="27" customHeight="1">
      <c r="A25" s="17"/>
      <c r="B25" s="2" t="s">
        <v>165</v>
      </c>
      <c r="C25" s="2"/>
      <c r="D25" s="2"/>
    </row>
    <row r="26" spans="1:4" ht="12.75" customHeight="1">
      <c r="A26" s="4216"/>
      <c r="B26" s="20" t="s">
        <v>158</v>
      </c>
      <c r="C26" s="4213"/>
      <c r="D26" s="4213"/>
    </row>
    <row r="27" spans="1:4">
      <c r="A27" s="4210"/>
      <c r="B27" s="9" t="s">
        <v>159</v>
      </c>
      <c r="C27" s="4214"/>
      <c r="D27" s="4214"/>
    </row>
    <row r="28" spans="1:4" ht="13.5" customHeight="1">
      <c r="A28" s="4209"/>
      <c r="B28" s="20" t="s">
        <v>160</v>
      </c>
      <c r="C28" s="4215"/>
      <c r="D28" s="4215"/>
    </row>
    <row r="29" spans="1:4">
      <c r="A29" s="4210"/>
      <c r="B29" s="9" t="s">
        <v>157</v>
      </c>
      <c r="C29" s="4214"/>
      <c r="D29" s="4214"/>
    </row>
    <row r="30" spans="1:4" ht="27" customHeight="1">
      <c r="A30" s="14"/>
      <c r="B30" s="9" t="s">
        <v>161</v>
      </c>
      <c r="C30" s="9"/>
      <c r="D30" s="9"/>
    </row>
    <row r="35" spans="1:8" s="776" customFormat="1" ht="23.25" customHeight="1">
      <c r="A35" s="839" t="s">
        <v>1266</v>
      </c>
      <c r="B35" s="774"/>
      <c r="C35" s="775"/>
      <c r="H35" s="777"/>
    </row>
    <row r="36" spans="1:8" s="776" customFormat="1" ht="15" customHeight="1">
      <c r="A36" s="839" t="s">
        <v>1304</v>
      </c>
      <c r="B36" s="778"/>
      <c r="C36" s="775"/>
      <c r="D36" s="779" t="s">
        <v>2876</v>
      </c>
    </row>
    <row r="38" spans="1:8">
      <c r="A38" s="19"/>
    </row>
    <row r="39" spans="1:8">
      <c r="B39" s="96"/>
      <c r="C39" s="96"/>
      <c r="D39" s="96"/>
      <c r="E39" s="96"/>
      <c r="F39" s="96"/>
      <c r="G39" s="96"/>
    </row>
    <row r="40" spans="1:8">
      <c r="B40" s="95"/>
      <c r="C40" s="95"/>
      <c r="D40" s="95"/>
      <c r="E40" s="95"/>
      <c r="F40" s="95"/>
      <c r="G40" s="95"/>
    </row>
    <row r="44" spans="1:8">
      <c r="A44" s="98"/>
    </row>
    <row r="45" spans="1:8">
      <c r="A45" s="98"/>
    </row>
  </sheetData>
  <mergeCells count="9">
    <mergeCell ref="A14:A15"/>
    <mergeCell ref="C14:C15"/>
    <mergeCell ref="D14:D15"/>
    <mergeCell ref="D26:D27"/>
    <mergeCell ref="A28:A29"/>
    <mergeCell ref="C28:C29"/>
    <mergeCell ref="D28:D29"/>
    <mergeCell ref="A26:A27"/>
    <mergeCell ref="C26:C27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1">
    <tabColor rgb="FFCCFF66"/>
  </sheetPr>
  <dimension ref="A1:H48"/>
  <sheetViews>
    <sheetView workbookViewId="0">
      <selection activeCell="B32" sqref="A1:XFD1048576"/>
    </sheetView>
  </sheetViews>
  <sheetFormatPr defaultColWidth="9.109375" defaultRowHeight="13.2"/>
  <cols>
    <col min="1" max="1" width="16.88671875" style="10" customWidth="1"/>
    <col min="2" max="2" width="11.33203125" style="10" customWidth="1"/>
    <col min="3" max="3" width="10" style="10" bestFit="1" customWidth="1"/>
    <col min="4" max="4" width="9.88671875" style="10" customWidth="1"/>
    <col min="5" max="5" width="11.44140625" style="10" customWidth="1"/>
    <col min="6" max="6" width="12.6640625" style="10" customWidth="1"/>
    <col min="7" max="7" width="16.5546875" style="10" customWidth="1"/>
    <col min="8" max="16384" width="9.109375" style="10"/>
  </cols>
  <sheetData>
    <row r="1" spans="1:7">
      <c r="G1" s="11" t="s">
        <v>166</v>
      </c>
    </row>
    <row r="2" spans="1:7">
      <c r="A2" s="18"/>
    </row>
    <row r="3" spans="1:7" ht="15.6">
      <c r="A3" s="109" t="s">
        <v>167</v>
      </c>
      <c r="B3" s="110"/>
      <c r="C3" s="110"/>
      <c r="D3" s="110"/>
      <c r="E3" s="110"/>
      <c r="F3" s="110"/>
      <c r="G3" s="110"/>
    </row>
    <row r="4" spans="1:7" ht="15.6">
      <c r="A4" s="109" t="s">
        <v>168</v>
      </c>
      <c r="B4" s="110"/>
      <c r="C4" s="110"/>
      <c r="D4" s="110"/>
      <c r="E4" s="110"/>
      <c r="F4" s="110"/>
      <c r="G4" s="110"/>
    </row>
    <row r="5" spans="1:7" ht="15.6">
      <c r="A5" s="109" t="s">
        <v>169</v>
      </c>
      <c r="B5" s="110"/>
      <c r="C5" s="110"/>
      <c r="D5" s="110"/>
      <c r="E5" s="110"/>
      <c r="F5" s="110"/>
      <c r="G5" s="110"/>
    </row>
    <row r="6" spans="1:7" ht="15.6">
      <c r="A6" s="109" t="s">
        <v>170</v>
      </c>
      <c r="B6" s="110"/>
      <c r="C6" s="110"/>
      <c r="D6" s="110"/>
      <c r="E6" s="110"/>
      <c r="F6" s="110"/>
      <c r="G6" s="110"/>
    </row>
    <row r="7" spans="1:7" ht="20.25" customHeight="1">
      <c r="A7" s="109" t="s">
        <v>2487</v>
      </c>
      <c r="B7" s="110"/>
      <c r="C7" s="110"/>
      <c r="D7" s="110"/>
      <c r="E7" s="110"/>
      <c r="F7" s="110"/>
      <c r="G7" s="110"/>
    </row>
    <row r="8" spans="1:7">
      <c r="A8" s="6"/>
      <c r="B8" s="6"/>
      <c r="C8" s="6"/>
      <c r="D8" s="6"/>
      <c r="E8" s="6"/>
      <c r="F8" s="6"/>
      <c r="G8" s="6"/>
    </row>
    <row r="9" spans="1:7">
      <c r="A9" s="6"/>
      <c r="B9" s="6"/>
      <c r="C9" s="6"/>
      <c r="D9" s="6"/>
      <c r="E9" s="6"/>
      <c r="F9" s="6"/>
      <c r="G9" s="6"/>
    </row>
    <row r="10" spans="1:7">
      <c r="G10" s="11" t="s">
        <v>24</v>
      </c>
    </row>
    <row r="11" spans="1:7" s="6" customFormat="1" ht="15" customHeight="1">
      <c r="A11" s="12" t="s">
        <v>171</v>
      </c>
      <c r="B11" s="28" t="s">
        <v>178</v>
      </c>
      <c r="C11" s="4217" t="s">
        <v>180</v>
      </c>
      <c r="D11" s="4218"/>
      <c r="E11" s="28" t="s">
        <v>182</v>
      </c>
      <c r="F11" s="28" t="s">
        <v>184</v>
      </c>
      <c r="G11" s="28" t="s">
        <v>185</v>
      </c>
    </row>
    <row r="12" spans="1:7" s="6" customFormat="1" ht="14.25" customHeight="1">
      <c r="A12" s="21" t="s">
        <v>177</v>
      </c>
      <c r="B12" s="27" t="s">
        <v>179</v>
      </c>
      <c r="C12" s="4219" t="s">
        <v>181</v>
      </c>
      <c r="D12" s="4220"/>
      <c r="E12" s="27" t="s">
        <v>183</v>
      </c>
      <c r="F12" s="27" t="s">
        <v>733</v>
      </c>
      <c r="G12" s="27" t="s">
        <v>186</v>
      </c>
    </row>
    <row r="13" spans="1:7" s="6" customFormat="1">
      <c r="A13" s="21"/>
      <c r="B13" s="27" t="s">
        <v>806</v>
      </c>
      <c r="C13" s="4221"/>
      <c r="D13" s="4222"/>
      <c r="E13" s="27" t="s">
        <v>735</v>
      </c>
      <c r="F13" s="27" t="s">
        <v>734</v>
      </c>
      <c r="G13" s="27" t="s">
        <v>187</v>
      </c>
    </row>
    <row r="14" spans="1:7" s="6" customFormat="1" ht="15" customHeight="1">
      <c r="A14" s="21"/>
      <c r="B14" s="27"/>
      <c r="C14" s="27" t="s">
        <v>188</v>
      </c>
      <c r="D14" s="28" t="s">
        <v>191</v>
      </c>
      <c r="E14" s="27"/>
      <c r="F14" s="27" t="s">
        <v>735</v>
      </c>
      <c r="G14" s="27"/>
    </row>
    <row r="15" spans="1:7" s="6" customFormat="1">
      <c r="A15" s="21"/>
      <c r="B15" s="27"/>
      <c r="C15" s="27" t="s">
        <v>189</v>
      </c>
      <c r="D15" s="27" t="s">
        <v>192</v>
      </c>
      <c r="E15" s="27"/>
      <c r="F15" s="27"/>
      <c r="G15" s="27"/>
    </row>
    <row r="16" spans="1:7" s="6" customFormat="1">
      <c r="A16" s="14"/>
      <c r="B16" s="15"/>
      <c r="C16" s="15" t="s">
        <v>190</v>
      </c>
      <c r="D16" s="15"/>
      <c r="E16" s="15"/>
      <c r="F16" s="15"/>
      <c r="G16" s="15"/>
    </row>
    <row r="17" spans="1:8" s="6" customFormat="1">
      <c r="A17" s="14">
        <v>1</v>
      </c>
      <c r="B17" s="15">
        <v>2</v>
      </c>
      <c r="C17" s="15">
        <v>3</v>
      </c>
      <c r="D17" s="15">
        <v>4</v>
      </c>
      <c r="E17" s="15">
        <v>5</v>
      </c>
      <c r="F17" s="15">
        <v>6</v>
      </c>
      <c r="G17" s="15">
        <v>7</v>
      </c>
    </row>
    <row r="18" spans="1:8">
      <c r="A18" s="4" t="s">
        <v>193</v>
      </c>
      <c r="B18" s="9">
        <v>113.98</v>
      </c>
      <c r="C18" s="77">
        <v>134.62179867372532</v>
      </c>
      <c r="D18" s="9">
        <v>113.98</v>
      </c>
      <c r="E18" s="935">
        <v>20.641798673725319</v>
      </c>
      <c r="F18" s="77">
        <v>110.98691922805301</v>
      </c>
      <c r="G18" s="9"/>
    </row>
    <row r="19" spans="1:8" ht="39.6">
      <c r="A19" s="1" t="s">
        <v>1992</v>
      </c>
      <c r="B19" s="3038">
        <v>113.98</v>
      </c>
      <c r="C19" s="1789">
        <v>134.62179867372532</v>
      </c>
      <c r="D19" s="130">
        <v>113.98</v>
      </c>
      <c r="E19" s="935">
        <v>20.641798673725319</v>
      </c>
      <c r="F19" s="1789">
        <v>110.98691922805301</v>
      </c>
      <c r="G19" s="9" t="s">
        <v>891</v>
      </c>
    </row>
    <row r="20" spans="1:8" ht="28.5" customHeight="1">
      <c r="A20" s="1"/>
      <c r="B20" s="935">
        <v>0</v>
      </c>
      <c r="C20" s="130"/>
      <c r="D20" s="130"/>
      <c r="E20" s="130"/>
      <c r="F20" s="1789"/>
      <c r="G20" s="9"/>
    </row>
    <row r="21" spans="1:8">
      <c r="A21" s="2"/>
      <c r="B21" s="9"/>
      <c r="C21" s="22"/>
      <c r="D21" s="22"/>
      <c r="E21" s="22"/>
      <c r="F21" s="22"/>
      <c r="G21" s="9"/>
    </row>
    <row r="22" spans="1:8">
      <c r="A22" s="4"/>
      <c r="B22" s="9"/>
      <c r="C22" s="22"/>
      <c r="D22" s="22"/>
      <c r="E22" s="22"/>
      <c r="F22" s="22"/>
      <c r="G22" s="9"/>
    </row>
    <row r="27" spans="1:8" s="776" customFormat="1" ht="23.25" customHeight="1">
      <c r="A27" s="839" t="s">
        <v>1266</v>
      </c>
      <c r="B27" s="774"/>
      <c r="C27" s="775"/>
      <c r="H27" s="777"/>
    </row>
    <row r="28" spans="1:8" s="776" customFormat="1" ht="15" customHeight="1">
      <c r="A28" s="839" t="s">
        <v>1304</v>
      </c>
      <c r="B28" s="778"/>
      <c r="C28" s="775"/>
      <c r="G28" s="779" t="s">
        <v>2876</v>
      </c>
    </row>
    <row r="31" spans="1:8">
      <c r="A31" s="19"/>
    </row>
    <row r="32" spans="1:8">
      <c r="B32" s="96"/>
      <c r="C32" s="96"/>
      <c r="D32" s="96"/>
      <c r="E32" s="96"/>
      <c r="F32" s="96"/>
      <c r="G32" s="96"/>
    </row>
    <row r="33" spans="1:7">
      <c r="B33" s="95"/>
      <c r="C33" s="95"/>
      <c r="D33" s="95"/>
      <c r="E33" s="95"/>
      <c r="F33" s="95"/>
      <c r="G33" s="95"/>
    </row>
    <row r="47" spans="1:7">
      <c r="A47" s="98"/>
    </row>
    <row r="48" spans="1:7">
      <c r="A48" s="98"/>
    </row>
  </sheetData>
  <mergeCells count="3">
    <mergeCell ref="C11:D11"/>
    <mergeCell ref="C12:D12"/>
    <mergeCell ref="C13:D13"/>
  </mergeCells>
  <phoneticPr fontId="0" type="noConversion"/>
  <printOptions horizontalCentered="1"/>
  <pageMargins left="0.78740157480314965" right="0.78740157480314965" top="0.98425196850393704" bottom="0.11811023622047245" header="0.51181102362204722" footer="3.937007874015748E-2"/>
  <pageSetup paperSize="9" scale="97" orientation="portrait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2">
    <tabColor rgb="FFCCFF66"/>
  </sheetPr>
  <dimension ref="A1:K57"/>
  <sheetViews>
    <sheetView workbookViewId="0">
      <pane xSplit="1" ySplit="8" topLeftCell="B35" activePane="bottomRight" state="frozen"/>
      <selection activeCell="B32" sqref="A1:XFD1048576"/>
      <selection pane="topRight" activeCell="B32" sqref="A1:XFD1048576"/>
      <selection pane="bottomLeft" activeCell="B32" sqref="A1:XFD1048576"/>
      <selection pane="bottomRight" activeCell="G1" sqref="G1:M1048576"/>
    </sheetView>
  </sheetViews>
  <sheetFormatPr defaultColWidth="9.109375" defaultRowHeight="13.2"/>
  <cols>
    <col min="1" max="1" width="4.88671875" style="10" customWidth="1"/>
    <col min="2" max="2" width="33.6640625" style="10" customWidth="1"/>
    <col min="3" max="3" width="11.109375" style="10" customWidth="1"/>
    <col min="4" max="4" width="11.33203125" style="10" customWidth="1"/>
    <col min="5" max="5" width="10.6640625" style="10" customWidth="1"/>
    <col min="6" max="6" width="12" style="10" customWidth="1"/>
    <col min="7" max="13" width="0" style="10" hidden="1" customWidth="1"/>
    <col min="14" max="16384" width="9.109375" style="10"/>
  </cols>
  <sheetData>
    <row r="1" spans="1:9">
      <c r="F1" s="11" t="s">
        <v>194</v>
      </c>
      <c r="H1" s="90"/>
    </row>
    <row r="2" spans="1:9" ht="15.6">
      <c r="A2" s="109" t="s">
        <v>195</v>
      </c>
      <c r="B2" s="110"/>
      <c r="C2" s="110"/>
      <c r="D2" s="110"/>
      <c r="E2" s="110"/>
      <c r="F2" s="110"/>
    </row>
    <row r="3" spans="1:9" ht="15.6">
      <c r="A3" s="109" t="s">
        <v>196</v>
      </c>
      <c r="B3" s="100"/>
      <c r="C3" s="100"/>
      <c r="D3" s="100"/>
      <c r="E3" s="100"/>
      <c r="F3" s="100"/>
    </row>
    <row r="4" spans="1:9" ht="15.6">
      <c r="A4" s="109" t="s">
        <v>2487</v>
      </c>
      <c r="B4" s="100"/>
      <c r="C4" s="100"/>
      <c r="D4" s="100"/>
      <c r="E4" s="100"/>
      <c r="F4" s="100"/>
      <c r="G4" s="84"/>
    </row>
    <row r="5" spans="1:9">
      <c r="F5" s="11" t="s">
        <v>24</v>
      </c>
    </row>
    <row r="6" spans="1:9" ht="14.25" customHeight="1">
      <c r="A6" s="4209" t="s">
        <v>695</v>
      </c>
      <c r="B6" s="4209" t="s">
        <v>197</v>
      </c>
      <c r="C6" s="4225" t="s">
        <v>799</v>
      </c>
      <c r="D6" s="4226"/>
      <c r="E6" s="4225" t="s">
        <v>674</v>
      </c>
      <c r="F6" s="4226"/>
    </row>
    <row r="7" spans="1:9" ht="26.4">
      <c r="A7" s="4210"/>
      <c r="B7" s="4210"/>
      <c r="C7" s="15" t="s">
        <v>198</v>
      </c>
      <c r="D7" s="13" t="s">
        <v>199</v>
      </c>
      <c r="E7" s="15" t="s">
        <v>198</v>
      </c>
      <c r="F7" s="15" t="s">
        <v>199</v>
      </c>
    </row>
    <row r="8" spans="1:9">
      <c r="A8" s="14">
        <v>1</v>
      </c>
      <c r="B8" s="15">
        <v>2</v>
      </c>
      <c r="C8" s="15">
        <v>3</v>
      </c>
      <c r="D8" s="15">
        <v>4</v>
      </c>
      <c r="E8" s="15">
        <v>5</v>
      </c>
      <c r="F8" s="15">
        <v>6</v>
      </c>
    </row>
    <row r="9" spans="1:9" ht="12" customHeight="1">
      <c r="A9" s="4209" t="s">
        <v>200</v>
      </c>
      <c r="B9" s="20" t="s">
        <v>432</v>
      </c>
      <c r="C9" s="125">
        <v>0</v>
      </c>
      <c r="D9" s="7"/>
      <c r="E9" s="125">
        <v>0</v>
      </c>
      <c r="F9" s="7"/>
    </row>
    <row r="10" spans="1:9" ht="14.25" customHeight="1">
      <c r="A10" s="4216"/>
      <c r="B10" s="9" t="s">
        <v>201</v>
      </c>
      <c r="C10" s="4"/>
      <c r="D10" s="9"/>
      <c r="E10"/>
      <c r="F10" s="9"/>
    </row>
    <row r="11" spans="1:9" ht="13.5" customHeight="1">
      <c r="A11" s="4210"/>
      <c r="B11" s="9" t="s">
        <v>202</v>
      </c>
      <c r="C11" s="97">
        <v>0</v>
      </c>
      <c r="D11" s="97"/>
      <c r="E11" s="97">
        <v>0</v>
      </c>
      <c r="F11" s="9"/>
    </row>
    <row r="12" spans="1:9">
      <c r="A12" s="14"/>
      <c r="B12" s="9" t="s">
        <v>203</v>
      </c>
      <c r="C12" s="97">
        <v>0</v>
      </c>
      <c r="D12" s="97"/>
      <c r="E12" s="97">
        <v>0</v>
      </c>
      <c r="F12" s="9"/>
    </row>
    <row r="13" spans="1:9">
      <c r="A13" s="14"/>
      <c r="B13" s="9" t="s">
        <v>204</v>
      </c>
      <c r="C13" s="97">
        <v>0</v>
      </c>
      <c r="D13" s="97"/>
      <c r="E13" s="97">
        <v>0</v>
      </c>
      <c r="F13" s="9"/>
    </row>
    <row r="14" spans="1:9">
      <c r="A14" s="14"/>
      <c r="B14" s="9" t="s">
        <v>205</v>
      </c>
      <c r="C14" s="97">
        <v>0</v>
      </c>
      <c r="D14" s="97"/>
      <c r="E14" s="97">
        <v>0</v>
      </c>
      <c r="F14" s="9"/>
    </row>
    <row r="15" spans="1:9">
      <c r="A15" s="14"/>
      <c r="B15" s="9" t="s">
        <v>206</v>
      </c>
      <c r="C15" s="97">
        <v>0</v>
      </c>
      <c r="D15" s="97"/>
      <c r="E15" s="97">
        <v>0</v>
      </c>
      <c r="F15" s="20"/>
    </row>
    <row r="16" spans="1:9" ht="13.5" customHeight="1">
      <c r="A16" s="4209" t="s">
        <v>207</v>
      </c>
      <c r="B16" s="20" t="s">
        <v>431</v>
      </c>
      <c r="C16" s="3251">
        <v>0</v>
      </c>
      <c r="D16" s="4227"/>
      <c r="E16" s="4227">
        <v>107</v>
      </c>
      <c r="F16" s="88"/>
      <c r="H16" s="48">
        <v>107</v>
      </c>
      <c r="I16" s="48">
        <v>107</v>
      </c>
    </row>
    <row r="17" spans="1:11" ht="14.25" customHeight="1">
      <c r="A17" s="4216"/>
      <c r="B17" s="9" t="s">
        <v>201</v>
      </c>
      <c r="C17" s="2880"/>
      <c r="D17" s="4228"/>
      <c r="E17" s="4228"/>
      <c r="F17" s="9"/>
    </row>
    <row r="18" spans="1:11" ht="14.25" customHeight="1">
      <c r="A18" s="4210"/>
      <c r="B18" s="9" t="s">
        <v>202</v>
      </c>
      <c r="C18" s="908"/>
      <c r="D18" s="202"/>
      <c r="E18" s="908"/>
      <c r="F18" s="9"/>
    </row>
    <row r="19" spans="1:11" ht="14.25" customHeight="1">
      <c r="A19" s="14" t="s">
        <v>208</v>
      </c>
      <c r="B19" s="9" t="s">
        <v>209</v>
      </c>
      <c r="C19" s="97"/>
      <c r="D19" s="202"/>
      <c r="E19" s="97"/>
      <c r="F19" s="54"/>
    </row>
    <row r="20" spans="1:11" ht="12.75" customHeight="1">
      <c r="A20" s="14" t="s">
        <v>210</v>
      </c>
      <c r="B20" s="9" t="s">
        <v>211</v>
      </c>
      <c r="C20" s="97"/>
      <c r="D20" s="97"/>
      <c r="E20" s="97">
        <v>0</v>
      </c>
      <c r="F20" s="9"/>
    </row>
    <row r="21" spans="1:11" ht="14.25" customHeight="1">
      <c r="A21" s="14" t="s">
        <v>212</v>
      </c>
      <c r="B21" s="9" t="s">
        <v>213</v>
      </c>
      <c r="C21" s="97">
        <v>0</v>
      </c>
      <c r="D21" s="97"/>
      <c r="E21" s="97">
        <v>0</v>
      </c>
      <c r="F21" s="9"/>
    </row>
    <row r="22" spans="1:11" ht="12.75" customHeight="1">
      <c r="A22" s="17"/>
      <c r="B22" s="2" t="s">
        <v>227</v>
      </c>
      <c r="C22" s="203"/>
      <c r="D22" s="203"/>
      <c r="E22" s="909"/>
      <c r="F22" s="2"/>
    </row>
    <row r="23" spans="1:11" ht="14.25" customHeight="1">
      <c r="A23" s="17"/>
      <c r="B23" s="2" t="s">
        <v>214</v>
      </c>
      <c r="C23" s="203"/>
      <c r="D23" s="203"/>
      <c r="E23" s="203"/>
      <c r="F23" s="2"/>
    </row>
    <row r="24" spans="1:11" ht="12.75" customHeight="1">
      <c r="A24" s="17"/>
      <c r="B24" s="2" t="s">
        <v>228</v>
      </c>
      <c r="C24" s="97"/>
      <c r="D24" s="97"/>
      <c r="E24" s="97">
        <v>0</v>
      </c>
      <c r="F24" s="2"/>
    </row>
    <row r="25" spans="1:11" ht="12" customHeight="1">
      <c r="A25" s="4216" t="s">
        <v>215</v>
      </c>
      <c r="B25" s="3" t="s">
        <v>216</v>
      </c>
      <c r="C25" s="3252">
        <v>0</v>
      </c>
      <c r="D25" s="4227"/>
      <c r="E25" s="4231">
        <v>133.75</v>
      </c>
      <c r="F25" s="4223"/>
    </row>
    <row r="26" spans="1:11">
      <c r="A26" s="4210"/>
      <c r="B26" s="4" t="s">
        <v>217</v>
      </c>
      <c r="C26" s="3253"/>
      <c r="D26" s="4228"/>
      <c r="E26" s="4232"/>
      <c r="F26" s="4224"/>
    </row>
    <row r="27" spans="1:11" ht="13.5" customHeight="1">
      <c r="A27" s="4209" t="s">
        <v>218</v>
      </c>
      <c r="B27" s="20" t="s">
        <v>219</v>
      </c>
      <c r="C27" s="4227">
        <v>20.491519782574223</v>
      </c>
      <c r="D27" s="4227"/>
      <c r="E27" s="4227">
        <v>44.639823885654664</v>
      </c>
      <c r="F27" s="4229"/>
    </row>
    <row r="28" spans="1:11">
      <c r="A28" s="4210"/>
      <c r="B28" s="9" t="s">
        <v>220</v>
      </c>
      <c r="C28" s="4228"/>
      <c r="D28" s="4228"/>
      <c r="E28" s="4228"/>
      <c r="F28" s="4230"/>
    </row>
    <row r="29" spans="1:11" ht="12" customHeight="1">
      <c r="A29" s="14"/>
      <c r="B29" s="9" t="s">
        <v>201</v>
      </c>
      <c r="C29" s="908"/>
      <c r="D29" s="908"/>
      <c r="E29" s="910"/>
      <c r="F29" s="23"/>
    </row>
    <row r="30" spans="1:11" ht="13.5" customHeight="1">
      <c r="A30" s="14"/>
      <c r="B30" s="9" t="s">
        <v>221</v>
      </c>
      <c r="C30" s="97">
        <v>0</v>
      </c>
      <c r="D30" s="912"/>
      <c r="E30" s="911">
        <v>26.75</v>
      </c>
      <c r="F30" s="54"/>
      <c r="H30" s="505">
        <v>0</v>
      </c>
      <c r="I30" s="505">
        <v>0</v>
      </c>
      <c r="J30" t="s">
        <v>2005</v>
      </c>
      <c r="K30"/>
    </row>
    <row r="31" spans="1:11">
      <c r="A31" s="14"/>
      <c r="B31" s="9" t="s">
        <v>203</v>
      </c>
      <c r="C31" s="97">
        <v>0</v>
      </c>
      <c r="D31" s="97"/>
      <c r="E31" s="97">
        <v>12.03736893304054</v>
      </c>
      <c r="F31" s="2"/>
    </row>
    <row r="32" spans="1:11">
      <c r="A32" s="14"/>
      <c r="B32" s="9" t="s">
        <v>204</v>
      </c>
      <c r="C32" s="97">
        <v>0</v>
      </c>
      <c r="D32" s="97"/>
      <c r="E32" s="97">
        <v>0</v>
      </c>
      <c r="F32" s="9"/>
    </row>
    <row r="33" spans="1:11">
      <c r="A33" s="14"/>
      <c r="B33" s="9" t="s">
        <v>205</v>
      </c>
      <c r="C33" s="97">
        <v>0</v>
      </c>
      <c r="D33" s="908"/>
      <c r="E33" s="908">
        <v>13.471461613102969</v>
      </c>
      <c r="F33" s="22"/>
    </row>
    <row r="34" spans="1:11">
      <c r="A34" s="14"/>
      <c r="B34" s="9" t="s">
        <v>222</v>
      </c>
      <c r="C34" s="97">
        <v>0</v>
      </c>
      <c r="D34" s="908"/>
      <c r="E34" s="908">
        <v>1.2411694538564912</v>
      </c>
      <c r="F34" s="22"/>
    </row>
    <row r="35" spans="1:11" ht="14.25" customHeight="1">
      <c r="A35" s="14"/>
      <c r="B35" s="9" t="s">
        <v>223</v>
      </c>
      <c r="C35" s="908">
        <v>20.491519782574223</v>
      </c>
      <c r="D35" s="908"/>
      <c r="E35" s="908">
        <v>17.889823885654664</v>
      </c>
      <c r="F35" s="35"/>
      <c r="H35">
        <v>20.49151978257423</v>
      </c>
      <c r="I35">
        <v>17.789823885654659</v>
      </c>
      <c r="J35"/>
      <c r="K35"/>
    </row>
    <row r="36" spans="1:11">
      <c r="A36" s="14"/>
      <c r="B36" s="9" t="s">
        <v>203</v>
      </c>
      <c r="C36" s="97">
        <v>0</v>
      </c>
      <c r="D36" s="97"/>
      <c r="E36" s="97">
        <v>0</v>
      </c>
      <c r="F36" s="9"/>
      <c r="H36">
        <v>18.7</v>
      </c>
      <c r="I36">
        <v>18.100000000000001</v>
      </c>
      <c r="J36" t="s">
        <v>2005</v>
      </c>
      <c r="K36"/>
    </row>
    <row r="37" spans="1:11">
      <c r="A37" s="14"/>
      <c r="B37" s="9" t="s">
        <v>204</v>
      </c>
      <c r="C37" s="97">
        <v>0</v>
      </c>
      <c r="D37" s="97"/>
      <c r="E37" s="97">
        <v>0</v>
      </c>
      <c r="F37" s="9"/>
    </row>
    <row r="38" spans="1:11">
      <c r="A38" s="14"/>
      <c r="B38" s="9" t="s">
        <v>205</v>
      </c>
      <c r="C38" s="908">
        <v>20.491519782574223</v>
      </c>
      <c r="D38" s="908"/>
      <c r="E38" s="908">
        <v>17.889823885654664</v>
      </c>
      <c r="F38" s="55"/>
    </row>
    <row r="39" spans="1:11">
      <c r="A39" s="14"/>
      <c r="B39" s="9" t="s">
        <v>206</v>
      </c>
      <c r="C39" s="97">
        <v>0</v>
      </c>
      <c r="D39" s="97"/>
      <c r="E39" s="97">
        <v>0</v>
      </c>
      <c r="F39" s="9"/>
    </row>
    <row r="40" spans="1:11" ht="12" customHeight="1">
      <c r="A40" s="4209"/>
      <c r="B40" s="20" t="s">
        <v>224</v>
      </c>
      <c r="C40" s="4193"/>
      <c r="D40" s="4193"/>
      <c r="E40" s="4193"/>
      <c r="F40" s="4215"/>
    </row>
    <row r="41" spans="1:11" ht="12" customHeight="1">
      <c r="A41" s="4216"/>
      <c r="B41" s="9" t="s">
        <v>225</v>
      </c>
      <c r="C41" s="4195"/>
      <c r="D41" s="4195"/>
      <c r="E41" s="4195"/>
      <c r="F41" s="4214"/>
    </row>
    <row r="42" spans="1:11" ht="13.5" customHeight="1">
      <c r="A42" s="4216"/>
      <c r="B42" s="7" t="s">
        <v>229</v>
      </c>
      <c r="C42" s="4193"/>
      <c r="D42" s="4193"/>
      <c r="E42" s="4193"/>
      <c r="F42" s="4215"/>
    </row>
    <row r="43" spans="1:11" ht="16.8" customHeight="1">
      <c r="A43" s="4216"/>
      <c r="B43" s="4" t="s">
        <v>230</v>
      </c>
      <c r="C43" s="4194"/>
      <c r="D43" s="4194"/>
      <c r="E43" s="4194"/>
      <c r="F43" s="4233"/>
    </row>
    <row r="44" spans="1:11" ht="13.5" customHeight="1">
      <c r="A44" s="12" t="s">
        <v>226</v>
      </c>
      <c r="B44" s="20" t="s">
        <v>430</v>
      </c>
      <c r="C44" s="907">
        <v>20.491519782574223</v>
      </c>
      <c r="D44" s="907"/>
      <c r="E44" s="907">
        <v>151.6</v>
      </c>
      <c r="F44" s="25"/>
    </row>
    <row r="45" spans="1:11" ht="13.5" customHeight="1">
      <c r="A45" s="14"/>
      <c r="B45" s="9" t="s">
        <v>201</v>
      </c>
      <c r="C45" s="202"/>
      <c r="D45" s="202"/>
      <c r="E45" s="202"/>
      <c r="F45" s="9"/>
    </row>
    <row r="46" spans="1:11">
      <c r="A46" s="14"/>
      <c r="B46" s="9" t="s">
        <v>203</v>
      </c>
      <c r="C46" s="97">
        <v>0</v>
      </c>
      <c r="D46" s="97"/>
      <c r="E46" s="528">
        <v>12</v>
      </c>
      <c r="F46" s="9"/>
    </row>
    <row r="47" spans="1:11">
      <c r="A47" s="14"/>
      <c r="B47" s="9" t="s">
        <v>204</v>
      </c>
      <c r="C47" s="97">
        <v>0</v>
      </c>
      <c r="D47" s="97"/>
      <c r="E47" s="97">
        <v>0</v>
      </c>
      <c r="F47" s="9"/>
    </row>
    <row r="48" spans="1:11">
      <c r="A48" s="14"/>
      <c r="B48" s="9" t="s">
        <v>205</v>
      </c>
      <c r="C48" s="908">
        <v>20.491519782574223</v>
      </c>
      <c r="D48" s="908"/>
      <c r="E48" s="908">
        <v>85.247131951169507</v>
      </c>
      <c r="F48" s="22"/>
    </row>
    <row r="49" spans="1:8">
      <c r="A49" s="14"/>
      <c r="B49" s="9" t="s">
        <v>222</v>
      </c>
      <c r="C49" s="97">
        <v>0</v>
      </c>
      <c r="D49" s="908"/>
      <c r="E49" s="908">
        <v>54.352868048830487</v>
      </c>
      <c r="F49" s="22"/>
    </row>
    <row r="50" spans="1:8" ht="41.4" customHeight="1"/>
    <row r="51" spans="1:8" s="776" customFormat="1" ht="15" customHeight="1">
      <c r="A51" s="839" t="s">
        <v>1266</v>
      </c>
      <c r="B51" s="774"/>
      <c r="C51" s="775"/>
      <c r="H51" s="777"/>
    </row>
    <row r="52" spans="1:8" s="776" customFormat="1" ht="15" customHeight="1">
      <c r="A52" s="839" t="s">
        <v>1304</v>
      </c>
      <c r="B52" s="778"/>
      <c r="C52" s="775"/>
      <c r="F52" s="779" t="s">
        <v>2876</v>
      </c>
    </row>
    <row r="53" spans="1:8" ht="15.6">
      <c r="A53" s="86"/>
      <c r="F53" s="550"/>
    </row>
    <row r="54" spans="1:8">
      <c r="A54" s="98"/>
    </row>
    <row r="55" spans="1:8">
      <c r="A55" s="98"/>
    </row>
    <row r="56" spans="1:8">
      <c r="B56" s="96"/>
      <c r="C56" s="96"/>
      <c r="D56" s="96"/>
      <c r="E56" s="96"/>
      <c r="F56" s="96"/>
      <c r="G56" s="96"/>
    </row>
    <row r="57" spans="1:8">
      <c r="B57" s="95"/>
      <c r="C57" s="95"/>
      <c r="D57" s="95"/>
      <c r="E57" s="95"/>
      <c r="F57" s="95"/>
      <c r="G57" s="95"/>
    </row>
  </sheetData>
  <mergeCells count="26">
    <mergeCell ref="A40:A43"/>
    <mergeCell ref="C40:C41"/>
    <mergeCell ref="D40:D41"/>
    <mergeCell ref="F40:F41"/>
    <mergeCell ref="C42:C43"/>
    <mergeCell ref="D42:D43"/>
    <mergeCell ref="E42:E43"/>
    <mergeCell ref="F42:F43"/>
    <mergeCell ref="E40:E41"/>
    <mergeCell ref="F27:F28"/>
    <mergeCell ref="A25:A26"/>
    <mergeCell ref="D25:D26"/>
    <mergeCell ref="E25:E26"/>
    <mergeCell ref="A27:A28"/>
    <mergeCell ref="C27:C28"/>
    <mergeCell ref="D27:D28"/>
    <mergeCell ref="E27:E28"/>
    <mergeCell ref="A9:A11"/>
    <mergeCell ref="F25:F26"/>
    <mergeCell ref="A16:A18"/>
    <mergeCell ref="A6:A7"/>
    <mergeCell ref="B6:B7"/>
    <mergeCell ref="C6:D6"/>
    <mergeCell ref="E6:F6"/>
    <mergeCell ref="D16:D17"/>
    <mergeCell ref="E16:E17"/>
  </mergeCells>
  <phoneticPr fontId="0" type="noConversion"/>
  <pageMargins left="0.78740157480314965" right="0.78740157480314965" top="0.59055118110236227" bottom="0.98425196850393704" header="0.51181102362204722" footer="0.51181102362204722"/>
  <pageSetup paperSize="9" scale="9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 enableFormatConditionsCalculation="0">
    <tabColor rgb="FFCCFF66"/>
  </sheetPr>
  <dimension ref="A1:N56"/>
  <sheetViews>
    <sheetView workbookViewId="0">
      <pane xSplit="1" ySplit="12" topLeftCell="B40" activePane="bottomRight" state="frozenSplit"/>
      <selection activeCell="B32" sqref="A1:XFD1048576"/>
      <selection pane="topRight" activeCell="B32" sqref="A1:XFD1048576"/>
      <selection pane="bottomLeft" activeCell="B32" sqref="A1:XFD1048576"/>
      <selection pane="bottomRight" sqref="A1:XFD1048576"/>
    </sheetView>
  </sheetViews>
  <sheetFormatPr defaultRowHeight="13.2"/>
  <cols>
    <col min="1" max="1" width="10.88671875" style="2006" customWidth="1"/>
    <col min="2" max="2" width="12" style="2006" customWidth="1"/>
    <col min="3" max="3" width="11.5546875" style="2006" customWidth="1"/>
    <col min="4" max="4" width="11.44140625" style="2006" customWidth="1"/>
    <col min="5" max="5" width="10.5546875" style="2006" customWidth="1"/>
    <col min="6" max="6" width="14.88671875" style="2346" customWidth="1"/>
    <col min="7" max="7" width="16.109375" style="2006" customWidth="1"/>
    <col min="8" max="8" width="0" style="2006" hidden="1" customWidth="1"/>
    <col min="9" max="11" width="9.109375" style="2006" hidden="1" customWidth="1"/>
    <col min="12" max="12" width="11.6640625" style="2006" hidden="1" customWidth="1"/>
    <col min="13" max="14" width="9.109375" style="2006" hidden="1" customWidth="1"/>
    <col min="15" max="15" width="0" style="2006" hidden="1" customWidth="1"/>
    <col min="16" max="256" width="9.109375" style="2006"/>
    <col min="257" max="257" width="10.88671875" style="2006" customWidth="1"/>
    <col min="258" max="258" width="12" style="2006" customWidth="1"/>
    <col min="259" max="259" width="11.5546875" style="2006" customWidth="1"/>
    <col min="260" max="260" width="11.44140625" style="2006" customWidth="1"/>
    <col min="261" max="261" width="10.5546875" style="2006" customWidth="1"/>
    <col min="262" max="262" width="14.88671875" style="2006" customWidth="1"/>
    <col min="263" max="263" width="16.109375" style="2006" customWidth="1"/>
    <col min="264" max="512" width="9.109375" style="2006"/>
    <col min="513" max="513" width="10.88671875" style="2006" customWidth="1"/>
    <col min="514" max="514" width="12" style="2006" customWidth="1"/>
    <col min="515" max="515" width="11.5546875" style="2006" customWidth="1"/>
    <col min="516" max="516" width="11.44140625" style="2006" customWidth="1"/>
    <col min="517" max="517" width="10.5546875" style="2006" customWidth="1"/>
    <col min="518" max="518" width="14.88671875" style="2006" customWidth="1"/>
    <col min="519" max="519" width="16.109375" style="2006" customWidth="1"/>
    <col min="520" max="768" width="9.109375" style="2006"/>
    <col min="769" max="769" width="10.88671875" style="2006" customWidth="1"/>
    <col min="770" max="770" width="12" style="2006" customWidth="1"/>
    <col min="771" max="771" width="11.5546875" style="2006" customWidth="1"/>
    <col min="772" max="772" width="11.44140625" style="2006" customWidth="1"/>
    <col min="773" max="773" width="10.5546875" style="2006" customWidth="1"/>
    <col min="774" max="774" width="14.88671875" style="2006" customWidth="1"/>
    <col min="775" max="775" width="16.109375" style="2006" customWidth="1"/>
    <col min="776" max="1024" width="9.109375" style="2006"/>
    <col min="1025" max="1025" width="10.88671875" style="2006" customWidth="1"/>
    <col min="1026" max="1026" width="12" style="2006" customWidth="1"/>
    <col min="1027" max="1027" width="11.5546875" style="2006" customWidth="1"/>
    <col min="1028" max="1028" width="11.44140625" style="2006" customWidth="1"/>
    <col min="1029" max="1029" width="10.5546875" style="2006" customWidth="1"/>
    <col min="1030" max="1030" width="14.88671875" style="2006" customWidth="1"/>
    <col min="1031" max="1031" width="16.109375" style="2006" customWidth="1"/>
    <col min="1032" max="1280" width="9.109375" style="2006"/>
    <col min="1281" max="1281" width="10.88671875" style="2006" customWidth="1"/>
    <col min="1282" max="1282" width="12" style="2006" customWidth="1"/>
    <col min="1283" max="1283" width="11.5546875" style="2006" customWidth="1"/>
    <col min="1284" max="1284" width="11.44140625" style="2006" customWidth="1"/>
    <col min="1285" max="1285" width="10.5546875" style="2006" customWidth="1"/>
    <col min="1286" max="1286" width="14.88671875" style="2006" customWidth="1"/>
    <col min="1287" max="1287" width="16.109375" style="2006" customWidth="1"/>
    <col min="1288" max="1536" width="9.109375" style="2006"/>
    <col min="1537" max="1537" width="10.88671875" style="2006" customWidth="1"/>
    <col min="1538" max="1538" width="12" style="2006" customWidth="1"/>
    <col min="1539" max="1539" width="11.5546875" style="2006" customWidth="1"/>
    <col min="1540" max="1540" width="11.44140625" style="2006" customWidth="1"/>
    <col min="1541" max="1541" width="10.5546875" style="2006" customWidth="1"/>
    <col min="1542" max="1542" width="14.88671875" style="2006" customWidth="1"/>
    <col min="1543" max="1543" width="16.109375" style="2006" customWidth="1"/>
    <col min="1544" max="1792" width="9.109375" style="2006"/>
    <col min="1793" max="1793" width="10.88671875" style="2006" customWidth="1"/>
    <col min="1794" max="1794" width="12" style="2006" customWidth="1"/>
    <col min="1795" max="1795" width="11.5546875" style="2006" customWidth="1"/>
    <col min="1796" max="1796" width="11.44140625" style="2006" customWidth="1"/>
    <col min="1797" max="1797" width="10.5546875" style="2006" customWidth="1"/>
    <col min="1798" max="1798" width="14.88671875" style="2006" customWidth="1"/>
    <col min="1799" max="1799" width="16.109375" style="2006" customWidth="1"/>
    <col min="1800" max="2048" width="9.109375" style="2006"/>
    <col min="2049" max="2049" width="10.88671875" style="2006" customWidth="1"/>
    <col min="2050" max="2050" width="12" style="2006" customWidth="1"/>
    <col min="2051" max="2051" width="11.5546875" style="2006" customWidth="1"/>
    <col min="2052" max="2052" width="11.44140625" style="2006" customWidth="1"/>
    <col min="2053" max="2053" width="10.5546875" style="2006" customWidth="1"/>
    <col min="2054" max="2054" width="14.88671875" style="2006" customWidth="1"/>
    <col min="2055" max="2055" width="16.109375" style="2006" customWidth="1"/>
    <col min="2056" max="2304" width="9.109375" style="2006"/>
    <col min="2305" max="2305" width="10.88671875" style="2006" customWidth="1"/>
    <col min="2306" max="2306" width="12" style="2006" customWidth="1"/>
    <col min="2307" max="2307" width="11.5546875" style="2006" customWidth="1"/>
    <col min="2308" max="2308" width="11.44140625" style="2006" customWidth="1"/>
    <col min="2309" max="2309" width="10.5546875" style="2006" customWidth="1"/>
    <col min="2310" max="2310" width="14.88671875" style="2006" customWidth="1"/>
    <col min="2311" max="2311" width="16.109375" style="2006" customWidth="1"/>
    <col min="2312" max="2560" width="9.109375" style="2006"/>
    <col min="2561" max="2561" width="10.88671875" style="2006" customWidth="1"/>
    <col min="2562" max="2562" width="12" style="2006" customWidth="1"/>
    <col min="2563" max="2563" width="11.5546875" style="2006" customWidth="1"/>
    <col min="2564" max="2564" width="11.44140625" style="2006" customWidth="1"/>
    <col min="2565" max="2565" width="10.5546875" style="2006" customWidth="1"/>
    <col min="2566" max="2566" width="14.88671875" style="2006" customWidth="1"/>
    <col min="2567" max="2567" width="16.109375" style="2006" customWidth="1"/>
    <col min="2568" max="2816" width="9.109375" style="2006"/>
    <col min="2817" max="2817" width="10.88671875" style="2006" customWidth="1"/>
    <col min="2818" max="2818" width="12" style="2006" customWidth="1"/>
    <col min="2819" max="2819" width="11.5546875" style="2006" customWidth="1"/>
    <col min="2820" max="2820" width="11.44140625" style="2006" customWidth="1"/>
    <col min="2821" max="2821" width="10.5546875" style="2006" customWidth="1"/>
    <col min="2822" max="2822" width="14.88671875" style="2006" customWidth="1"/>
    <col min="2823" max="2823" width="16.109375" style="2006" customWidth="1"/>
    <col min="2824" max="3072" width="9.109375" style="2006"/>
    <col min="3073" max="3073" width="10.88671875" style="2006" customWidth="1"/>
    <col min="3074" max="3074" width="12" style="2006" customWidth="1"/>
    <col min="3075" max="3075" width="11.5546875" style="2006" customWidth="1"/>
    <col min="3076" max="3076" width="11.44140625" style="2006" customWidth="1"/>
    <col min="3077" max="3077" width="10.5546875" style="2006" customWidth="1"/>
    <col min="3078" max="3078" width="14.88671875" style="2006" customWidth="1"/>
    <col min="3079" max="3079" width="16.109375" style="2006" customWidth="1"/>
    <col min="3080" max="3328" width="9.109375" style="2006"/>
    <col min="3329" max="3329" width="10.88671875" style="2006" customWidth="1"/>
    <col min="3330" max="3330" width="12" style="2006" customWidth="1"/>
    <col min="3331" max="3331" width="11.5546875" style="2006" customWidth="1"/>
    <col min="3332" max="3332" width="11.44140625" style="2006" customWidth="1"/>
    <col min="3333" max="3333" width="10.5546875" style="2006" customWidth="1"/>
    <col min="3334" max="3334" width="14.88671875" style="2006" customWidth="1"/>
    <col min="3335" max="3335" width="16.109375" style="2006" customWidth="1"/>
    <col min="3336" max="3584" width="9.109375" style="2006"/>
    <col min="3585" max="3585" width="10.88671875" style="2006" customWidth="1"/>
    <col min="3586" max="3586" width="12" style="2006" customWidth="1"/>
    <col min="3587" max="3587" width="11.5546875" style="2006" customWidth="1"/>
    <col min="3588" max="3588" width="11.44140625" style="2006" customWidth="1"/>
    <col min="3589" max="3589" width="10.5546875" style="2006" customWidth="1"/>
    <col min="3590" max="3590" width="14.88671875" style="2006" customWidth="1"/>
    <col min="3591" max="3591" width="16.109375" style="2006" customWidth="1"/>
    <col min="3592" max="3840" width="9.109375" style="2006"/>
    <col min="3841" max="3841" width="10.88671875" style="2006" customWidth="1"/>
    <col min="3842" max="3842" width="12" style="2006" customWidth="1"/>
    <col min="3843" max="3843" width="11.5546875" style="2006" customWidth="1"/>
    <col min="3844" max="3844" width="11.44140625" style="2006" customWidth="1"/>
    <col min="3845" max="3845" width="10.5546875" style="2006" customWidth="1"/>
    <col min="3846" max="3846" width="14.88671875" style="2006" customWidth="1"/>
    <col min="3847" max="3847" width="16.109375" style="2006" customWidth="1"/>
    <col min="3848" max="4096" width="9.109375" style="2006"/>
    <col min="4097" max="4097" width="10.88671875" style="2006" customWidth="1"/>
    <col min="4098" max="4098" width="12" style="2006" customWidth="1"/>
    <col min="4099" max="4099" width="11.5546875" style="2006" customWidth="1"/>
    <col min="4100" max="4100" width="11.44140625" style="2006" customWidth="1"/>
    <col min="4101" max="4101" width="10.5546875" style="2006" customWidth="1"/>
    <col min="4102" max="4102" width="14.88671875" style="2006" customWidth="1"/>
    <col min="4103" max="4103" width="16.109375" style="2006" customWidth="1"/>
    <col min="4104" max="4352" width="9.109375" style="2006"/>
    <col min="4353" max="4353" width="10.88671875" style="2006" customWidth="1"/>
    <col min="4354" max="4354" width="12" style="2006" customWidth="1"/>
    <col min="4355" max="4355" width="11.5546875" style="2006" customWidth="1"/>
    <col min="4356" max="4356" width="11.44140625" style="2006" customWidth="1"/>
    <col min="4357" max="4357" width="10.5546875" style="2006" customWidth="1"/>
    <col min="4358" max="4358" width="14.88671875" style="2006" customWidth="1"/>
    <col min="4359" max="4359" width="16.109375" style="2006" customWidth="1"/>
    <col min="4360" max="4608" width="9.109375" style="2006"/>
    <col min="4609" max="4609" width="10.88671875" style="2006" customWidth="1"/>
    <col min="4610" max="4610" width="12" style="2006" customWidth="1"/>
    <col min="4611" max="4611" width="11.5546875" style="2006" customWidth="1"/>
    <col min="4612" max="4612" width="11.44140625" style="2006" customWidth="1"/>
    <col min="4613" max="4613" width="10.5546875" style="2006" customWidth="1"/>
    <col min="4614" max="4614" width="14.88671875" style="2006" customWidth="1"/>
    <col min="4615" max="4615" width="16.109375" style="2006" customWidth="1"/>
    <col min="4616" max="4864" width="9.109375" style="2006"/>
    <col min="4865" max="4865" width="10.88671875" style="2006" customWidth="1"/>
    <col min="4866" max="4866" width="12" style="2006" customWidth="1"/>
    <col min="4867" max="4867" width="11.5546875" style="2006" customWidth="1"/>
    <col min="4868" max="4868" width="11.44140625" style="2006" customWidth="1"/>
    <col min="4869" max="4869" width="10.5546875" style="2006" customWidth="1"/>
    <col min="4870" max="4870" width="14.88671875" style="2006" customWidth="1"/>
    <col min="4871" max="4871" width="16.109375" style="2006" customWidth="1"/>
    <col min="4872" max="5120" width="9.109375" style="2006"/>
    <col min="5121" max="5121" width="10.88671875" style="2006" customWidth="1"/>
    <col min="5122" max="5122" width="12" style="2006" customWidth="1"/>
    <col min="5123" max="5123" width="11.5546875" style="2006" customWidth="1"/>
    <col min="5124" max="5124" width="11.44140625" style="2006" customWidth="1"/>
    <col min="5125" max="5125" width="10.5546875" style="2006" customWidth="1"/>
    <col min="5126" max="5126" width="14.88671875" style="2006" customWidth="1"/>
    <col min="5127" max="5127" width="16.109375" style="2006" customWidth="1"/>
    <col min="5128" max="5376" width="9.109375" style="2006"/>
    <col min="5377" max="5377" width="10.88671875" style="2006" customWidth="1"/>
    <col min="5378" max="5378" width="12" style="2006" customWidth="1"/>
    <col min="5379" max="5379" width="11.5546875" style="2006" customWidth="1"/>
    <col min="5380" max="5380" width="11.44140625" style="2006" customWidth="1"/>
    <col min="5381" max="5381" width="10.5546875" style="2006" customWidth="1"/>
    <col min="5382" max="5382" width="14.88671875" style="2006" customWidth="1"/>
    <col min="5383" max="5383" width="16.109375" style="2006" customWidth="1"/>
    <col min="5384" max="5632" width="9.109375" style="2006"/>
    <col min="5633" max="5633" width="10.88671875" style="2006" customWidth="1"/>
    <col min="5634" max="5634" width="12" style="2006" customWidth="1"/>
    <col min="5635" max="5635" width="11.5546875" style="2006" customWidth="1"/>
    <col min="5636" max="5636" width="11.44140625" style="2006" customWidth="1"/>
    <col min="5637" max="5637" width="10.5546875" style="2006" customWidth="1"/>
    <col min="5638" max="5638" width="14.88671875" style="2006" customWidth="1"/>
    <col min="5639" max="5639" width="16.109375" style="2006" customWidth="1"/>
    <col min="5640" max="5888" width="9.109375" style="2006"/>
    <col min="5889" max="5889" width="10.88671875" style="2006" customWidth="1"/>
    <col min="5890" max="5890" width="12" style="2006" customWidth="1"/>
    <col min="5891" max="5891" width="11.5546875" style="2006" customWidth="1"/>
    <col min="5892" max="5892" width="11.44140625" style="2006" customWidth="1"/>
    <col min="5893" max="5893" width="10.5546875" style="2006" customWidth="1"/>
    <col min="5894" max="5894" width="14.88671875" style="2006" customWidth="1"/>
    <col min="5895" max="5895" width="16.109375" style="2006" customWidth="1"/>
    <col min="5896" max="6144" width="9.109375" style="2006"/>
    <col min="6145" max="6145" width="10.88671875" style="2006" customWidth="1"/>
    <col min="6146" max="6146" width="12" style="2006" customWidth="1"/>
    <col min="6147" max="6147" width="11.5546875" style="2006" customWidth="1"/>
    <col min="6148" max="6148" width="11.44140625" style="2006" customWidth="1"/>
    <col min="6149" max="6149" width="10.5546875" style="2006" customWidth="1"/>
    <col min="6150" max="6150" width="14.88671875" style="2006" customWidth="1"/>
    <col min="6151" max="6151" width="16.109375" style="2006" customWidth="1"/>
    <col min="6152" max="6400" width="9.109375" style="2006"/>
    <col min="6401" max="6401" width="10.88671875" style="2006" customWidth="1"/>
    <col min="6402" max="6402" width="12" style="2006" customWidth="1"/>
    <col min="6403" max="6403" width="11.5546875" style="2006" customWidth="1"/>
    <col min="6404" max="6404" width="11.44140625" style="2006" customWidth="1"/>
    <col min="6405" max="6405" width="10.5546875" style="2006" customWidth="1"/>
    <col min="6406" max="6406" width="14.88671875" style="2006" customWidth="1"/>
    <col min="6407" max="6407" width="16.109375" style="2006" customWidth="1"/>
    <col min="6408" max="6656" width="9.109375" style="2006"/>
    <col min="6657" max="6657" width="10.88671875" style="2006" customWidth="1"/>
    <col min="6658" max="6658" width="12" style="2006" customWidth="1"/>
    <col min="6659" max="6659" width="11.5546875" style="2006" customWidth="1"/>
    <col min="6660" max="6660" width="11.44140625" style="2006" customWidth="1"/>
    <col min="6661" max="6661" width="10.5546875" style="2006" customWidth="1"/>
    <col min="6662" max="6662" width="14.88671875" style="2006" customWidth="1"/>
    <col min="6663" max="6663" width="16.109375" style="2006" customWidth="1"/>
    <col min="6664" max="6912" width="9.109375" style="2006"/>
    <col min="6913" max="6913" width="10.88671875" style="2006" customWidth="1"/>
    <col min="6914" max="6914" width="12" style="2006" customWidth="1"/>
    <col min="6915" max="6915" width="11.5546875" style="2006" customWidth="1"/>
    <col min="6916" max="6916" width="11.44140625" style="2006" customWidth="1"/>
    <col min="6917" max="6917" width="10.5546875" style="2006" customWidth="1"/>
    <col min="6918" max="6918" width="14.88671875" style="2006" customWidth="1"/>
    <col min="6919" max="6919" width="16.109375" style="2006" customWidth="1"/>
    <col min="6920" max="7168" width="9.109375" style="2006"/>
    <col min="7169" max="7169" width="10.88671875" style="2006" customWidth="1"/>
    <col min="7170" max="7170" width="12" style="2006" customWidth="1"/>
    <col min="7171" max="7171" width="11.5546875" style="2006" customWidth="1"/>
    <col min="7172" max="7172" width="11.44140625" style="2006" customWidth="1"/>
    <col min="7173" max="7173" width="10.5546875" style="2006" customWidth="1"/>
    <col min="7174" max="7174" width="14.88671875" style="2006" customWidth="1"/>
    <col min="7175" max="7175" width="16.109375" style="2006" customWidth="1"/>
    <col min="7176" max="7424" width="9.109375" style="2006"/>
    <col min="7425" max="7425" width="10.88671875" style="2006" customWidth="1"/>
    <col min="7426" max="7426" width="12" style="2006" customWidth="1"/>
    <col min="7427" max="7427" width="11.5546875" style="2006" customWidth="1"/>
    <col min="7428" max="7428" width="11.44140625" style="2006" customWidth="1"/>
    <col min="7429" max="7429" width="10.5546875" style="2006" customWidth="1"/>
    <col min="7430" max="7430" width="14.88671875" style="2006" customWidth="1"/>
    <col min="7431" max="7431" width="16.109375" style="2006" customWidth="1"/>
    <col min="7432" max="7680" width="9.109375" style="2006"/>
    <col min="7681" max="7681" width="10.88671875" style="2006" customWidth="1"/>
    <col min="7682" max="7682" width="12" style="2006" customWidth="1"/>
    <col min="7683" max="7683" width="11.5546875" style="2006" customWidth="1"/>
    <col min="7684" max="7684" width="11.44140625" style="2006" customWidth="1"/>
    <col min="7685" max="7685" width="10.5546875" style="2006" customWidth="1"/>
    <col min="7686" max="7686" width="14.88671875" style="2006" customWidth="1"/>
    <col min="7687" max="7687" width="16.109375" style="2006" customWidth="1"/>
    <col min="7688" max="7936" width="9.109375" style="2006"/>
    <col min="7937" max="7937" width="10.88671875" style="2006" customWidth="1"/>
    <col min="7938" max="7938" width="12" style="2006" customWidth="1"/>
    <col min="7939" max="7939" width="11.5546875" style="2006" customWidth="1"/>
    <col min="7940" max="7940" width="11.44140625" style="2006" customWidth="1"/>
    <col min="7941" max="7941" width="10.5546875" style="2006" customWidth="1"/>
    <col min="7942" max="7942" width="14.88671875" style="2006" customWidth="1"/>
    <col min="7943" max="7943" width="16.109375" style="2006" customWidth="1"/>
    <col min="7944" max="8192" width="9.109375" style="2006"/>
    <col min="8193" max="8193" width="10.88671875" style="2006" customWidth="1"/>
    <col min="8194" max="8194" width="12" style="2006" customWidth="1"/>
    <col min="8195" max="8195" width="11.5546875" style="2006" customWidth="1"/>
    <col min="8196" max="8196" width="11.44140625" style="2006" customWidth="1"/>
    <col min="8197" max="8197" width="10.5546875" style="2006" customWidth="1"/>
    <col min="8198" max="8198" width="14.88671875" style="2006" customWidth="1"/>
    <col min="8199" max="8199" width="16.109375" style="2006" customWidth="1"/>
    <col min="8200" max="8448" width="9.109375" style="2006"/>
    <col min="8449" max="8449" width="10.88671875" style="2006" customWidth="1"/>
    <col min="8450" max="8450" width="12" style="2006" customWidth="1"/>
    <col min="8451" max="8451" width="11.5546875" style="2006" customWidth="1"/>
    <col min="8452" max="8452" width="11.44140625" style="2006" customWidth="1"/>
    <col min="8453" max="8453" width="10.5546875" style="2006" customWidth="1"/>
    <col min="8454" max="8454" width="14.88671875" style="2006" customWidth="1"/>
    <col min="8455" max="8455" width="16.109375" style="2006" customWidth="1"/>
    <col min="8456" max="8704" width="9.109375" style="2006"/>
    <col min="8705" max="8705" width="10.88671875" style="2006" customWidth="1"/>
    <col min="8706" max="8706" width="12" style="2006" customWidth="1"/>
    <col min="8707" max="8707" width="11.5546875" style="2006" customWidth="1"/>
    <col min="8708" max="8708" width="11.44140625" style="2006" customWidth="1"/>
    <col min="8709" max="8709" width="10.5546875" style="2006" customWidth="1"/>
    <col min="8710" max="8710" width="14.88671875" style="2006" customWidth="1"/>
    <col min="8711" max="8711" width="16.109375" style="2006" customWidth="1"/>
    <col min="8712" max="8960" width="9.109375" style="2006"/>
    <col min="8961" max="8961" width="10.88671875" style="2006" customWidth="1"/>
    <col min="8962" max="8962" width="12" style="2006" customWidth="1"/>
    <col min="8963" max="8963" width="11.5546875" style="2006" customWidth="1"/>
    <col min="8964" max="8964" width="11.44140625" style="2006" customWidth="1"/>
    <col min="8965" max="8965" width="10.5546875" style="2006" customWidth="1"/>
    <col min="8966" max="8966" width="14.88671875" style="2006" customWidth="1"/>
    <col min="8967" max="8967" width="16.109375" style="2006" customWidth="1"/>
    <col min="8968" max="9216" width="9.109375" style="2006"/>
    <col min="9217" max="9217" width="10.88671875" style="2006" customWidth="1"/>
    <col min="9218" max="9218" width="12" style="2006" customWidth="1"/>
    <col min="9219" max="9219" width="11.5546875" style="2006" customWidth="1"/>
    <col min="9220" max="9220" width="11.44140625" style="2006" customWidth="1"/>
    <col min="9221" max="9221" width="10.5546875" style="2006" customWidth="1"/>
    <col min="9222" max="9222" width="14.88671875" style="2006" customWidth="1"/>
    <col min="9223" max="9223" width="16.109375" style="2006" customWidth="1"/>
    <col min="9224" max="9472" width="9.109375" style="2006"/>
    <col min="9473" max="9473" width="10.88671875" style="2006" customWidth="1"/>
    <col min="9474" max="9474" width="12" style="2006" customWidth="1"/>
    <col min="9475" max="9475" width="11.5546875" style="2006" customWidth="1"/>
    <col min="9476" max="9476" width="11.44140625" style="2006" customWidth="1"/>
    <col min="9477" max="9477" width="10.5546875" style="2006" customWidth="1"/>
    <col min="9478" max="9478" width="14.88671875" style="2006" customWidth="1"/>
    <col min="9479" max="9479" width="16.109375" style="2006" customWidth="1"/>
    <col min="9480" max="9728" width="9.109375" style="2006"/>
    <col min="9729" max="9729" width="10.88671875" style="2006" customWidth="1"/>
    <col min="9730" max="9730" width="12" style="2006" customWidth="1"/>
    <col min="9731" max="9731" width="11.5546875" style="2006" customWidth="1"/>
    <col min="9732" max="9732" width="11.44140625" style="2006" customWidth="1"/>
    <col min="9733" max="9733" width="10.5546875" style="2006" customWidth="1"/>
    <col min="9734" max="9734" width="14.88671875" style="2006" customWidth="1"/>
    <col min="9735" max="9735" width="16.109375" style="2006" customWidth="1"/>
    <col min="9736" max="9984" width="9.109375" style="2006"/>
    <col min="9985" max="9985" width="10.88671875" style="2006" customWidth="1"/>
    <col min="9986" max="9986" width="12" style="2006" customWidth="1"/>
    <col min="9987" max="9987" width="11.5546875" style="2006" customWidth="1"/>
    <col min="9988" max="9988" width="11.44140625" style="2006" customWidth="1"/>
    <col min="9989" max="9989" width="10.5546875" style="2006" customWidth="1"/>
    <col min="9990" max="9990" width="14.88671875" style="2006" customWidth="1"/>
    <col min="9991" max="9991" width="16.109375" style="2006" customWidth="1"/>
    <col min="9992" max="10240" width="9.109375" style="2006"/>
    <col min="10241" max="10241" width="10.88671875" style="2006" customWidth="1"/>
    <col min="10242" max="10242" width="12" style="2006" customWidth="1"/>
    <col min="10243" max="10243" width="11.5546875" style="2006" customWidth="1"/>
    <col min="10244" max="10244" width="11.44140625" style="2006" customWidth="1"/>
    <col min="10245" max="10245" width="10.5546875" style="2006" customWidth="1"/>
    <col min="10246" max="10246" width="14.88671875" style="2006" customWidth="1"/>
    <col min="10247" max="10247" width="16.109375" style="2006" customWidth="1"/>
    <col min="10248" max="10496" width="9.109375" style="2006"/>
    <col min="10497" max="10497" width="10.88671875" style="2006" customWidth="1"/>
    <col min="10498" max="10498" width="12" style="2006" customWidth="1"/>
    <col min="10499" max="10499" width="11.5546875" style="2006" customWidth="1"/>
    <col min="10500" max="10500" width="11.44140625" style="2006" customWidth="1"/>
    <col min="10501" max="10501" width="10.5546875" style="2006" customWidth="1"/>
    <col min="10502" max="10502" width="14.88671875" style="2006" customWidth="1"/>
    <col min="10503" max="10503" width="16.109375" style="2006" customWidth="1"/>
    <col min="10504" max="10752" width="9.109375" style="2006"/>
    <col min="10753" max="10753" width="10.88671875" style="2006" customWidth="1"/>
    <col min="10754" max="10754" width="12" style="2006" customWidth="1"/>
    <col min="10755" max="10755" width="11.5546875" style="2006" customWidth="1"/>
    <col min="10756" max="10756" width="11.44140625" style="2006" customWidth="1"/>
    <col min="10757" max="10757" width="10.5546875" style="2006" customWidth="1"/>
    <col min="10758" max="10758" width="14.88671875" style="2006" customWidth="1"/>
    <col min="10759" max="10759" width="16.109375" style="2006" customWidth="1"/>
    <col min="10760" max="11008" width="9.109375" style="2006"/>
    <col min="11009" max="11009" width="10.88671875" style="2006" customWidth="1"/>
    <col min="11010" max="11010" width="12" style="2006" customWidth="1"/>
    <col min="11011" max="11011" width="11.5546875" style="2006" customWidth="1"/>
    <col min="11012" max="11012" width="11.44140625" style="2006" customWidth="1"/>
    <col min="11013" max="11013" width="10.5546875" style="2006" customWidth="1"/>
    <col min="11014" max="11014" width="14.88671875" style="2006" customWidth="1"/>
    <col min="11015" max="11015" width="16.109375" style="2006" customWidth="1"/>
    <col min="11016" max="11264" width="9.109375" style="2006"/>
    <col min="11265" max="11265" width="10.88671875" style="2006" customWidth="1"/>
    <col min="11266" max="11266" width="12" style="2006" customWidth="1"/>
    <col min="11267" max="11267" width="11.5546875" style="2006" customWidth="1"/>
    <col min="11268" max="11268" width="11.44140625" style="2006" customWidth="1"/>
    <col min="11269" max="11269" width="10.5546875" style="2006" customWidth="1"/>
    <col min="11270" max="11270" width="14.88671875" style="2006" customWidth="1"/>
    <col min="11271" max="11271" width="16.109375" style="2006" customWidth="1"/>
    <col min="11272" max="11520" width="9.109375" style="2006"/>
    <col min="11521" max="11521" width="10.88671875" style="2006" customWidth="1"/>
    <col min="11522" max="11522" width="12" style="2006" customWidth="1"/>
    <col min="11523" max="11523" width="11.5546875" style="2006" customWidth="1"/>
    <col min="11524" max="11524" width="11.44140625" style="2006" customWidth="1"/>
    <col min="11525" max="11525" width="10.5546875" style="2006" customWidth="1"/>
    <col min="11526" max="11526" width="14.88671875" style="2006" customWidth="1"/>
    <col min="11527" max="11527" width="16.109375" style="2006" customWidth="1"/>
    <col min="11528" max="11776" width="9.109375" style="2006"/>
    <col min="11777" max="11777" width="10.88671875" style="2006" customWidth="1"/>
    <col min="11778" max="11778" width="12" style="2006" customWidth="1"/>
    <col min="11779" max="11779" width="11.5546875" style="2006" customWidth="1"/>
    <col min="11780" max="11780" width="11.44140625" style="2006" customWidth="1"/>
    <col min="11781" max="11781" width="10.5546875" style="2006" customWidth="1"/>
    <col min="11782" max="11782" width="14.88671875" style="2006" customWidth="1"/>
    <col min="11783" max="11783" width="16.109375" style="2006" customWidth="1"/>
    <col min="11784" max="12032" width="9.109375" style="2006"/>
    <col min="12033" max="12033" width="10.88671875" style="2006" customWidth="1"/>
    <col min="12034" max="12034" width="12" style="2006" customWidth="1"/>
    <col min="12035" max="12035" width="11.5546875" style="2006" customWidth="1"/>
    <col min="12036" max="12036" width="11.44140625" style="2006" customWidth="1"/>
    <col min="12037" max="12037" width="10.5546875" style="2006" customWidth="1"/>
    <col min="12038" max="12038" width="14.88671875" style="2006" customWidth="1"/>
    <col min="12039" max="12039" width="16.109375" style="2006" customWidth="1"/>
    <col min="12040" max="12288" width="9.109375" style="2006"/>
    <col min="12289" max="12289" width="10.88671875" style="2006" customWidth="1"/>
    <col min="12290" max="12290" width="12" style="2006" customWidth="1"/>
    <col min="12291" max="12291" width="11.5546875" style="2006" customWidth="1"/>
    <col min="12292" max="12292" width="11.44140625" style="2006" customWidth="1"/>
    <col min="12293" max="12293" width="10.5546875" style="2006" customWidth="1"/>
    <col min="12294" max="12294" width="14.88671875" style="2006" customWidth="1"/>
    <col min="12295" max="12295" width="16.109375" style="2006" customWidth="1"/>
    <col min="12296" max="12544" width="9.109375" style="2006"/>
    <col min="12545" max="12545" width="10.88671875" style="2006" customWidth="1"/>
    <col min="12546" max="12546" width="12" style="2006" customWidth="1"/>
    <col min="12547" max="12547" width="11.5546875" style="2006" customWidth="1"/>
    <col min="12548" max="12548" width="11.44140625" style="2006" customWidth="1"/>
    <col min="12549" max="12549" width="10.5546875" style="2006" customWidth="1"/>
    <col min="12550" max="12550" width="14.88671875" style="2006" customWidth="1"/>
    <col min="12551" max="12551" width="16.109375" style="2006" customWidth="1"/>
    <col min="12552" max="12800" width="9.109375" style="2006"/>
    <col min="12801" max="12801" width="10.88671875" style="2006" customWidth="1"/>
    <col min="12802" max="12802" width="12" style="2006" customWidth="1"/>
    <col min="12803" max="12803" width="11.5546875" style="2006" customWidth="1"/>
    <col min="12804" max="12804" width="11.44140625" style="2006" customWidth="1"/>
    <col min="12805" max="12805" width="10.5546875" style="2006" customWidth="1"/>
    <col min="12806" max="12806" width="14.88671875" style="2006" customWidth="1"/>
    <col min="12807" max="12807" width="16.109375" style="2006" customWidth="1"/>
    <col min="12808" max="13056" width="9.109375" style="2006"/>
    <col min="13057" max="13057" width="10.88671875" style="2006" customWidth="1"/>
    <col min="13058" max="13058" width="12" style="2006" customWidth="1"/>
    <col min="13059" max="13059" width="11.5546875" style="2006" customWidth="1"/>
    <col min="13060" max="13060" width="11.44140625" style="2006" customWidth="1"/>
    <col min="13061" max="13061" width="10.5546875" style="2006" customWidth="1"/>
    <col min="13062" max="13062" width="14.88671875" style="2006" customWidth="1"/>
    <col min="13063" max="13063" width="16.109375" style="2006" customWidth="1"/>
    <col min="13064" max="13312" width="9.109375" style="2006"/>
    <col min="13313" max="13313" width="10.88671875" style="2006" customWidth="1"/>
    <col min="13314" max="13314" width="12" style="2006" customWidth="1"/>
    <col min="13315" max="13315" width="11.5546875" style="2006" customWidth="1"/>
    <col min="13316" max="13316" width="11.44140625" style="2006" customWidth="1"/>
    <col min="13317" max="13317" width="10.5546875" style="2006" customWidth="1"/>
    <col min="13318" max="13318" width="14.88671875" style="2006" customWidth="1"/>
    <col min="13319" max="13319" width="16.109375" style="2006" customWidth="1"/>
    <col min="13320" max="13568" width="9.109375" style="2006"/>
    <col min="13569" max="13569" width="10.88671875" style="2006" customWidth="1"/>
    <col min="13570" max="13570" width="12" style="2006" customWidth="1"/>
    <col min="13571" max="13571" width="11.5546875" style="2006" customWidth="1"/>
    <col min="13572" max="13572" width="11.44140625" style="2006" customWidth="1"/>
    <col min="13573" max="13573" width="10.5546875" style="2006" customWidth="1"/>
    <col min="13574" max="13574" width="14.88671875" style="2006" customWidth="1"/>
    <col min="13575" max="13575" width="16.109375" style="2006" customWidth="1"/>
    <col min="13576" max="13824" width="9.109375" style="2006"/>
    <col min="13825" max="13825" width="10.88671875" style="2006" customWidth="1"/>
    <col min="13826" max="13826" width="12" style="2006" customWidth="1"/>
    <col min="13827" max="13827" width="11.5546875" style="2006" customWidth="1"/>
    <col min="13828" max="13828" width="11.44140625" style="2006" customWidth="1"/>
    <col min="13829" max="13829" width="10.5546875" style="2006" customWidth="1"/>
    <col min="13830" max="13830" width="14.88671875" style="2006" customWidth="1"/>
    <col min="13831" max="13831" width="16.109375" style="2006" customWidth="1"/>
    <col min="13832" max="14080" width="9.109375" style="2006"/>
    <col min="14081" max="14081" width="10.88671875" style="2006" customWidth="1"/>
    <col min="14082" max="14082" width="12" style="2006" customWidth="1"/>
    <col min="14083" max="14083" width="11.5546875" style="2006" customWidth="1"/>
    <col min="14084" max="14084" width="11.44140625" style="2006" customWidth="1"/>
    <col min="14085" max="14085" width="10.5546875" style="2006" customWidth="1"/>
    <col min="14086" max="14086" width="14.88671875" style="2006" customWidth="1"/>
    <col min="14087" max="14087" width="16.109375" style="2006" customWidth="1"/>
    <col min="14088" max="14336" width="9.109375" style="2006"/>
    <col min="14337" max="14337" width="10.88671875" style="2006" customWidth="1"/>
    <col min="14338" max="14338" width="12" style="2006" customWidth="1"/>
    <col min="14339" max="14339" width="11.5546875" style="2006" customWidth="1"/>
    <col min="14340" max="14340" width="11.44140625" style="2006" customWidth="1"/>
    <col min="14341" max="14341" width="10.5546875" style="2006" customWidth="1"/>
    <col min="14342" max="14342" width="14.88671875" style="2006" customWidth="1"/>
    <col min="14343" max="14343" width="16.109375" style="2006" customWidth="1"/>
    <col min="14344" max="14592" width="9.109375" style="2006"/>
    <col min="14593" max="14593" width="10.88671875" style="2006" customWidth="1"/>
    <col min="14594" max="14594" width="12" style="2006" customWidth="1"/>
    <col min="14595" max="14595" width="11.5546875" style="2006" customWidth="1"/>
    <col min="14596" max="14596" width="11.44140625" style="2006" customWidth="1"/>
    <col min="14597" max="14597" width="10.5546875" style="2006" customWidth="1"/>
    <col min="14598" max="14598" width="14.88671875" style="2006" customWidth="1"/>
    <col min="14599" max="14599" width="16.109375" style="2006" customWidth="1"/>
    <col min="14600" max="14848" width="9.109375" style="2006"/>
    <col min="14849" max="14849" width="10.88671875" style="2006" customWidth="1"/>
    <col min="14850" max="14850" width="12" style="2006" customWidth="1"/>
    <col min="14851" max="14851" width="11.5546875" style="2006" customWidth="1"/>
    <col min="14852" max="14852" width="11.44140625" style="2006" customWidth="1"/>
    <col min="14853" max="14853" width="10.5546875" style="2006" customWidth="1"/>
    <col min="14854" max="14854" width="14.88671875" style="2006" customWidth="1"/>
    <col min="14855" max="14855" width="16.109375" style="2006" customWidth="1"/>
    <col min="14856" max="15104" width="9.109375" style="2006"/>
    <col min="15105" max="15105" width="10.88671875" style="2006" customWidth="1"/>
    <col min="15106" max="15106" width="12" style="2006" customWidth="1"/>
    <col min="15107" max="15107" width="11.5546875" style="2006" customWidth="1"/>
    <col min="15108" max="15108" width="11.44140625" style="2006" customWidth="1"/>
    <col min="15109" max="15109" width="10.5546875" style="2006" customWidth="1"/>
    <col min="15110" max="15110" width="14.88671875" style="2006" customWidth="1"/>
    <col min="15111" max="15111" width="16.109375" style="2006" customWidth="1"/>
    <col min="15112" max="15360" width="9.109375" style="2006"/>
    <col min="15361" max="15361" width="10.88671875" style="2006" customWidth="1"/>
    <col min="15362" max="15362" width="12" style="2006" customWidth="1"/>
    <col min="15363" max="15363" width="11.5546875" style="2006" customWidth="1"/>
    <col min="15364" max="15364" width="11.44140625" style="2006" customWidth="1"/>
    <col min="15365" max="15365" width="10.5546875" style="2006" customWidth="1"/>
    <col min="15366" max="15366" width="14.88671875" style="2006" customWidth="1"/>
    <col min="15367" max="15367" width="16.109375" style="2006" customWidth="1"/>
    <col min="15368" max="15616" width="9.109375" style="2006"/>
    <col min="15617" max="15617" width="10.88671875" style="2006" customWidth="1"/>
    <col min="15618" max="15618" width="12" style="2006" customWidth="1"/>
    <col min="15619" max="15619" width="11.5546875" style="2006" customWidth="1"/>
    <col min="15620" max="15620" width="11.44140625" style="2006" customWidth="1"/>
    <col min="15621" max="15621" width="10.5546875" style="2006" customWidth="1"/>
    <col min="15622" max="15622" width="14.88671875" style="2006" customWidth="1"/>
    <col min="15623" max="15623" width="16.109375" style="2006" customWidth="1"/>
    <col min="15624" max="15872" width="9.109375" style="2006"/>
    <col min="15873" max="15873" width="10.88671875" style="2006" customWidth="1"/>
    <col min="15874" max="15874" width="12" style="2006" customWidth="1"/>
    <col min="15875" max="15875" width="11.5546875" style="2006" customWidth="1"/>
    <col min="15876" max="15876" width="11.44140625" style="2006" customWidth="1"/>
    <col min="15877" max="15877" width="10.5546875" style="2006" customWidth="1"/>
    <col min="15878" max="15878" width="14.88671875" style="2006" customWidth="1"/>
    <col min="15879" max="15879" width="16.109375" style="2006" customWidth="1"/>
    <col min="15880" max="16128" width="9.109375" style="2006"/>
    <col min="16129" max="16129" width="10.88671875" style="2006" customWidth="1"/>
    <col min="16130" max="16130" width="12" style="2006" customWidth="1"/>
    <col min="16131" max="16131" width="11.5546875" style="2006" customWidth="1"/>
    <col min="16132" max="16132" width="11.44140625" style="2006" customWidth="1"/>
    <col min="16133" max="16133" width="10.5546875" style="2006" customWidth="1"/>
    <col min="16134" max="16134" width="14.88671875" style="2006" customWidth="1"/>
    <col min="16135" max="16135" width="16.109375" style="2006" customWidth="1"/>
    <col min="16136" max="16384" width="9.109375" style="2006"/>
  </cols>
  <sheetData>
    <row r="1" spans="1:13">
      <c r="G1" s="3379" t="s">
        <v>360</v>
      </c>
      <c r="I1" s="2006" t="s">
        <v>421</v>
      </c>
      <c r="L1" s="3380">
        <v>656.16269999999997</v>
      </c>
    </row>
    <row r="2" spans="1:13" ht="15.6">
      <c r="A2" s="2343" t="s">
        <v>1305</v>
      </c>
      <c r="B2" s="2345"/>
      <c r="C2" s="2345"/>
      <c r="D2" s="2345"/>
      <c r="E2" s="2345"/>
      <c r="F2" s="2345"/>
      <c r="G2" s="2345"/>
      <c r="I2" s="2006" t="s">
        <v>426</v>
      </c>
      <c r="L2" s="3381">
        <v>295.27</v>
      </c>
      <c r="M2" s="2006">
        <v>0.44999510030058093</v>
      </c>
    </row>
    <row r="3" spans="1:13" ht="12.75" customHeight="1">
      <c r="A3" s="2343" t="s">
        <v>1306</v>
      </c>
      <c r="B3" s="2345"/>
      <c r="C3" s="2345"/>
      <c r="D3" s="2345"/>
      <c r="E3" s="2345"/>
      <c r="F3" s="2345"/>
      <c r="G3" s="2345"/>
      <c r="I3" s="2006" t="s">
        <v>427</v>
      </c>
      <c r="L3" s="3381">
        <v>0</v>
      </c>
      <c r="M3" s="2006">
        <v>0</v>
      </c>
    </row>
    <row r="4" spans="1:13" ht="12.75" customHeight="1">
      <c r="A4" s="2343" t="s">
        <v>2487</v>
      </c>
      <c r="B4" s="2340"/>
      <c r="C4" s="2340"/>
      <c r="D4" s="2340"/>
      <c r="E4" s="2340"/>
      <c r="F4" s="2340"/>
      <c r="G4" s="2340"/>
      <c r="I4" s="2006" t="s">
        <v>422</v>
      </c>
      <c r="L4" s="3381">
        <v>330.44749999999999</v>
      </c>
      <c r="M4" s="2006">
        <v>0.50360604161132594</v>
      </c>
    </row>
    <row r="5" spans="1:13" ht="13.5" customHeight="1">
      <c r="A5" s="2343" t="s">
        <v>670</v>
      </c>
      <c r="B5" s="2340"/>
      <c r="C5" s="2340"/>
      <c r="D5" s="2340"/>
      <c r="E5" s="2340"/>
      <c r="F5" s="2340"/>
      <c r="G5" s="2340"/>
      <c r="I5" s="2006" t="s">
        <v>423</v>
      </c>
      <c r="L5" s="3381">
        <v>30.4452</v>
      </c>
      <c r="M5" s="2006">
        <v>4.639885808809309E-2</v>
      </c>
    </row>
    <row r="6" spans="1:13" ht="12.75" customHeight="1">
      <c r="A6" s="2343" t="s">
        <v>672</v>
      </c>
      <c r="B6" s="2344"/>
      <c r="C6" s="2344"/>
      <c r="D6" s="3382"/>
      <c r="E6" s="2344"/>
      <c r="F6" s="2344"/>
      <c r="G6" s="2344"/>
      <c r="L6" s="3381"/>
    </row>
    <row r="7" spans="1:13" ht="15.6">
      <c r="A7" s="2343" t="s">
        <v>671</v>
      </c>
      <c r="B7" s="2344"/>
      <c r="C7" s="2344"/>
      <c r="D7" s="2344"/>
      <c r="E7" s="2344"/>
      <c r="F7" s="2344"/>
      <c r="G7" s="2344"/>
      <c r="L7" s="3381">
        <v>656.16269999999997</v>
      </c>
      <c r="M7" s="3383">
        <v>829.96699999999998</v>
      </c>
    </row>
    <row r="8" spans="1:13">
      <c r="A8" s="2345"/>
      <c r="B8" s="2344"/>
      <c r="C8" s="2344"/>
      <c r="D8" s="2344"/>
      <c r="E8" s="2344"/>
      <c r="F8" s="2344"/>
      <c r="G8" s="2344"/>
      <c r="L8" s="3380"/>
    </row>
    <row r="9" spans="1:13">
      <c r="A9" s="2077" t="s">
        <v>2932</v>
      </c>
      <c r="G9" s="3384" t="s">
        <v>2389</v>
      </c>
      <c r="L9" s="3385">
        <v>833</v>
      </c>
      <c r="M9" s="3385" t="s">
        <v>2510</v>
      </c>
    </row>
    <row r="10" spans="1:13" ht="79.2">
      <c r="A10" s="3974"/>
      <c r="B10" s="3976" t="s">
        <v>361</v>
      </c>
      <c r="C10" s="3976" t="s">
        <v>362</v>
      </c>
      <c r="D10" s="3976" t="s">
        <v>363</v>
      </c>
      <c r="E10" s="3386" t="s">
        <v>364</v>
      </c>
      <c r="F10" s="3386" t="s">
        <v>365</v>
      </c>
      <c r="G10" s="3386" t="s">
        <v>366</v>
      </c>
      <c r="I10" s="2077"/>
    </row>
    <row r="11" spans="1:13">
      <c r="A11" s="3975"/>
      <c r="B11" s="3977"/>
      <c r="C11" s="3977"/>
      <c r="D11" s="3977"/>
      <c r="E11" s="3386" t="s">
        <v>367</v>
      </c>
      <c r="F11" s="3386" t="s">
        <v>368</v>
      </c>
      <c r="G11" s="3386" t="s">
        <v>369</v>
      </c>
      <c r="L11" s="3002"/>
    </row>
    <row r="12" spans="1:13">
      <c r="A12" s="2707">
        <v>1</v>
      </c>
      <c r="B12" s="2707">
        <v>2</v>
      </c>
      <c r="C12" s="2707">
        <v>3</v>
      </c>
      <c r="D12" s="2707">
        <v>4</v>
      </c>
      <c r="E12" s="2707">
        <v>5</v>
      </c>
      <c r="F12" s="2707">
        <v>6</v>
      </c>
      <c r="G12" s="2707" t="s">
        <v>502</v>
      </c>
    </row>
    <row r="13" spans="1:13">
      <c r="A13" s="3978" t="s">
        <v>370</v>
      </c>
      <c r="B13" s="3387">
        <v>1150</v>
      </c>
      <c r="C13" s="2707" t="s">
        <v>338</v>
      </c>
      <c r="D13" s="2299" t="s">
        <v>371</v>
      </c>
      <c r="E13" s="2707">
        <v>800</v>
      </c>
      <c r="F13" s="2707"/>
      <c r="G13" s="2707"/>
    </row>
    <row r="14" spans="1:13">
      <c r="A14" s="3978"/>
      <c r="B14" s="3387">
        <v>750</v>
      </c>
      <c r="C14" s="2707">
        <v>1</v>
      </c>
      <c r="D14" s="2299" t="s">
        <v>371</v>
      </c>
      <c r="E14" s="2707">
        <v>600</v>
      </c>
      <c r="F14" s="2707"/>
      <c r="G14" s="2707"/>
      <c r="L14" s="3002"/>
      <c r="M14" s="3388"/>
    </row>
    <row r="15" spans="1:13">
      <c r="A15" s="3978"/>
      <c r="B15" s="3979" t="s">
        <v>372</v>
      </c>
      <c r="C15" s="3980">
        <v>1</v>
      </c>
      <c r="D15" s="2299" t="s">
        <v>371</v>
      </c>
      <c r="E15" s="2707">
        <v>400</v>
      </c>
      <c r="F15" s="2707"/>
      <c r="G15" s="2707"/>
      <c r="L15" s="3389"/>
      <c r="M15" s="3388"/>
    </row>
    <row r="16" spans="1:13">
      <c r="A16" s="3978"/>
      <c r="B16" s="3979"/>
      <c r="C16" s="3980"/>
      <c r="D16" s="2299" t="s">
        <v>373</v>
      </c>
      <c r="E16" s="2707">
        <v>300</v>
      </c>
      <c r="F16" s="2707"/>
      <c r="G16" s="2707"/>
    </row>
    <row r="17" spans="1:12">
      <c r="A17" s="3978"/>
      <c r="B17" s="3979">
        <v>330</v>
      </c>
      <c r="C17" s="3980">
        <v>1</v>
      </c>
      <c r="D17" s="2299" t="s">
        <v>371</v>
      </c>
      <c r="E17" s="2707">
        <v>230</v>
      </c>
      <c r="F17" s="2707"/>
      <c r="G17" s="2707"/>
      <c r="L17" s="3002"/>
    </row>
    <row r="18" spans="1:12">
      <c r="A18" s="3978"/>
      <c r="B18" s="3979"/>
      <c r="C18" s="3980"/>
      <c r="D18" s="2299" t="s">
        <v>373</v>
      </c>
      <c r="E18" s="2707">
        <v>170</v>
      </c>
      <c r="F18" s="2707"/>
      <c r="G18" s="2707"/>
    </row>
    <row r="19" spans="1:12">
      <c r="A19" s="3978"/>
      <c r="B19" s="3979"/>
      <c r="C19" s="3980">
        <v>2</v>
      </c>
      <c r="D19" s="2299" t="s">
        <v>371</v>
      </c>
      <c r="E19" s="2707">
        <v>290</v>
      </c>
      <c r="F19" s="2707"/>
      <c r="G19" s="2707"/>
    </row>
    <row r="20" spans="1:12">
      <c r="A20" s="3978"/>
      <c r="B20" s="3979"/>
      <c r="C20" s="3980"/>
      <c r="D20" s="2299" t="s">
        <v>373</v>
      </c>
      <c r="E20" s="2707">
        <v>210</v>
      </c>
      <c r="F20" s="2707"/>
      <c r="G20" s="2707"/>
    </row>
    <row r="21" spans="1:12">
      <c r="A21" s="3978"/>
      <c r="B21" s="3981">
        <v>220</v>
      </c>
      <c r="C21" s="3978">
        <v>1</v>
      </c>
      <c r="D21" s="2299" t="s">
        <v>374</v>
      </c>
      <c r="E21" s="2709">
        <v>260</v>
      </c>
      <c r="F21" s="2708"/>
      <c r="G21" s="2708"/>
    </row>
    <row r="22" spans="1:12">
      <c r="A22" s="3978"/>
      <c r="B22" s="3981"/>
      <c r="C22" s="3978"/>
      <c r="D22" s="2299" t="s">
        <v>371</v>
      </c>
      <c r="E22" s="2709">
        <v>210</v>
      </c>
      <c r="F22" s="2709"/>
      <c r="G22" s="2709"/>
    </row>
    <row r="23" spans="1:12">
      <c r="A23" s="3978"/>
      <c r="B23" s="3981"/>
      <c r="C23" s="3978"/>
      <c r="D23" s="2299" t="s">
        <v>373</v>
      </c>
      <c r="E23" s="2709">
        <v>140</v>
      </c>
      <c r="F23" s="2709"/>
      <c r="G23" s="2709"/>
    </row>
    <row r="24" spans="1:12">
      <c r="A24" s="3978"/>
      <c r="B24" s="3981"/>
      <c r="C24" s="3978">
        <v>2</v>
      </c>
      <c r="D24" s="2299" t="s">
        <v>371</v>
      </c>
      <c r="E24" s="2709">
        <v>270</v>
      </c>
      <c r="F24" s="2709">
        <v>0.1</v>
      </c>
      <c r="G24" s="2710">
        <v>0.27</v>
      </c>
    </row>
    <row r="25" spans="1:12">
      <c r="A25" s="3978"/>
      <c r="B25" s="3981"/>
      <c r="C25" s="3978"/>
      <c r="D25" s="2299" t="s">
        <v>373</v>
      </c>
      <c r="E25" s="2709">
        <v>180</v>
      </c>
      <c r="F25" s="2709"/>
      <c r="G25" s="2709"/>
    </row>
    <row r="26" spans="1:12">
      <c r="A26" s="3978"/>
      <c r="B26" s="3981" t="s">
        <v>375</v>
      </c>
      <c r="C26" s="3978">
        <v>1</v>
      </c>
      <c r="D26" s="2299" t="s">
        <v>374</v>
      </c>
      <c r="E26" s="2709">
        <v>180</v>
      </c>
      <c r="F26" s="2708"/>
      <c r="G26" s="2708"/>
    </row>
    <row r="27" spans="1:12">
      <c r="A27" s="3978"/>
      <c r="B27" s="3981"/>
      <c r="C27" s="3978"/>
      <c r="D27" s="2299" t="s">
        <v>371</v>
      </c>
      <c r="E27" s="2709">
        <v>160</v>
      </c>
      <c r="F27" s="2709"/>
      <c r="G27" s="2711">
        <v>0</v>
      </c>
    </row>
    <row r="28" spans="1:12">
      <c r="A28" s="3978"/>
      <c r="B28" s="3981"/>
      <c r="C28" s="3978"/>
      <c r="D28" s="2299" t="s">
        <v>373</v>
      </c>
      <c r="E28" s="2709">
        <v>130</v>
      </c>
      <c r="F28" s="2712"/>
      <c r="G28" s="2709"/>
    </row>
    <row r="29" spans="1:12">
      <c r="A29" s="3978"/>
      <c r="B29" s="3981"/>
      <c r="C29" s="3978">
        <v>2</v>
      </c>
      <c r="D29" s="2299" t="s">
        <v>371</v>
      </c>
      <c r="E29" s="2709">
        <v>190</v>
      </c>
      <c r="F29" s="2709"/>
      <c r="G29" s="2708"/>
    </row>
    <row r="30" spans="1:12">
      <c r="A30" s="3978"/>
      <c r="B30" s="3981"/>
      <c r="C30" s="3978"/>
      <c r="D30" s="2299" t="s">
        <v>373</v>
      </c>
      <c r="E30" s="2709">
        <v>160</v>
      </c>
      <c r="F30" s="2712"/>
      <c r="G30" s="2709"/>
    </row>
    <row r="31" spans="1:12">
      <c r="A31" s="3978" t="s">
        <v>376</v>
      </c>
      <c r="B31" s="3390">
        <v>220</v>
      </c>
      <c r="C31" s="2707" t="s">
        <v>338</v>
      </c>
      <c r="D31" s="2707" t="s">
        <v>338</v>
      </c>
      <c r="E31" s="2709">
        <v>3000</v>
      </c>
      <c r="F31" s="2712"/>
      <c r="G31" s="2709"/>
    </row>
    <row r="32" spans="1:12">
      <c r="A32" s="3978"/>
      <c r="B32" s="3390">
        <v>110</v>
      </c>
      <c r="C32" s="2707" t="s">
        <v>338</v>
      </c>
      <c r="D32" s="2707" t="s">
        <v>338</v>
      </c>
      <c r="E32" s="2709">
        <v>2300</v>
      </c>
      <c r="F32" s="2712"/>
      <c r="G32" s="2709"/>
    </row>
    <row r="33" spans="1:12">
      <c r="A33" s="3978" t="s">
        <v>501</v>
      </c>
      <c r="B33" s="3978"/>
      <c r="C33" s="3978"/>
      <c r="D33" s="3978"/>
      <c r="E33" s="3978"/>
      <c r="F33" s="2711"/>
      <c r="G33" s="2711">
        <v>0.27</v>
      </c>
      <c r="H33" s="3391"/>
      <c r="I33" s="3392"/>
      <c r="J33" s="3392"/>
      <c r="K33" s="3392"/>
      <c r="L33" s="3392"/>
    </row>
    <row r="34" spans="1:12">
      <c r="A34" s="3983" t="s">
        <v>370</v>
      </c>
      <c r="B34" s="3984">
        <v>35</v>
      </c>
      <c r="C34" s="3983">
        <v>1</v>
      </c>
      <c r="D34" s="2299" t="s">
        <v>374</v>
      </c>
      <c r="E34" s="2709">
        <v>170</v>
      </c>
      <c r="F34" s="2708"/>
      <c r="G34" s="2708"/>
    </row>
    <row r="35" spans="1:12">
      <c r="A35" s="3983"/>
      <c r="B35" s="3984"/>
      <c r="C35" s="3983"/>
      <c r="D35" s="2299" t="s">
        <v>371</v>
      </c>
      <c r="E35" s="2709">
        <v>140</v>
      </c>
      <c r="F35" s="2709"/>
      <c r="G35" s="2709"/>
    </row>
    <row r="36" spans="1:12">
      <c r="A36" s="3983"/>
      <c r="B36" s="3984"/>
      <c r="C36" s="3983"/>
      <c r="D36" s="2299" t="s">
        <v>373</v>
      </c>
      <c r="E36" s="2709">
        <v>120</v>
      </c>
      <c r="F36" s="2709"/>
      <c r="G36" s="2710">
        <v>0</v>
      </c>
    </row>
    <row r="37" spans="1:12">
      <c r="A37" s="3983"/>
      <c r="B37" s="3984"/>
      <c r="C37" s="3983">
        <v>2</v>
      </c>
      <c r="D37" s="2299" t="s">
        <v>371</v>
      </c>
      <c r="E37" s="2709">
        <v>180</v>
      </c>
      <c r="F37" s="2709"/>
      <c r="G37" s="2710">
        <v>0</v>
      </c>
    </row>
    <row r="38" spans="1:12">
      <c r="A38" s="3983"/>
      <c r="B38" s="3984"/>
      <c r="C38" s="3983"/>
      <c r="D38" s="2299" t="s">
        <v>373</v>
      </c>
      <c r="E38" s="2709">
        <v>150</v>
      </c>
      <c r="F38" s="2709"/>
      <c r="G38" s="2709"/>
    </row>
    <row r="39" spans="1:12">
      <c r="A39" s="3983"/>
      <c r="B39" s="3985" t="s">
        <v>377</v>
      </c>
      <c r="C39" s="3980" t="s">
        <v>338</v>
      </c>
      <c r="D39" s="2709" t="s">
        <v>374</v>
      </c>
      <c r="E39" s="2709">
        <v>160</v>
      </c>
      <c r="F39" s="2709"/>
      <c r="G39" s="2709"/>
    </row>
    <row r="40" spans="1:12" ht="26.4">
      <c r="A40" s="3983"/>
      <c r="B40" s="3985"/>
      <c r="C40" s="3980"/>
      <c r="D40" s="3393" t="s">
        <v>378</v>
      </c>
      <c r="E40" s="2709">
        <v>140</v>
      </c>
      <c r="F40" s="2709"/>
      <c r="G40" s="2713">
        <v>0</v>
      </c>
    </row>
    <row r="41" spans="1:12" ht="26.4">
      <c r="A41" s="3983"/>
      <c r="B41" s="3985"/>
      <c r="C41" s="3980"/>
      <c r="D41" s="3393" t="s">
        <v>379</v>
      </c>
      <c r="E41" s="2709">
        <v>110</v>
      </c>
      <c r="F41" s="2716"/>
      <c r="G41" s="2713">
        <v>0</v>
      </c>
      <c r="J41" s="3384" t="s">
        <v>2859</v>
      </c>
    </row>
    <row r="42" spans="1:12">
      <c r="A42" s="3986" t="s">
        <v>376</v>
      </c>
      <c r="B42" s="3390" t="s">
        <v>380</v>
      </c>
      <c r="C42" s="2707" t="s">
        <v>338</v>
      </c>
      <c r="D42" s="2707" t="s">
        <v>338</v>
      </c>
      <c r="E42" s="2709">
        <v>470</v>
      </c>
      <c r="F42" s="2709"/>
      <c r="G42" s="2709"/>
      <c r="J42" s="3394"/>
    </row>
    <row r="43" spans="1:12">
      <c r="A43" s="3986"/>
      <c r="B43" s="3395" t="s">
        <v>381</v>
      </c>
      <c r="C43" s="3396" t="s">
        <v>338</v>
      </c>
      <c r="D43" s="3396" t="s">
        <v>338</v>
      </c>
      <c r="E43" s="2297">
        <v>350</v>
      </c>
      <c r="F43" s="2297">
        <v>19.184999999999999</v>
      </c>
      <c r="G43" s="2713">
        <v>67.147499999999994</v>
      </c>
      <c r="J43" s="3394"/>
      <c r="K43" s="2006">
        <v>4320.2</v>
      </c>
    </row>
    <row r="44" spans="1:12">
      <c r="A44" s="3987" t="s">
        <v>382</v>
      </c>
      <c r="B44" s="3987"/>
      <c r="C44" s="3987"/>
      <c r="D44" s="3987"/>
      <c r="E44" s="3987"/>
      <c r="F44" s="2733"/>
      <c r="G44" s="2713">
        <v>67.147499999999994</v>
      </c>
      <c r="H44" s="3397"/>
      <c r="J44" s="3394"/>
    </row>
    <row r="45" spans="1:12">
      <c r="A45" s="3983" t="s">
        <v>370</v>
      </c>
      <c r="B45" s="3988" t="s">
        <v>383</v>
      </c>
      <c r="C45" s="3983" t="s">
        <v>338</v>
      </c>
      <c r="D45" s="2709" t="s">
        <v>374</v>
      </c>
      <c r="E45" s="2709">
        <v>260</v>
      </c>
      <c r="F45" s="2709"/>
      <c r="G45" s="2709"/>
      <c r="J45" s="3394"/>
    </row>
    <row r="46" spans="1:12" ht="26.4">
      <c r="A46" s="3983"/>
      <c r="B46" s="3988"/>
      <c r="C46" s="3983"/>
      <c r="D46" s="3393" t="s">
        <v>378</v>
      </c>
      <c r="E46" s="2709">
        <v>220</v>
      </c>
      <c r="F46" s="2709"/>
      <c r="G46" s="2713">
        <v>0</v>
      </c>
      <c r="J46" s="3394"/>
    </row>
    <row r="47" spans="1:12" ht="26.4">
      <c r="A47" s="3983"/>
      <c r="B47" s="3988"/>
      <c r="C47" s="3983"/>
      <c r="D47" s="3393" t="s">
        <v>379</v>
      </c>
      <c r="E47" s="2709">
        <v>150</v>
      </c>
      <c r="F47" s="2709"/>
      <c r="G47" s="2713">
        <v>0</v>
      </c>
      <c r="J47" s="3394" t="s">
        <v>1608</v>
      </c>
    </row>
    <row r="48" spans="1:12">
      <c r="A48" s="2299" t="s">
        <v>376</v>
      </c>
      <c r="B48" s="3398" t="s">
        <v>384</v>
      </c>
      <c r="C48" s="2707" t="s">
        <v>338</v>
      </c>
      <c r="D48" s="2707" t="s">
        <v>338</v>
      </c>
      <c r="E48" s="2709">
        <v>270</v>
      </c>
      <c r="F48" s="2713">
        <v>11.276</v>
      </c>
      <c r="G48" s="2713">
        <v>30.4452</v>
      </c>
    </row>
    <row r="49" spans="1:12">
      <c r="A49" s="3982" t="s">
        <v>387</v>
      </c>
      <c r="B49" s="3982"/>
      <c r="C49" s="3982"/>
      <c r="D49" s="3982"/>
      <c r="E49" s="3982"/>
      <c r="F49" s="3982"/>
      <c r="G49" s="2713">
        <v>30.4452</v>
      </c>
      <c r="J49" s="3399">
        <v>97.86269999999999</v>
      </c>
      <c r="K49" s="3400"/>
      <c r="L49" s="3399"/>
    </row>
    <row r="50" spans="1:12">
      <c r="A50" s="3401"/>
      <c r="B50" s="3402"/>
      <c r="C50" s="3401"/>
      <c r="D50" s="3403"/>
      <c r="E50" s="3403"/>
      <c r="F50" s="3403"/>
      <c r="G50" s="3403"/>
      <c r="J50" s="2077"/>
      <c r="K50" s="2077"/>
      <c r="L50" s="2077"/>
    </row>
    <row r="51" spans="1:12" ht="9.75" customHeight="1"/>
    <row r="52" spans="1:12" s="2171" customFormat="1" ht="23.25" customHeight="1">
      <c r="A52" s="3404" t="s">
        <v>1266</v>
      </c>
      <c r="B52" s="3404"/>
      <c r="C52" s="3405"/>
      <c r="H52" s="3406"/>
    </row>
    <row r="53" spans="1:12" s="2171" customFormat="1" ht="15" customHeight="1">
      <c r="A53" s="3404" t="s">
        <v>1304</v>
      </c>
      <c r="B53" s="3407"/>
      <c r="C53" s="3405"/>
      <c r="G53" s="3408" t="s">
        <v>2876</v>
      </c>
    </row>
    <row r="54" spans="1:12" s="2009" customFormat="1">
      <c r="F54" s="3409"/>
    </row>
    <row r="55" spans="1:12" s="2009" customFormat="1">
      <c r="A55" s="3410"/>
      <c r="F55" s="3409"/>
    </row>
    <row r="56" spans="1:12" s="2009" customFormat="1">
      <c r="A56" s="3410"/>
      <c r="F56" s="3409"/>
    </row>
  </sheetData>
  <mergeCells count="30">
    <mergeCell ref="A49:F49"/>
    <mergeCell ref="A31:A32"/>
    <mergeCell ref="A33:E33"/>
    <mergeCell ref="A34:A41"/>
    <mergeCell ref="B34:B38"/>
    <mergeCell ref="C34:C36"/>
    <mergeCell ref="C37:C38"/>
    <mergeCell ref="B39:B41"/>
    <mergeCell ref="C39:C41"/>
    <mergeCell ref="A42:A43"/>
    <mergeCell ref="A44:E44"/>
    <mergeCell ref="A45:A47"/>
    <mergeCell ref="B45:B47"/>
    <mergeCell ref="C45:C47"/>
    <mergeCell ref="A10:A11"/>
    <mergeCell ref="B10:B11"/>
    <mergeCell ref="C10:C11"/>
    <mergeCell ref="D10:D11"/>
    <mergeCell ref="A13:A30"/>
    <mergeCell ref="B15:B16"/>
    <mergeCell ref="C15:C16"/>
    <mergeCell ref="B17:B20"/>
    <mergeCell ref="C17:C18"/>
    <mergeCell ref="C19:C20"/>
    <mergeCell ref="B21:B25"/>
    <mergeCell ref="C21:C23"/>
    <mergeCell ref="C24:C25"/>
    <mergeCell ref="B26:B30"/>
    <mergeCell ref="C26:C28"/>
    <mergeCell ref="C29:C30"/>
  </mergeCells>
  <phoneticPr fontId="0" type="noConversion"/>
  <printOptions horizontalCentered="1"/>
  <pageMargins left="0.78740157480314965" right="0.78740157480314965" top="0.78740157480314965" bottom="0.11811023622047245" header="0.51181102362204722" footer="3.937007874015748E-2"/>
  <pageSetup paperSize="9" scale="90" orientation="portrait" r:id="rId1"/>
  <headerFooter alignWithMargins="0"/>
  <colBreaks count="1" manualBreakCount="1">
    <brk id="7" max="1048575" man="1"/>
  </colBreak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3">
    <tabColor rgb="FFFFC000"/>
  </sheetPr>
  <dimension ref="A1:J46"/>
  <sheetViews>
    <sheetView workbookViewId="0">
      <pane ySplit="7" topLeftCell="A29" activePane="bottomLeft" state="frozen"/>
      <selection activeCell="B32" sqref="A1:XFD1048576"/>
      <selection pane="bottomLeft" activeCell="B17" sqref="B17"/>
    </sheetView>
  </sheetViews>
  <sheetFormatPr defaultColWidth="9.109375" defaultRowHeight="13.2"/>
  <cols>
    <col min="1" max="1" width="5" style="2006" customWidth="1"/>
    <col min="2" max="2" width="33.5546875" style="2006" customWidth="1"/>
    <col min="3" max="3" width="10" style="2006" customWidth="1"/>
    <col min="4" max="4" width="8.6640625" style="2006" customWidth="1"/>
    <col min="5" max="5" width="8.88671875" style="2006" customWidth="1"/>
    <col min="6" max="6" width="11.33203125" style="2006" customWidth="1"/>
    <col min="7" max="7" width="8.88671875" style="2006" customWidth="1"/>
    <col min="8" max="8" width="0" style="2006" hidden="1" customWidth="1"/>
    <col min="9" max="9" width="11.44140625" style="2006" hidden="1" customWidth="1"/>
    <col min="10" max="14" width="0" style="2006" hidden="1" customWidth="1"/>
    <col min="15" max="16384" width="9.109375" style="2006"/>
  </cols>
  <sheetData>
    <row r="1" spans="1:10">
      <c r="G1" s="3473" t="s">
        <v>231</v>
      </c>
      <c r="I1" s="3749">
        <v>33640.075558737677</v>
      </c>
      <c r="J1" s="2006" t="s">
        <v>2005</v>
      </c>
    </row>
    <row r="2" spans="1:10" ht="13.5" customHeight="1">
      <c r="A2" s="2007" t="s">
        <v>232</v>
      </c>
      <c r="B2" s="2344"/>
      <c r="C2" s="2344"/>
      <c r="D2" s="2344"/>
      <c r="E2" s="2344"/>
      <c r="F2" s="2344"/>
      <c r="G2" s="2344"/>
      <c r="I2" s="3749">
        <v>32876.366405051456</v>
      </c>
    </row>
    <row r="3" spans="1:10" ht="15.6">
      <c r="A3" s="2007" t="s">
        <v>233</v>
      </c>
      <c r="B3" s="2344"/>
      <c r="C3" s="2344"/>
      <c r="D3" s="2344"/>
      <c r="E3" s="2344"/>
      <c r="F3" s="2344"/>
      <c r="G3" s="2344"/>
      <c r="I3" s="3749">
        <v>763.70915368622082</v>
      </c>
    </row>
    <row r="4" spans="1:10" ht="17.25" customHeight="1">
      <c r="A4" s="2007" t="s">
        <v>2487</v>
      </c>
      <c r="B4" s="2344"/>
      <c r="C4" s="2344"/>
      <c r="D4" s="2344"/>
      <c r="E4" s="2344"/>
      <c r="F4" s="2344"/>
      <c r="G4" s="2344"/>
      <c r="I4" s="3749">
        <v>763.55298319815665</v>
      </c>
    </row>
    <row r="6" spans="1:10" ht="13.5" customHeight="1">
      <c r="A6" s="4236" t="s">
        <v>234</v>
      </c>
      <c r="B6" s="4236"/>
      <c r="C6" s="4236" t="s">
        <v>235</v>
      </c>
      <c r="D6" s="4234" t="s">
        <v>799</v>
      </c>
      <c r="E6" s="4235"/>
      <c r="F6" s="4234" t="s">
        <v>674</v>
      </c>
      <c r="G6" s="4235"/>
    </row>
    <row r="7" spans="1:10" ht="26.4">
      <c r="A7" s="4237"/>
      <c r="B7" s="4237"/>
      <c r="C7" s="4237"/>
      <c r="D7" s="3544" t="s">
        <v>679</v>
      </c>
      <c r="E7" s="3544" t="s">
        <v>199</v>
      </c>
      <c r="F7" s="3544" t="s">
        <v>679</v>
      </c>
      <c r="G7" s="3544" t="s">
        <v>236</v>
      </c>
    </row>
    <row r="8" spans="1:10" ht="27.75" customHeight="1">
      <c r="A8" s="3744" t="s">
        <v>200</v>
      </c>
      <c r="B8" s="3930" t="s">
        <v>237</v>
      </c>
      <c r="C8" s="3544" t="s">
        <v>238</v>
      </c>
      <c r="D8" s="3931">
        <v>25373.846585017047</v>
      </c>
      <c r="E8" s="3931"/>
      <c r="F8" s="3931">
        <v>32724.799999999999</v>
      </c>
      <c r="G8" s="3932"/>
    </row>
    <row r="9" spans="1:10">
      <c r="A9" s="3744" t="s">
        <v>698</v>
      </c>
      <c r="B9" s="3933" t="s">
        <v>697</v>
      </c>
      <c r="C9" s="3544"/>
      <c r="D9" s="3934">
        <v>16030.980058994715</v>
      </c>
      <c r="E9" s="3934"/>
      <c r="F9" s="3934">
        <v>17558.8</v>
      </c>
      <c r="G9" s="3932"/>
      <c r="I9" s="2006" t="s">
        <v>2229</v>
      </c>
    </row>
    <row r="10" spans="1:10">
      <c r="A10" s="3744" t="s">
        <v>699</v>
      </c>
      <c r="B10" s="3933" t="s">
        <v>239</v>
      </c>
      <c r="C10" s="3544"/>
      <c r="D10" s="3931">
        <v>8566.051554777212</v>
      </c>
      <c r="E10" s="3931"/>
      <c r="F10" s="3931">
        <v>8855.8865660200318</v>
      </c>
      <c r="G10" s="3932"/>
    </row>
    <row r="11" spans="1:10" ht="13.5" customHeight="1">
      <c r="A11" s="3744"/>
      <c r="B11" s="3933" t="s">
        <v>240</v>
      </c>
      <c r="C11" s="3544"/>
      <c r="D11" s="3934">
        <v>0</v>
      </c>
      <c r="E11" s="3934"/>
      <c r="F11" s="3934">
        <v>0</v>
      </c>
      <c r="G11" s="3932"/>
    </row>
    <row r="12" spans="1:10">
      <c r="A12" s="3744"/>
      <c r="B12" s="3933" t="s">
        <v>677</v>
      </c>
      <c r="C12" s="3544"/>
      <c r="D12" s="3931">
        <v>8566.051554777212</v>
      </c>
      <c r="E12" s="3931"/>
      <c r="F12" s="3931">
        <v>8855.8865660200318</v>
      </c>
      <c r="G12" s="3932"/>
    </row>
    <row r="13" spans="1:10">
      <c r="A13" s="3744" t="s">
        <v>241</v>
      </c>
      <c r="B13" s="3933" t="s">
        <v>681</v>
      </c>
      <c r="C13" s="3544"/>
      <c r="D13" s="3931">
        <v>776.81497124511952</v>
      </c>
      <c r="E13" s="3931"/>
      <c r="F13" s="3931">
        <v>6310.0798390314249</v>
      </c>
      <c r="G13" s="3932"/>
    </row>
    <row r="14" spans="1:10" ht="27.75" customHeight="1">
      <c r="A14" s="3744" t="s">
        <v>207</v>
      </c>
      <c r="B14" s="3930" t="s">
        <v>242</v>
      </c>
      <c r="C14" s="3544" t="s">
        <v>238</v>
      </c>
      <c r="D14" s="3931">
        <v>20.491519782574223</v>
      </c>
      <c r="E14" s="3931"/>
      <c r="F14" s="3931">
        <v>151.6</v>
      </c>
      <c r="G14" s="3932"/>
    </row>
    <row r="15" spans="1:10">
      <c r="A15" s="3744" t="s">
        <v>138</v>
      </c>
      <c r="B15" s="3933" t="s">
        <v>697</v>
      </c>
      <c r="C15" s="3544"/>
      <c r="D15" s="3934">
        <v>0</v>
      </c>
      <c r="E15" s="3934"/>
      <c r="F15" s="3934">
        <v>12</v>
      </c>
      <c r="G15" s="3932"/>
    </row>
    <row r="16" spans="1:10">
      <c r="A16" s="3744" t="s">
        <v>141</v>
      </c>
      <c r="B16" s="3933" t="s">
        <v>239</v>
      </c>
      <c r="C16" s="3544"/>
      <c r="D16" s="3935">
        <v>20.491519782574223</v>
      </c>
      <c r="E16" s="3935"/>
      <c r="F16" s="3935">
        <v>85.247131951169507</v>
      </c>
      <c r="G16" s="3932"/>
    </row>
    <row r="17" spans="1:9" ht="14.25" customHeight="1">
      <c r="A17" s="3744"/>
      <c r="B17" s="3933" t="s">
        <v>240</v>
      </c>
      <c r="C17" s="3544"/>
      <c r="D17" s="3934">
        <v>0</v>
      </c>
      <c r="E17" s="3934"/>
      <c r="F17" s="3934">
        <v>0</v>
      </c>
      <c r="G17" s="3932"/>
    </row>
    <row r="18" spans="1:9">
      <c r="A18" s="3744"/>
      <c r="B18" s="3933" t="s">
        <v>677</v>
      </c>
      <c r="C18" s="3544"/>
      <c r="D18" s="3931">
        <v>20.491519782574223</v>
      </c>
      <c r="E18" s="3931"/>
      <c r="F18" s="3931">
        <v>85.247131951169507</v>
      </c>
      <c r="G18" s="3932"/>
    </row>
    <row r="19" spans="1:9">
      <c r="A19" s="3744" t="s">
        <v>143</v>
      </c>
      <c r="B19" s="3933" t="s">
        <v>681</v>
      </c>
      <c r="C19" s="3544"/>
      <c r="D19" s="3931">
        <v>0</v>
      </c>
      <c r="E19" s="3931"/>
      <c r="F19" s="3931">
        <v>54.352868048830487</v>
      </c>
      <c r="G19" s="3932"/>
    </row>
    <row r="20" spans="1:9" ht="15" customHeight="1">
      <c r="A20" s="3744" t="s">
        <v>208</v>
      </c>
      <c r="B20" s="3933" t="s">
        <v>243</v>
      </c>
      <c r="C20" s="3544" t="s">
        <v>244</v>
      </c>
      <c r="D20" s="3931">
        <v>8.0758428620255868E-2</v>
      </c>
      <c r="E20" s="3931"/>
      <c r="F20" s="3931">
        <v>0.46325722387913754</v>
      </c>
      <c r="G20" s="3932"/>
    </row>
    <row r="21" spans="1:9" ht="39.75" customHeight="1">
      <c r="A21" s="3744" t="s">
        <v>210</v>
      </c>
      <c r="B21" s="3933" t="s">
        <v>245</v>
      </c>
      <c r="C21" s="3544" t="s">
        <v>238</v>
      </c>
      <c r="D21" s="3931">
        <v>25394.338104799623</v>
      </c>
      <c r="E21" s="3931"/>
      <c r="F21" s="3931">
        <v>32876.366405051456</v>
      </c>
      <c r="G21" s="3932"/>
    </row>
    <row r="22" spans="1:9">
      <c r="A22" s="3744" t="s">
        <v>703</v>
      </c>
      <c r="B22" s="3933" t="s">
        <v>697</v>
      </c>
      <c r="C22" s="3544"/>
      <c r="D22" s="3934">
        <v>16030.980058994715</v>
      </c>
      <c r="E22" s="3934"/>
      <c r="F22" s="3934">
        <v>17570.8</v>
      </c>
      <c r="G22" s="3932"/>
    </row>
    <row r="23" spans="1:9">
      <c r="A23" s="3744" t="s">
        <v>704</v>
      </c>
      <c r="B23" s="3933" t="s">
        <v>239</v>
      </c>
      <c r="C23" s="3544"/>
      <c r="D23" s="3931">
        <v>8586.543074559786</v>
      </c>
      <c r="E23" s="3931"/>
      <c r="F23" s="3931">
        <v>8941.1336979712014</v>
      </c>
      <c r="G23" s="3932"/>
    </row>
    <row r="24" spans="1:9" ht="13.5" customHeight="1">
      <c r="A24" s="3744"/>
      <c r="B24" s="3933" t="s">
        <v>240</v>
      </c>
      <c r="C24" s="3544"/>
      <c r="D24" s="3934">
        <v>0</v>
      </c>
      <c r="E24" s="3934"/>
      <c r="F24" s="3934">
        <v>0</v>
      </c>
      <c r="G24" s="3932"/>
    </row>
    <row r="25" spans="1:9">
      <c r="A25" s="3744"/>
      <c r="B25" s="3933" t="s">
        <v>677</v>
      </c>
      <c r="C25" s="3544"/>
      <c r="D25" s="3931">
        <v>8586.543074559786</v>
      </c>
      <c r="E25" s="3931"/>
      <c r="F25" s="3931">
        <v>8941.1336979712014</v>
      </c>
      <c r="G25" s="3932"/>
    </row>
    <row r="26" spans="1:9">
      <c r="A26" s="3744" t="s">
        <v>705</v>
      </c>
      <c r="B26" s="3933" t="s">
        <v>681</v>
      </c>
      <c r="C26" s="3544"/>
      <c r="D26" s="3935">
        <v>776.81497124511952</v>
      </c>
      <c r="E26" s="3935"/>
      <c r="F26" s="3935">
        <v>6364.4327070802556</v>
      </c>
      <c r="G26" s="3932"/>
    </row>
    <row r="27" spans="1:9" ht="58.8" customHeight="1">
      <c r="A27" s="3743" t="s">
        <v>212</v>
      </c>
      <c r="B27" s="3936" t="s">
        <v>246</v>
      </c>
      <c r="C27" s="3743" t="s">
        <v>617</v>
      </c>
      <c r="D27" s="3937"/>
      <c r="E27" s="3937"/>
      <c r="F27" s="3937"/>
      <c r="G27" s="3937"/>
    </row>
    <row r="28" spans="1:9">
      <c r="A28" s="3743" t="s">
        <v>247</v>
      </c>
      <c r="B28" s="3938" t="s">
        <v>697</v>
      </c>
      <c r="C28" s="3843"/>
      <c r="D28" s="3939"/>
      <c r="E28" s="3939"/>
      <c r="F28" s="3940">
        <v>403675.95304593485</v>
      </c>
      <c r="G28" s="3939"/>
      <c r="I28" s="3941"/>
    </row>
    <row r="29" spans="1:9">
      <c r="A29" s="3744" t="s">
        <v>248</v>
      </c>
      <c r="B29" s="3933" t="s">
        <v>239</v>
      </c>
      <c r="C29" s="3544"/>
      <c r="D29" s="3932"/>
      <c r="E29" s="3932"/>
      <c r="F29" s="3942"/>
      <c r="G29" s="3932"/>
    </row>
    <row r="30" spans="1:9" ht="13.5" customHeight="1">
      <c r="A30" s="3744"/>
      <c r="B30" s="3933" t="s">
        <v>240</v>
      </c>
      <c r="C30" s="3544"/>
      <c r="D30" s="3932"/>
      <c r="E30" s="3932"/>
      <c r="F30" s="3934">
        <v>0</v>
      </c>
      <c r="G30" s="3932"/>
      <c r="I30" s="3924"/>
    </row>
    <row r="31" spans="1:9">
      <c r="A31" s="3744"/>
      <c r="B31" s="3933" t="s">
        <v>677</v>
      </c>
      <c r="C31" s="3544"/>
      <c r="D31" s="3932"/>
      <c r="E31" s="3932"/>
      <c r="F31" s="3943">
        <v>1667312.0227943519</v>
      </c>
      <c r="G31" s="3932"/>
      <c r="I31" s="3924">
        <v>1681512.6303875353</v>
      </c>
    </row>
    <row r="32" spans="1:9">
      <c r="A32" s="3744" t="s">
        <v>249</v>
      </c>
      <c r="B32" s="3933" t="s">
        <v>681</v>
      </c>
      <c r="C32" s="3544"/>
      <c r="D32" s="3932"/>
      <c r="E32" s="3932"/>
      <c r="F32" s="3943">
        <v>3973470.4872150314</v>
      </c>
      <c r="G32" s="3932"/>
      <c r="I32" s="3924">
        <v>3669366.1002851441</v>
      </c>
    </row>
    <row r="33" spans="1:8" ht="57.6" customHeight="1">
      <c r="A33" s="3743" t="s">
        <v>215</v>
      </c>
      <c r="B33" s="3938" t="s">
        <v>250</v>
      </c>
      <c r="C33" s="3843" t="s">
        <v>251</v>
      </c>
      <c r="D33" s="3939"/>
      <c r="E33" s="3939"/>
      <c r="F33" s="3939"/>
      <c r="G33" s="3939"/>
    </row>
    <row r="34" spans="1:8">
      <c r="A34" s="3744" t="s">
        <v>252</v>
      </c>
      <c r="B34" s="3933" t="s">
        <v>697</v>
      </c>
      <c r="C34" s="3544"/>
      <c r="D34" s="3932"/>
      <c r="E34" s="3932"/>
      <c r="F34" s="3940">
        <v>617.62768104412476</v>
      </c>
      <c r="G34" s="3932"/>
    </row>
    <row r="35" spans="1:8">
      <c r="A35" s="3744" t="s">
        <v>253</v>
      </c>
      <c r="B35" s="3933" t="s">
        <v>239</v>
      </c>
      <c r="C35" s="3544"/>
      <c r="D35" s="3932"/>
      <c r="E35" s="3932"/>
      <c r="F35" s="3944"/>
      <c r="G35" s="3932"/>
    </row>
    <row r="36" spans="1:8" ht="14.25" customHeight="1">
      <c r="A36" s="3744"/>
      <c r="B36" s="3933" t="s">
        <v>240</v>
      </c>
      <c r="C36" s="3544"/>
      <c r="D36" s="3932"/>
      <c r="E36" s="3932"/>
      <c r="F36" s="3934">
        <v>0</v>
      </c>
      <c r="G36" s="3932"/>
    </row>
    <row r="37" spans="1:8">
      <c r="A37" s="3744"/>
      <c r="B37" s="3933" t="s">
        <v>677</v>
      </c>
      <c r="C37" s="3544"/>
      <c r="D37" s="3932"/>
      <c r="E37" s="3932"/>
      <c r="F37" s="3944">
        <v>2551.001739006942</v>
      </c>
      <c r="G37" s="3932"/>
    </row>
    <row r="38" spans="1:8">
      <c r="A38" s="3744" t="s">
        <v>254</v>
      </c>
      <c r="B38" s="3933" t="s">
        <v>681</v>
      </c>
      <c r="C38" s="3544"/>
      <c r="D38" s="3932"/>
      <c r="E38" s="3932"/>
      <c r="F38" s="3940">
        <v>6079.4440297924557</v>
      </c>
      <c r="G38" s="3932"/>
    </row>
    <row r="39" spans="1:8" ht="26.4" customHeight="1">
      <c r="A39" s="3850"/>
    </row>
    <row r="40" spans="1:8" s="2171" customFormat="1" ht="23.25" customHeight="1">
      <c r="A40" s="3404" t="s">
        <v>1266</v>
      </c>
      <c r="B40" s="3404"/>
      <c r="C40" s="3405"/>
      <c r="H40" s="3406"/>
    </row>
    <row r="41" spans="1:8" s="2171" customFormat="1" ht="15" customHeight="1">
      <c r="A41" s="3404" t="s">
        <v>1304</v>
      </c>
      <c r="B41" s="3407"/>
      <c r="C41" s="3405"/>
      <c r="G41" s="3408" t="s">
        <v>2876</v>
      </c>
    </row>
    <row r="42" spans="1:8" ht="15.6">
      <c r="A42" s="3486"/>
      <c r="F42" s="3487"/>
    </row>
    <row r="43" spans="1:8">
      <c r="A43" s="3410"/>
    </row>
    <row r="44" spans="1:8">
      <c r="A44" s="3410"/>
    </row>
    <row r="45" spans="1:8">
      <c r="B45" s="3945"/>
      <c r="C45" s="3945"/>
      <c r="D45" s="3945"/>
      <c r="E45" s="3945"/>
      <c r="F45" s="3945"/>
      <c r="G45" s="3945"/>
    </row>
    <row r="46" spans="1:8">
      <c r="B46" s="3946"/>
      <c r="C46" s="3946"/>
      <c r="D46" s="3946"/>
      <c r="E46" s="3946"/>
      <c r="F46" s="3946"/>
      <c r="G46" s="3946"/>
    </row>
  </sheetData>
  <mergeCells count="5">
    <mergeCell ref="F6:G6"/>
    <mergeCell ref="A6:A7"/>
    <mergeCell ref="B6:B7"/>
    <mergeCell ref="C6:C7"/>
    <mergeCell ref="D6:E6"/>
  </mergeCells>
  <phoneticPr fontId="0" type="noConversion"/>
  <printOptions horizontalCentered="1"/>
  <pageMargins left="0.74803149606299213" right="0.74803149606299213" top="0.98425196850393704" bottom="0.11811023622047245" header="0.51181102362204722" footer="3.937007874015748E-2"/>
  <pageSetup paperSize="9" orientation="portrait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4">
    <tabColor rgb="FFFFC000"/>
  </sheetPr>
  <dimension ref="A1:K254"/>
  <sheetViews>
    <sheetView workbookViewId="0">
      <pane ySplit="7" topLeftCell="A32" activePane="bottomLeft" state="frozen"/>
      <selection activeCell="B32" sqref="A1:XFD1048576"/>
      <selection pane="bottomLeft" activeCell="F1" sqref="F1:L1048576"/>
    </sheetView>
  </sheetViews>
  <sheetFormatPr defaultColWidth="9.109375" defaultRowHeight="13.2"/>
  <cols>
    <col min="1" max="1" width="4.6640625" style="10" customWidth="1"/>
    <col min="2" max="2" width="43.6640625" style="10" customWidth="1"/>
    <col min="3" max="3" width="11.33203125" style="10" customWidth="1"/>
    <col min="4" max="4" width="12" style="10" customWidth="1"/>
    <col min="5" max="5" width="13.5546875" style="10" customWidth="1"/>
    <col min="6" max="12" width="0" style="10" hidden="1" customWidth="1"/>
    <col min="13" max="16384" width="9.109375" style="10"/>
  </cols>
  <sheetData>
    <row r="1" spans="1:8">
      <c r="E1" s="11" t="s">
        <v>255</v>
      </c>
    </row>
    <row r="2" spans="1:8" ht="31.2">
      <c r="A2" s="115" t="s">
        <v>256</v>
      </c>
      <c r="B2" s="115"/>
      <c r="C2" s="115"/>
      <c r="D2" s="115"/>
      <c r="E2" s="115"/>
      <c r="F2" s="40"/>
    </row>
    <row r="3" spans="1:8" ht="18" customHeight="1">
      <c r="A3" s="109" t="s">
        <v>2487</v>
      </c>
      <c r="B3" s="115"/>
      <c r="C3" s="115"/>
      <c r="D3" s="115"/>
      <c r="E3" s="115"/>
      <c r="F3" s="84"/>
      <c r="G3" s="84"/>
    </row>
    <row r="4" spans="1:8" ht="18" customHeight="1">
      <c r="A4" s="103"/>
      <c r="B4" s="103"/>
      <c r="C4" s="103"/>
      <c r="D4" s="103"/>
      <c r="E4" s="103"/>
      <c r="F4" s="84"/>
      <c r="G4" s="84"/>
    </row>
    <row r="5" spans="1:8" s="6" customFormat="1" ht="25.5" customHeight="1">
      <c r="A5" s="4240" t="s">
        <v>695</v>
      </c>
      <c r="B5" s="4240"/>
      <c r="C5" s="4241" t="s">
        <v>235</v>
      </c>
      <c r="D5" s="4241" t="s">
        <v>257</v>
      </c>
      <c r="E5" s="4241" t="s">
        <v>674</v>
      </c>
      <c r="F5" s="42"/>
    </row>
    <row r="6" spans="1:8">
      <c r="A6" s="4240"/>
      <c r="B6" s="4240"/>
      <c r="C6" s="4241"/>
      <c r="D6" s="4241"/>
      <c r="E6" s="4241"/>
      <c r="F6" s="38"/>
    </row>
    <row r="7" spans="1:8">
      <c r="A7" s="41">
        <v>1</v>
      </c>
      <c r="B7" s="41">
        <v>2</v>
      </c>
      <c r="C7" s="41">
        <v>4</v>
      </c>
      <c r="D7" s="41">
        <v>5</v>
      </c>
      <c r="E7" s="41">
        <v>6</v>
      </c>
      <c r="F7" s="5"/>
    </row>
    <row r="8" spans="1:8" ht="15" customHeight="1">
      <c r="A8" s="43" t="s">
        <v>200</v>
      </c>
      <c r="B8" s="1" t="s">
        <v>275</v>
      </c>
      <c r="C8" s="39" t="s">
        <v>258</v>
      </c>
      <c r="D8" s="191">
        <v>3039.7430727576475</v>
      </c>
      <c r="E8" s="191">
        <v>3130.935364940377</v>
      </c>
      <c r="F8" s="45"/>
    </row>
    <row r="9" spans="1:8" ht="12.75" customHeight="1">
      <c r="A9" s="43" t="s">
        <v>698</v>
      </c>
      <c r="B9" s="1" t="s">
        <v>259</v>
      </c>
      <c r="C9" s="41"/>
      <c r="D9" s="44"/>
      <c r="E9" s="44"/>
      <c r="F9" s="45"/>
    </row>
    <row r="10" spans="1:8" ht="14.25" customHeight="1">
      <c r="A10" s="43" t="s">
        <v>260</v>
      </c>
      <c r="B10" s="1" t="s">
        <v>261</v>
      </c>
      <c r="C10" s="41"/>
      <c r="D10" s="44"/>
      <c r="E10" s="44"/>
      <c r="F10" s="45"/>
    </row>
    <row r="11" spans="1:8" ht="15" customHeight="1">
      <c r="A11" s="43" t="s">
        <v>262</v>
      </c>
      <c r="B11" s="1" t="s">
        <v>263</v>
      </c>
      <c r="C11" s="41"/>
      <c r="D11" s="44"/>
      <c r="E11" s="44"/>
      <c r="F11" s="45"/>
    </row>
    <row r="12" spans="1:8" ht="14.25" customHeight="1">
      <c r="A12" s="43" t="s">
        <v>699</v>
      </c>
      <c r="B12" s="1" t="s">
        <v>264</v>
      </c>
      <c r="C12" s="41"/>
      <c r="D12" s="44"/>
      <c r="E12" s="44"/>
      <c r="F12" s="45"/>
    </row>
    <row r="13" spans="1:8" ht="24" customHeight="1">
      <c r="A13" s="43" t="s">
        <v>56</v>
      </c>
      <c r="B13" s="1" t="s">
        <v>265</v>
      </c>
      <c r="C13" s="41" t="s">
        <v>266</v>
      </c>
      <c r="D13" s="473">
        <v>22.665980900000001</v>
      </c>
      <c r="E13" s="2288">
        <v>24.879768391399995</v>
      </c>
      <c r="F13" s="45"/>
      <c r="H13" s="41" t="s">
        <v>266</v>
      </c>
    </row>
    <row r="14" spans="1:8" ht="12.75" customHeight="1">
      <c r="A14" s="43" t="s">
        <v>138</v>
      </c>
      <c r="B14" s="1" t="s">
        <v>697</v>
      </c>
      <c r="C14" s="41"/>
      <c r="D14" s="473">
        <v>22.665980900000001</v>
      </c>
      <c r="E14" s="2288">
        <v>24.792734391399996</v>
      </c>
      <c r="F14" s="45"/>
      <c r="G14" s="1" t="s">
        <v>697</v>
      </c>
    </row>
    <row r="15" spans="1:8" ht="15" customHeight="1">
      <c r="A15" s="43" t="s">
        <v>141</v>
      </c>
      <c r="B15" s="1" t="s">
        <v>239</v>
      </c>
      <c r="C15" s="41"/>
      <c r="D15" s="2287">
        <v>0</v>
      </c>
      <c r="E15" s="108">
        <v>8.7034E-2</v>
      </c>
      <c r="F15" s="45"/>
      <c r="G15" s="1" t="s">
        <v>239</v>
      </c>
    </row>
    <row r="16" spans="1:8" ht="13.5" customHeight="1">
      <c r="A16" s="43"/>
      <c r="B16" s="1" t="s">
        <v>274</v>
      </c>
      <c r="C16" s="41"/>
      <c r="D16" s="2287">
        <v>0</v>
      </c>
      <c r="E16" s="108">
        <v>0</v>
      </c>
      <c r="F16" s="45"/>
      <c r="G16" s="1" t="s">
        <v>274</v>
      </c>
    </row>
    <row r="17" spans="1:11" ht="12.75" customHeight="1">
      <c r="A17" s="43"/>
      <c r="B17" s="1" t="s">
        <v>680</v>
      </c>
      <c r="C17" s="41"/>
      <c r="D17" s="101">
        <v>0</v>
      </c>
      <c r="E17" s="108">
        <v>8.7034E-2</v>
      </c>
      <c r="F17" s="45"/>
      <c r="G17" s="1" t="s">
        <v>680</v>
      </c>
    </row>
    <row r="18" spans="1:11" ht="12.75" customHeight="1">
      <c r="A18" s="43" t="s">
        <v>143</v>
      </c>
      <c r="B18" s="1" t="s">
        <v>681</v>
      </c>
      <c r="C18" s="41"/>
      <c r="D18" s="101">
        <v>0</v>
      </c>
      <c r="E18" s="101">
        <v>0</v>
      </c>
      <c r="F18" s="45"/>
      <c r="G18" s="1" t="s">
        <v>681</v>
      </c>
    </row>
    <row r="19" spans="1:11" ht="16.2" customHeight="1">
      <c r="A19" s="43" t="s">
        <v>208</v>
      </c>
      <c r="B19" s="1" t="s">
        <v>267</v>
      </c>
      <c r="C19" s="41" t="s">
        <v>266</v>
      </c>
      <c r="D19" s="472">
        <v>1.4064738999999999</v>
      </c>
      <c r="E19" s="473">
        <v>1.5350820000000001</v>
      </c>
      <c r="F19" s="45"/>
      <c r="H19" s="10" t="s">
        <v>244</v>
      </c>
      <c r="I19" s="60">
        <v>6.1700000397887935</v>
      </c>
      <c r="J19" s="60">
        <v>6.1700011666130319</v>
      </c>
    </row>
    <row r="20" spans="1:11" ht="13.8" customHeight="1">
      <c r="A20" s="43" t="s">
        <v>723</v>
      </c>
      <c r="B20" s="1" t="s">
        <v>697</v>
      </c>
      <c r="C20" s="41"/>
      <c r="D20" s="108">
        <v>0.62929780000000002</v>
      </c>
      <c r="E20" s="108">
        <v>0.94842100000000007</v>
      </c>
      <c r="F20" s="45"/>
      <c r="G20" s="1" t="s">
        <v>697</v>
      </c>
      <c r="I20" s="108">
        <v>2.7763978218123353</v>
      </c>
      <c r="J20" s="108">
        <v>3.8253989456241042</v>
      </c>
    </row>
    <row r="21" spans="1:11" ht="12.75" customHeight="1">
      <c r="A21" s="43" t="s">
        <v>268</v>
      </c>
      <c r="B21" s="1" t="s">
        <v>239</v>
      </c>
      <c r="C21" s="41"/>
      <c r="D21" s="473">
        <v>0.75388699999999997</v>
      </c>
      <c r="E21" s="473">
        <v>0.56264700000000001</v>
      </c>
      <c r="F21" s="45"/>
      <c r="G21" s="1" t="s">
        <v>239</v>
      </c>
    </row>
    <row r="22" spans="1:11" ht="13.5" customHeight="1">
      <c r="A22" s="43"/>
      <c r="B22" s="1" t="s">
        <v>274</v>
      </c>
      <c r="C22" s="41"/>
      <c r="D22" s="108">
        <v>0</v>
      </c>
      <c r="E22" s="108">
        <v>0</v>
      </c>
      <c r="F22" s="45"/>
      <c r="G22" s="1" t="s">
        <v>274</v>
      </c>
      <c r="I22" s="108">
        <v>0</v>
      </c>
      <c r="J22" s="108">
        <v>0</v>
      </c>
    </row>
    <row r="23" spans="1:11" ht="14.25" customHeight="1">
      <c r="A23" s="43"/>
      <c r="B23" s="1" t="s">
        <v>680</v>
      </c>
      <c r="C23" s="41"/>
      <c r="D23" s="473">
        <v>0.75388699999999997</v>
      </c>
      <c r="E23" s="473">
        <v>0.56264700000000001</v>
      </c>
      <c r="F23" s="45"/>
      <c r="G23" s="1" t="s">
        <v>680</v>
      </c>
      <c r="I23" s="60">
        <v>7.5677765604501843</v>
      </c>
      <c r="J23" s="60">
        <v>5.9311868655454933</v>
      </c>
    </row>
    <row r="24" spans="1:11" ht="15" customHeight="1">
      <c r="A24" s="43" t="s">
        <v>269</v>
      </c>
      <c r="B24" s="1" t="s">
        <v>681</v>
      </c>
      <c r="C24" s="41"/>
      <c r="D24" s="472">
        <v>2.32891E-2</v>
      </c>
      <c r="E24" s="472">
        <v>2.4014000000000001E-2</v>
      </c>
      <c r="F24" s="45"/>
      <c r="G24" s="1" t="s">
        <v>681</v>
      </c>
      <c r="I24" s="60">
        <v>7.8259250758848431</v>
      </c>
      <c r="J24" s="60">
        <v>6.5401274043290663</v>
      </c>
      <c r="K24" s="2925"/>
    </row>
    <row r="25" spans="1:11" ht="15" customHeight="1">
      <c r="A25" s="43" t="s">
        <v>210</v>
      </c>
      <c r="B25" s="1" t="s">
        <v>270</v>
      </c>
      <c r="C25" s="41" t="s">
        <v>266</v>
      </c>
      <c r="D25" s="473">
        <v>21.388889000000002</v>
      </c>
      <c r="E25" s="472">
        <v>23.344686391399996</v>
      </c>
      <c r="F25" s="45"/>
      <c r="H25" s="41" t="s">
        <v>266</v>
      </c>
      <c r="I25" s="500">
        <v>21.388889000000002</v>
      </c>
      <c r="J25" s="500">
        <v>23.344686391399996</v>
      </c>
    </row>
    <row r="26" spans="1:11" ht="17.399999999999999" customHeight="1">
      <c r="A26" s="43" t="s">
        <v>703</v>
      </c>
      <c r="B26" s="1" t="s">
        <v>697</v>
      </c>
      <c r="C26" s="41"/>
      <c r="D26" s="108">
        <v>12.204262</v>
      </c>
      <c r="E26" s="108">
        <v>14.445100999999999</v>
      </c>
      <c r="F26" s="45"/>
      <c r="G26" s="1" t="s">
        <v>697</v>
      </c>
      <c r="I26" s="108">
        <v>12.204262</v>
      </c>
      <c r="J26" s="108">
        <v>14.445100999999999</v>
      </c>
    </row>
    <row r="27" spans="1:11" ht="12.75" customHeight="1">
      <c r="A27" s="43" t="s">
        <v>704</v>
      </c>
      <c r="B27" s="1" t="s">
        <v>239</v>
      </c>
      <c r="C27" s="41"/>
      <c r="D27" s="473">
        <v>8.9103270000000006</v>
      </c>
      <c r="E27" s="473">
        <v>8.5564199999999992</v>
      </c>
      <c r="F27" s="45"/>
      <c r="G27" s="1" t="s">
        <v>239</v>
      </c>
      <c r="I27" s="473">
        <v>8.9103270000000006</v>
      </c>
      <c r="J27" s="473">
        <v>8.5564199999999992</v>
      </c>
    </row>
    <row r="28" spans="1:11" ht="13.5" customHeight="1">
      <c r="A28" s="43"/>
      <c r="B28" s="1" t="s">
        <v>274</v>
      </c>
      <c r="C28" s="41"/>
      <c r="D28" s="108">
        <v>0</v>
      </c>
      <c r="E28" s="108">
        <v>0</v>
      </c>
      <c r="F28" s="45"/>
      <c r="G28" s="1" t="s">
        <v>274</v>
      </c>
      <c r="I28" s="108">
        <v>0</v>
      </c>
      <c r="J28" s="108">
        <v>0</v>
      </c>
    </row>
    <row r="29" spans="1:11" ht="15.6" customHeight="1">
      <c r="A29" s="43"/>
      <c r="B29" s="1" t="s">
        <v>680</v>
      </c>
      <c r="C29" s="41"/>
      <c r="D29" s="473">
        <v>8.9103270000000006</v>
      </c>
      <c r="E29" s="473">
        <v>8.5564199999999992</v>
      </c>
      <c r="F29" s="45"/>
      <c r="G29" s="1" t="s">
        <v>680</v>
      </c>
      <c r="I29" s="10">
        <v>8.9103270000000006</v>
      </c>
      <c r="J29" s="499">
        <v>8.5564199999999992</v>
      </c>
    </row>
    <row r="30" spans="1:11" ht="15" customHeight="1">
      <c r="A30" s="43" t="s">
        <v>705</v>
      </c>
      <c r="B30" s="1" t="s">
        <v>681</v>
      </c>
      <c r="C30" s="41"/>
      <c r="D30" s="472">
        <v>0.27429999999999999</v>
      </c>
      <c r="E30" s="473">
        <v>0.34316539139999996</v>
      </c>
      <c r="F30" s="45"/>
      <c r="G30" s="1" t="s">
        <v>681</v>
      </c>
      <c r="I30" s="10">
        <v>0.27429999999999999</v>
      </c>
      <c r="J30" s="499">
        <v>0.34316539139999996</v>
      </c>
    </row>
    <row r="31" spans="1:11" ht="16.8" customHeight="1">
      <c r="A31" s="43" t="s">
        <v>212</v>
      </c>
      <c r="B31" s="1" t="s">
        <v>271</v>
      </c>
      <c r="C31" s="41" t="s">
        <v>238</v>
      </c>
      <c r="D31" s="150"/>
      <c r="E31" s="150">
        <v>4790.0801664674182</v>
      </c>
      <c r="F31" s="45"/>
    </row>
    <row r="32" spans="1:11" ht="18.600000000000001" customHeight="1">
      <c r="A32" s="43" t="s">
        <v>247</v>
      </c>
      <c r="B32" s="1" t="s">
        <v>697</v>
      </c>
      <c r="C32" s="41"/>
      <c r="D32" s="44"/>
      <c r="E32" s="101">
        <v>1798.9166124685225</v>
      </c>
      <c r="F32" s="45"/>
    </row>
    <row r="33" spans="1:10" ht="15" customHeight="1">
      <c r="A33" s="43" t="s">
        <v>248</v>
      </c>
      <c r="B33" s="1" t="s">
        <v>239</v>
      </c>
      <c r="C33" s="41"/>
      <c r="D33" s="44"/>
      <c r="E33" s="150">
        <v>2821.8836348922146</v>
      </c>
      <c r="F33" s="45"/>
    </row>
    <row r="34" spans="1:10" ht="16.8" customHeight="1">
      <c r="A34" s="43"/>
      <c r="B34" s="1" t="s">
        <v>274</v>
      </c>
      <c r="C34" s="41"/>
      <c r="D34" s="44"/>
      <c r="E34" s="101">
        <v>0</v>
      </c>
      <c r="F34" s="45"/>
    </row>
    <row r="35" spans="1:10" ht="13.8" customHeight="1">
      <c r="A35" s="43"/>
      <c r="B35" s="1" t="s">
        <v>680</v>
      </c>
      <c r="C35" s="41"/>
      <c r="D35" s="46"/>
      <c r="E35" s="150">
        <v>2821.8836348922146</v>
      </c>
      <c r="F35" s="45"/>
    </row>
    <row r="36" spans="1:10" ht="15" customHeight="1">
      <c r="A36" s="43" t="s">
        <v>249</v>
      </c>
      <c r="B36" s="1" t="s">
        <v>681</v>
      </c>
      <c r="C36" s="41"/>
      <c r="D36" s="44"/>
      <c r="E36" s="150">
        <v>169.2799191066805</v>
      </c>
      <c r="F36" s="45"/>
    </row>
    <row r="37" spans="1:10" ht="29.4" customHeight="1">
      <c r="A37" s="43" t="s">
        <v>215</v>
      </c>
      <c r="B37" s="1" t="s">
        <v>272</v>
      </c>
      <c r="C37" s="41" t="s">
        <v>273</v>
      </c>
      <c r="D37" s="44"/>
      <c r="E37" s="44"/>
      <c r="F37" s="45"/>
    </row>
    <row r="38" spans="1:10" ht="18.600000000000001" customHeight="1">
      <c r="A38" s="43" t="s">
        <v>252</v>
      </c>
      <c r="B38" s="1" t="s">
        <v>697</v>
      </c>
      <c r="C38" s="41"/>
      <c r="D38" s="44"/>
      <c r="E38" s="516">
        <v>124.53472028118894</v>
      </c>
      <c r="F38" s="45"/>
      <c r="H38" s="10" t="s">
        <v>830</v>
      </c>
    </row>
    <row r="39" spans="1:10" ht="15" customHeight="1">
      <c r="A39" s="43" t="s">
        <v>253</v>
      </c>
      <c r="B39" s="1" t="s">
        <v>239</v>
      </c>
      <c r="C39" s="41"/>
      <c r="D39" s="44"/>
      <c r="E39" s="62"/>
      <c r="F39" s="45"/>
      <c r="H39" s="10" t="s">
        <v>641</v>
      </c>
      <c r="I39" s="10" t="s">
        <v>831</v>
      </c>
    </row>
    <row r="40" spans="1:10" ht="14.25" customHeight="1">
      <c r="A40" s="43"/>
      <c r="B40" s="1" t="s">
        <v>274</v>
      </c>
      <c r="C40" s="41"/>
      <c r="D40" s="44"/>
      <c r="E40" s="107">
        <v>0</v>
      </c>
      <c r="F40" s="45"/>
      <c r="G40" s="1" t="s">
        <v>676</v>
      </c>
      <c r="H40" s="199" t="e">
        <v>#DIV/0!</v>
      </c>
      <c r="I40" s="199" t="e">
        <v>#DIV/0!</v>
      </c>
      <c r="J40" s="199" t="e">
        <v>#DIV/0!</v>
      </c>
    </row>
    <row r="41" spans="1:10" ht="14.25" customHeight="1">
      <c r="A41" s="43"/>
      <c r="B41" s="1" t="s">
        <v>680</v>
      </c>
      <c r="C41" s="41"/>
      <c r="D41" s="44"/>
      <c r="E41" s="116">
        <v>329.79723235795052</v>
      </c>
      <c r="F41" s="47"/>
      <c r="G41" s="1" t="s">
        <v>680</v>
      </c>
      <c r="H41" s="199">
        <v>0.11448116846615508</v>
      </c>
      <c r="I41" s="199">
        <v>0.88551883153384492</v>
      </c>
      <c r="J41" s="199">
        <v>1</v>
      </c>
    </row>
    <row r="42" spans="1:10" ht="13.5" customHeight="1">
      <c r="A42" s="43" t="s">
        <v>254</v>
      </c>
      <c r="B42" s="1" t="s">
        <v>681</v>
      </c>
      <c r="C42" s="41"/>
      <c r="D42" s="44"/>
      <c r="E42" s="116">
        <v>493.28960130879062</v>
      </c>
      <c r="F42" s="45"/>
      <c r="G42" s="1" t="s">
        <v>681</v>
      </c>
      <c r="H42" s="199">
        <v>7.5050904082680905E-2</v>
      </c>
      <c r="I42" s="199">
        <v>0.92494909591731911</v>
      </c>
      <c r="J42" s="199">
        <v>1</v>
      </c>
    </row>
    <row r="43" spans="1:10" ht="15.6">
      <c r="B43" s="26"/>
      <c r="C43" s="6"/>
      <c r="D43" s="26"/>
    </row>
    <row r="44" spans="1:10">
      <c r="C44" s="6"/>
    </row>
    <row r="45" spans="1:10">
      <c r="C45" s="6"/>
    </row>
    <row r="46" spans="1:10" s="776" customFormat="1" ht="23.25" customHeight="1">
      <c r="A46" s="839" t="s">
        <v>1266</v>
      </c>
      <c r="B46" s="774"/>
      <c r="C46" s="775"/>
      <c r="H46" s="777"/>
    </row>
    <row r="47" spans="1:10" s="776" customFormat="1" ht="15" customHeight="1">
      <c r="A47" s="839" t="s">
        <v>1304</v>
      </c>
      <c r="B47" s="778"/>
      <c r="C47" s="775"/>
      <c r="E47" s="779" t="s">
        <v>2876</v>
      </c>
    </row>
    <row r="50" spans="1:7">
      <c r="A50" s="19"/>
    </row>
    <row r="51" spans="1:7">
      <c r="A51" s="98"/>
      <c r="B51" s="96"/>
      <c r="C51" s="96"/>
      <c r="D51" s="96"/>
      <c r="E51" s="96"/>
      <c r="F51" s="96"/>
      <c r="G51" s="96"/>
    </row>
    <row r="52" spans="1:7">
      <c r="A52" s="98"/>
      <c r="B52" s="95"/>
      <c r="C52" s="95"/>
      <c r="D52" s="95"/>
      <c r="E52" s="95"/>
      <c r="F52" s="95"/>
      <c r="G52" s="95"/>
    </row>
    <row r="53" spans="1:7">
      <c r="A53" s="4238"/>
      <c r="B53" s="4239"/>
      <c r="C53" s="4239"/>
      <c r="E53" s="11"/>
    </row>
    <row r="54" spans="1:7">
      <c r="C54" s="6"/>
    </row>
    <row r="55" spans="1:7">
      <c r="C55" s="6"/>
    </row>
    <row r="56" spans="1:7">
      <c r="C56" s="6"/>
    </row>
    <row r="57" spans="1:7">
      <c r="C57" s="6"/>
    </row>
    <row r="58" spans="1:7">
      <c r="A58" s="4189"/>
      <c r="B58" s="4190"/>
      <c r="C58" s="4190"/>
      <c r="D58" s="4190"/>
      <c r="E58" s="4190"/>
      <c r="F58" s="4190"/>
      <c r="G58" s="4190"/>
    </row>
    <row r="59" spans="1:7">
      <c r="C59" s="6"/>
    </row>
    <row r="60" spans="1:7">
      <c r="C60" s="6"/>
    </row>
    <row r="61" spans="1:7">
      <c r="C61" s="6"/>
    </row>
    <row r="62" spans="1:7">
      <c r="C62" s="6"/>
    </row>
    <row r="63" spans="1:7">
      <c r="C63" s="6"/>
    </row>
    <row r="64" spans="1:7">
      <c r="C64" s="6"/>
    </row>
    <row r="65" spans="3:3">
      <c r="C65" s="6"/>
    </row>
    <row r="66" spans="3:3">
      <c r="C66" s="6"/>
    </row>
    <row r="67" spans="3:3">
      <c r="C67" s="6"/>
    </row>
    <row r="68" spans="3:3">
      <c r="C68" s="6"/>
    </row>
    <row r="69" spans="3:3">
      <c r="C69" s="6"/>
    </row>
    <row r="70" spans="3:3">
      <c r="C70" s="6"/>
    </row>
    <row r="71" spans="3:3">
      <c r="C71" s="6"/>
    </row>
    <row r="72" spans="3:3">
      <c r="C72" s="6"/>
    </row>
    <row r="73" spans="3:3">
      <c r="C73" s="6"/>
    </row>
    <row r="74" spans="3:3">
      <c r="C74" s="6"/>
    </row>
    <row r="75" spans="3:3">
      <c r="C75" s="6"/>
    </row>
    <row r="76" spans="3:3">
      <c r="C76" s="6"/>
    </row>
    <row r="77" spans="3:3">
      <c r="C77" s="6"/>
    </row>
    <row r="78" spans="3:3">
      <c r="C78" s="6"/>
    </row>
    <row r="79" spans="3:3">
      <c r="C79" s="6"/>
    </row>
    <row r="80" spans="3:3">
      <c r="C80" s="6"/>
    </row>
    <row r="81" spans="3:3">
      <c r="C81" s="6"/>
    </row>
    <row r="82" spans="3:3">
      <c r="C82" s="6"/>
    </row>
    <row r="83" spans="3:3">
      <c r="C83" s="6"/>
    </row>
    <row r="84" spans="3:3">
      <c r="C84" s="6"/>
    </row>
    <row r="85" spans="3:3">
      <c r="C85" s="6"/>
    </row>
    <row r="86" spans="3:3">
      <c r="C86" s="6"/>
    </row>
    <row r="87" spans="3:3">
      <c r="C87" s="6"/>
    </row>
    <row r="88" spans="3:3">
      <c r="C88" s="6"/>
    </row>
    <row r="89" spans="3:3">
      <c r="C89" s="6"/>
    </row>
    <row r="90" spans="3:3">
      <c r="C90" s="6"/>
    </row>
    <row r="91" spans="3:3">
      <c r="C91" s="6"/>
    </row>
    <row r="92" spans="3:3">
      <c r="C92" s="6"/>
    </row>
    <row r="93" spans="3:3">
      <c r="C93" s="6"/>
    </row>
    <row r="94" spans="3:3">
      <c r="C94" s="6"/>
    </row>
    <row r="95" spans="3:3">
      <c r="C95" s="6"/>
    </row>
    <row r="96" spans="3:3">
      <c r="C96" s="6"/>
    </row>
    <row r="97" spans="3:3">
      <c r="C97" s="6"/>
    </row>
    <row r="98" spans="3:3">
      <c r="C98" s="6"/>
    </row>
    <row r="99" spans="3:3">
      <c r="C99" s="6"/>
    </row>
    <row r="100" spans="3:3">
      <c r="C100" s="6"/>
    </row>
    <row r="101" spans="3:3">
      <c r="C101" s="6"/>
    </row>
    <row r="102" spans="3:3">
      <c r="C102" s="6"/>
    </row>
    <row r="103" spans="3:3">
      <c r="C103" s="6"/>
    </row>
    <row r="104" spans="3:3">
      <c r="C104" s="6"/>
    </row>
    <row r="105" spans="3:3">
      <c r="C105" s="6"/>
    </row>
    <row r="106" spans="3:3">
      <c r="C106" s="6"/>
    </row>
    <row r="107" spans="3:3">
      <c r="C107" s="6"/>
    </row>
    <row r="108" spans="3:3">
      <c r="C108" s="6"/>
    </row>
    <row r="109" spans="3:3">
      <c r="C109" s="6"/>
    </row>
    <row r="110" spans="3:3">
      <c r="C110" s="6"/>
    </row>
    <row r="111" spans="3:3">
      <c r="C111" s="6"/>
    </row>
    <row r="112" spans="3:3">
      <c r="C112" s="6"/>
    </row>
    <row r="113" spans="3:3">
      <c r="C113" s="6"/>
    </row>
    <row r="114" spans="3:3">
      <c r="C114" s="6"/>
    </row>
    <row r="115" spans="3:3">
      <c r="C115" s="6"/>
    </row>
    <row r="116" spans="3:3">
      <c r="C116" s="6"/>
    </row>
    <row r="117" spans="3:3">
      <c r="C117" s="6"/>
    </row>
    <row r="118" spans="3:3">
      <c r="C118" s="6"/>
    </row>
    <row r="119" spans="3:3">
      <c r="C119" s="6"/>
    </row>
    <row r="120" spans="3:3">
      <c r="C120" s="6"/>
    </row>
    <row r="121" spans="3:3">
      <c r="C121" s="6"/>
    </row>
    <row r="122" spans="3:3">
      <c r="C122" s="6"/>
    </row>
    <row r="123" spans="3:3">
      <c r="C123" s="6"/>
    </row>
    <row r="124" spans="3:3">
      <c r="C124" s="6"/>
    </row>
    <row r="125" spans="3:3">
      <c r="C125" s="6"/>
    </row>
    <row r="126" spans="3:3">
      <c r="C126" s="6"/>
    </row>
    <row r="127" spans="3:3">
      <c r="C127" s="6"/>
    </row>
    <row r="128" spans="3:3">
      <c r="C128" s="6"/>
    </row>
    <row r="129" spans="3:3">
      <c r="C129" s="6"/>
    </row>
    <row r="130" spans="3:3">
      <c r="C130" s="6"/>
    </row>
    <row r="131" spans="3:3">
      <c r="C131" s="6"/>
    </row>
    <row r="132" spans="3:3">
      <c r="C132" s="6"/>
    </row>
    <row r="133" spans="3:3">
      <c r="C133" s="6"/>
    </row>
    <row r="134" spans="3:3">
      <c r="C134" s="6"/>
    </row>
    <row r="135" spans="3:3">
      <c r="C135" s="6"/>
    </row>
    <row r="136" spans="3:3">
      <c r="C136" s="6"/>
    </row>
    <row r="137" spans="3:3">
      <c r="C137" s="6"/>
    </row>
    <row r="138" spans="3:3">
      <c r="C138" s="6"/>
    </row>
    <row r="139" spans="3:3">
      <c r="C139" s="6"/>
    </row>
    <row r="140" spans="3:3">
      <c r="C140" s="6"/>
    </row>
    <row r="141" spans="3:3">
      <c r="C141" s="6"/>
    </row>
    <row r="142" spans="3:3">
      <c r="C142" s="6"/>
    </row>
    <row r="143" spans="3:3">
      <c r="C143" s="6"/>
    </row>
    <row r="144" spans="3:3">
      <c r="C144" s="6"/>
    </row>
    <row r="145" spans="3:3">
      <c r="C145" s="6"/>
    </row>
    <row r="146" spans="3:3">
      <c r="C146" s="6"/>
    </row>
    <row r="147" spans="3:3">
      <c r="C147" s="6"/>
    </row>
    <row r="148" spans="3:3">
      <c r="C148" s="6"/>
    </row>
    <row r="149" spans="3:3">
      <c r="C149" s="6"/>
    </row>
    <row r="150" spans="3:3">
      <c r="C150" s="6"/>
    </row>
    <row r="151" spans="3:3">
      <c r="C151" s="6"/>
    </row>
    <row r="152" spans="3:3">
      <c r="C152" s="6"/>
    </row>
    <row r="153" spans="3:3">
      <c r="C153" s="6"/>
    </row>
    <row r="154" spans="3:3">
      <c r="C154" s="6"/>
    </row>
    <row r="155" spans="3:3">
      <c r="C155" s="6"/>
    </row>
    <row r="156" spans="3:3">
      <c r="C156" s="6"/>
    </row>
    <row r="157" spans="3:3">
      <c r="C157" s="6"/>
    </row>
    <row r="158" spans="3:3">
      <c r="C158" s="6"/>
    </row>
    <row r="159" spans="3:3">
      <c r="C159" s="6"/>
    </row>
    <row r="160" spans="3:3">
      <c r="C160" s="6"/>
    </row>
    <row r="161" spans="3:3">
      <c r="C161" s="6"/>
    </row>
    <row r="162" spans="3:3">
      <c r="C162" s="6"/>
    </row>
    <row r="163" spans="3:3">
      <c r="C163" s="6"/>
    </row>
    <row r="164" spans="3:3">
      <c r="C164" s="6"/>
    </row>
    <row r="165" spans="3:3">
      <c r="C165" s="6"/>
    </row>
    <row r="166" spans="3:3">
      <c r="C166" s="6"/>
    </row>
    <row r="167" spans="3:3">
      <c r="C167" s="6"/>
    </row>
    <row r="168" spans="3:3">
      <c r="C168" s="6"/>
    </row>
    <row r="169" spans="3:3">
      <c r="C169" s="6"/>
    </row>
    <row r="170" spans="3:3">
      <c r="C170" s="6"/>
    </row>
    <row r="171" spans="3:3">
      <c r="C171" s="6"/>
    </row>
    <row r="172" spans="3:3">
      <c r="C172" s="6"/>
    </row>
    <row r="173" spans="3:3">
      <c r="C173" s="6"/>
    </row>
    <row r="174" spans="3:3">
      <c r="C174" s="6"/>
    </row>
    <row r="175" spans="3:3">
      <c r="C175" s="6"/>
    </row>
    <row r="176" spans="3:3">
      <c r="C176" s="6"/>
    </row>
    <row r="177" spans="3:3">
      <c r="C177" s="6"/>
    </row>
    <row r="178" spans="3:3">
      <c r="C178" s="6"/>
    </row>
    <row r="179" spans="3:3">
      <c r="C179" s="6"/>
    </row>
    <row r="180" spans="3:3">
      <c r="C180" s="6"/>
    </row>
    <row r="181" spans="3:3">
      <c r="C181" s="6"/>
    </row>
    <row r="182" spans="3:3">
      <c r="C182" s="6"/>
    </row>
    <row r="183" spans="3:3">
      <c r="C183" s="6"/>
    </row>
    <row r="184" spans="3:3">
      <c r="C184" s="6"/>
    </row>
    <row r="185" spans="3:3">
      <c r="C185" s="6"/>
    </row>
    <row r="186" spans="3:3">
      <c r="C186" s="6"/>
    </row>
    <row r="187" spans="3:3">
      <c r="C187" s="6"/>
    </row>
    <row r="188" spans="3:3">
      <c r="C188" s="6"/>
    </row>
    <row r="189" spans="3:3">
      <c r="C189" s="6"/>
    </row>
    <row r="190" spans="3:3">
      <c r="C190" s="6"/>
    </row>
    <row r="191" spans="3:3">
      <c r="C191" s="6"/>
    </row>
    <row r="192" spans="3:3">
      <c r="C192" s="6"/>
    </row>
    <row r="193" spans="3:3">
      <c r="C193" s="6"/>
    </row>
    <row r="194" spans="3:3">
      <c r="C194" s="6"/>
    </row>
    <row r="195" spans="3:3">
      <c r="C195" s="6"/>
    </row>
    <row r="196" spans="3:3">
      <c r="C196" s="6"/>
    </row>
    <row r="197" spans="3:3">
      <c r="C197" s="6"/>
    </row>
    <row r="198" spans="3:3">
      <c r="C198" s="6"/>
    </row>
    <row r="199" spans="3:3">
      <c r="C199" s="6"/>
    </row>
    <row r="200" spans="3:3">
      <c r="C200" s="6"/>
    </row>
    <row r="201" spans="3:3">
      <c r="C201" s="6"/>
    </row>
    <row r="202" spans="3:3">
      <c r="C202" s="6"/>
    </row>
    <row r="203" spans="3:3">
      <c r="C203" s="6"/>
    </row>
    <row r="204" spans="3:3">
      <c r="C204" s="6"/>
    </row>
    <row r="205" spans="3:3">
      <c r="C205" s="6"/>
    </row>
    <row r="206" spans="3:3">
      <c r="C206" s="6"/>
    </row>
    <row r="207" spans="3:3">
      <c r="C207" s="6"/>
    </row>
    <row r="208" spans="3:3">
      <c r="C208" s="6"/>
    </row>
    <row r="209" spans="3:3">
      <c r="C209" s="6"/>
    </row>
    <row r="210" spans="3:3">
      <c r="C210" s="6"/>
    </row>
    <row r="211" spans="3:3">
      <c r="C211" s="6"/>
    </row>
    <row r="212" spans="3:3">
      <c r="C212" s="6"/>
    </row>
    <row r="213" spans="3:3">
      <c r="C213" s="6"/>
    </row>
    <row r="214" spans="3:3">
      <c r="C214" s="6"/>
    </row>
    <row r="215" spans="3:3">
      <c r="C215" s="6"/>
    </row>
    <row r="216" spans="3:3">
      <c r="C216" s="6"/>
    </row>
    <row r="217" spans="3:3">
      <c r="C217" s="6"/>
    </row>
    <row r="218" spans="3:3">
      <c r="C218" s="6"/>
    </row>
    <row r="219" spans="3:3">
      <c r="C219" s="6"/>
    </row>
    <row r="220" spans="3:3">
      <c r="C220" s="6"/>
    </row>
    <row r="221" spans="3:3">
      <c r="C221" s="6"/>
    </row>
    <row r="222" spans="3:3">
      <c r="C222" s="6"/>
    </row>
    <row r="223" spans="3:3">
      <c r="C223" s="6"/>
    </row>
    <row r="224" spans="3:3">
      <c r="C224" s="6"/>
    </row>
    <row r="225" spans="3:3">
      <c r="C225" s="6"/>
    </row>
    <row r="226" spans="3:3">
      <c r="C226" s="6"/>
    </row>
    <row r="227" spans="3:3">
      <c r="C227" s="6"/>
    </row>
    <row r="228" spans="3:3">
      <c r="C228" s="6"/>
    </row>
    <row r="229" spans="3:3">
      <c r="C229" s="6"/>
    </row>
    <row r="230" spans="3:3">
      <c r="C230" s="6"/>
    </row>
    <row r="231" spans="3:3">
      <c r="C231" s="6"/>
    </row>
    <row r="232" spans="3:3">
      <c r="C232" s="6"/>
    </row>
    <row r="233" spans="3:3">
      <c r="C233" s="6"/>
    </row>
    <row r="234" spans="3:3">
      <c r="C234" s="6"/>
    </row>
    <row r="235" spans="3:3">
      <c r="C235" s="6"/>
    </row>
    <row r="236" spans="3:3">
      <c r="C236" s="6"/>
    </row>
    <row r="237" spans="3:3">
      <c r="C237" s="6"/>
    </row>
    <row r="238" spans="3:3">
      <c r="C238" s="6"/>
    </row>
    <row r="239" spans="3:3">
      <c r="C239" s="6"/>
    </row>
    <row r="240" spans="3:3">
      <c r="C240" s="6"/>
    </row>
    <row r="241" spans="3:3">
      <c r="C241" s="6"/>
    </row>
    <row r="242" spans="3:3">
      <c r="C242" s="6"/>
    </row>
    <row r="243" spans="3:3">
      <c r="C243" s="6"/>
    </row>
    <row r="244" spans="3:3">
      <c r="C244" s="6"/>
    </row>
    <row r="245" spans="3:3">
      <c r="C245" s="6"/>
    </row>
    <row r="246" spans="3:3">
      <c r="C246" s="6"/>
    </row>
    <row r="247" spans="3:3">
      <c r="C247" s="6"/>
    </row>
    <row r="248" spans="3:3">
      <c r="C248" s="6"/>
    </row>
    <row r="249" spans="3:3">
      <c r="C249" s="6"/>
    </row>
    <row r="250" spans="3:3">
      <c r="C250" s="6"/>
    </row>
    <row r="251" spans="3:3">
      <c r="C251" s="6"/>
    </row>
    <row r="252" spans="3:3">
      <c r="C252" s="6"/>
    </row>
    <row r="253" spans="3:3">
      <c r="C253" s="6"/>
    </row>
    <row r="254" spans="3:3">
      <c r="C254" s="6"/>
    </row>
  </sheetData>
  <mergeCells count="7">
    <mergeCell ref="A58:G58"/>
    <mergeCell ref="A53:C53"/>
    <mergeCell ref="A5:A6"/>
    <mergeCell ref="B5:B6"/>
    <mergeCell ref="C5:C6"/>
    <mergeCell ref="D5:D6"/>
    <mergeCell ref="E5:E6"/>
  </mergeCells>
  <phoneticPr fontId="0" type="noConversion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E95"/>
  <sheetViews>
    <sheetView zoomScale="90" zoomScaleNormal="90" zoomScaleSheetLayoutView="100" workbookViewId="0">
      <pane ySplit="8" topLeftCell="A12" activePane="bottomLeft" state="frozen"/>
      <selection activeCell="B32" sqref="A1:XFD1048576"/>
      <selection pane="bottomLeft" activeCell="B18" sqref="B18"/>
    </sheetView>
  </sheetViews>
  <sheetFormatPr defaultColWidth="9.109375" defaultRowHeight="13.2"/>
  <cols>
    <col min="1" max="1" width="3.6640625" style="3662" customWidth="1"/>
    <col min="2" max="2" width="23.33203125" style="3662" customWidth="1"/>
    <col min="3" max="4" width="6.88671875" style="3871" customWidth="1"/>
    <col min="5" max="5" width="3.88671875" style="3871" customWidth="1"/>
    <col min="6" max="6" width="7.44140625" style="3662" customWidth="1"/>
    <col min="7" max="7" width="5.33203125" style="3662" customWidth="1"/>
    <col min="8" max="8" width="8.44140625" style="3662" customWidth="1"/>
    <col min="9" max="9" width="8.6640625" style="3662" customWidth="1"/>
    <col min="10" max="10" width="7.44140625" style="3662" customWidth="1"/>
    <col min="11" max="11" width="6.44140625" style="3662" customWidth="1"/>
    <col min="12" max="12" width="6.33203125" style="3662" customWidth="1"/>
    <col min="13" max="13" width="8.5546875" style="3662" customWidth="1"/>
    <col min="14" max="14" width="7.88671875" style="3662" customWidth="1"/>
    <col min="15" max="15" width="6.6640625" style="3662" customWidth="1"/>
    <col min="16" max="16" width="6.5546875" style="3662" customWidth="1"/>
    <col min="17" max="17" width="7" style="3662" customWidth="1"/>
    <col min="18" max="18" width="8.5546875" style="3662" customWidth="1"/>
    <col min="19" max="19" width="6.5546875" style="3662" customWidth="1"/>
    <col min="20" max="20" width="7" style="3662" customWidth="1"/>
    <col min="21" max="21" width="9.109375" style="3662" customWidth="1"/>
    <col min="22" max="22" width="8.44140625" style="3662" customWidth="1"/>
    <col min="23" max="23" width="9.109375" style="3662" customWidth="1"/>
    <col min="24" max="24" width="9.88671875" style="3662" customWidth="1"/>
    <col min="25" max="25" width="8.5546875" style="3662" customWidth="1"/>
    <col min="26" max="27" width="9" style="3662" customWidth="1"/>
    <col min="28" max="28" width="8.6640625" style="3662" customWidth="1"/>
    <col min="29" max="29" width="11.88671875" style="3662" bestFit="1" customWidth="1"/>
    <col min="30" max="30" width="9.109375" style="3662"/>
    <col min="31" max="31" width="10" style="3662" bestFit="1" customWidth="1"/>
    <col min="32" max="16384" width="9.109375" style="3662"/>
  </cols>
  <sheetData>
    <row r="1" spans="1:31" ht="21" customHeight="1">
      <c r="A1" s="3855" t="s">
        <v>2846</v>
      </c>
      <c r="B1" s="3269"/>
      <c r="C1" s="3856"/>
      <c r="D1" s="3856"/>
      <c r="E1" s="3856"/>
      <c r="F1" s="3269"/>
      <c r="G1" s="3857"/>
      <c r="H1" s="2209"/>
      <c r="I1" s="2209"/>
      <c r="J1" s="2209"/>
      <c r="K1" s="2209"/>
      <c r="L1" s="2209"/>
      <c r="M1" s="2209"/>
      <c r="N1" s="2209"/>
      <c r="O1" s="2209"/>
      <c r="P1" s="2209"/>
      <c r="Q1" s="2209"/>
      <c r="R1" s="2209"/>
      <c r="S1" s="2209"/>
      <c r="T1" s="2209"/>
      <c r="U1" s="2209"/>
      <c r="V1" s="2209"/>
      <c r="W1" s="2209"/>
      <c r="X1" s="2209"/>
      <c r="Y1" s="2209"/>
      <c r="Z1" s="2209"/>
      <c r="AA1" s="2209"/>
      <c r="AB1" s="2209"/>
    </row>
    <row r="2" spans="1:31" ht="21" customHeight="1">
      <c r="A2" s="3855" t="s">
        <v>2847</v>
      </c>
      <c r="B2" s="3269"/>
      <c r="C2" s="3856"/>
      <c r="D2" s="3856"/>
      <c r="E2" s="3856"/>
      <c r="F2" s="3269"/>
      <c r="G2" s="3857"/>
      <c r="H2" s="2209"/>
      <c r="I2" s="2209"/>
      <c r="J2" s="2209"/>
      <c r="K2" s="2209"/>
      <c r="L2" s="2209"/>
      <c r="M2" s="2209"/>
      <c r="N2" s="2209"/>
      <c r="O2" s="2209"/>
      <c r="P2" s="2209"/>
      <c r="Q2" s="2209"/>
      <c r="R2" s="2209"/>
      <c r="S2" s="2209"/>
      <c r="T2" s="2209"/>
      <c r="U2" s="2209"/>
      <c r="V2" s="2209"/>
      <c r="W2" s="2209"/>
      <c r="X2" s="2209"/>
      <c r="Y2" s="2209"/>
      <c r="Z2" s="2209"/>
      <c r="AA2" s="2209"/>
      <c r="AB2" s="2209"/>
    </row>
    <row r="3" spans="1:31" ht="21" customHeight="1">
      <c r="A3" s="3855" t="s">
        <v>2889</v>
      </c>
      <c r="B3" s="3269"/>
      <c r="C3" s="3856"/>
      <c r="D3" s="3856"/>
      <c r="E3" s="3856"/>
      <c r="F3" s="3269"/>
      <c r="G3" s="3857"/>
      <c r="H3" s="2209"/>
      <c r="I3" s="2209"/>
      <c r="J3" s="2209"/>
      <c r="K3" s="2209"/>
      <c r="L3" s="2209"/>
      <c r="M3" s="2209"/>
      <c r="N3" s="2209"/>
      <c r="O3" s="2209"/>
      <c r="P3" s="2209"/>
      <c r="Q3" s="2209"/>
      <c r="R3" s="2209"/>
      <c r="S3" s="2209"/>
      <c r="T3" s="2209"/>
      <c r="U3" s="2209"/>
      <c r="V3" s="2209"/>
      <c r="W3" s="2209"/>
      <c r="X3" s="2209"/>
      <c r="Y3" s="2209"/>
      <c r="Z3" s="2209"/>
      <c r="AA3" s="2209"/>
      <c r="AB3" s="2209"/>
    </row>
    <row r="4" spans="1:31" ht="21" customHeight="1">
      <c r="A4" s="3858" t="s">
        <v>3001</v>
      </c>
      <c r="B4" s="3857"/>
      <c r="C4" s="3859"/>
      <c r="D4" s="3859"/>
      <c r="E4" s="3859"/>
      <c r="F4" s="2209"/>
      <c r="G4" s="2209"/>
      <c r="H4" s="2209"/>
      <c r="I4" s="2209"/>
      <c r="J4" s="2209"/>
      <c r="K4" s="2209"/>
      <c r="L4" s="2209"/>
      <c r="M4" s="2209"/>
      <c r="N4" s="2209"/>
      <c r="O4" s="2209"/>
      <c r="P4" s="2209"/>
      <c r="Q4" s="2209"/>
      <c r="R4" s="2209"/>
      <c r="S4" s="2209"/>
      <c r="T4" s="2209"/>
      <c r="U4" s="2209"/>
      <c r="V4" s="2209"/>
      <c r="W4" s="2209"/>
      <c r="X4" s="2209"/>
      <c r="Y4" s="2209"/>
      <c r="Z4" s="2209"/>
      <c r="AA4" s="2209"/>
      <c r="AB4" s="2209"/>
    </row>
    <row r="5" spans="1:31" ht="15.75" customHeight="1">
      <c r="A5" s="2209"/>
      <c r="B5" s="3860"/>
      <c r="C5" s="3859"/>
      <c r="D5" s="3859"/>
      <c r="E5" s="3859"/>
      <c r="F5" s="2209"/>
      <c r="G5" s="2209"/>
      <c r="H5" s="2209"/>
      <c r="I5" s="2209"/>
      <c r="J5" s="2209"/>
      <c r="K5" s="2209"/>
      <c r="L5" s="2209"/>
      <c r="M5" s="2209"/>
      <c r="N5" s="2209"/>
      <c r="O5" s="2209"/>
      <c r="P5" s="2209"/>
      <c r="Q5" s="2209"/>
      <c r="R5" s="2209"/>
      <c r="S5" s="2209"/>
      <c r="T5" s="2209"/>
      <c r="U5" s="2209"/>
      <c r="V5" s="2209"/>
      <c r="W5" s="2209"/>
      <c r="X5" s="2211"/>
      <c r="Y5" s="2209"/>
      <c r="Z5" s="2209"/>
      <c r="AA5" s="2209"/>
      <c r="AB5" s="2211"/>
    </row>
    <row r="6" spans="1:31" s="3268" customFormat="1" ht="16.5" customHeight="1">
      <c r="A6" s="4174" t="s">
        <v>1514</v>
      </c>
      <c r="B6" s="4174" t="s">
        <v>2259</v>
      </c>
      <c r="C6" s="4249" t="s">
        <v>2840</v>
      </c>
      <c r="D6" s="4249" t="s">
        <v>2841</v>
      </c>
      <c r="E6" s="4243" t="s">
        <v>2273</v>
      </c>
      <c r="F6" s="4243" t="s">
        <v>2260</v>
      </c>
      <c r="G6" s="4174" t="s">
        <v>2331</v>
      </c>
      <c r="H6" s="4253" t="s">
        <v>3002</v>
      </c>
      <c r="I6" s="4254"/>
      <c r="J6" s="4254"/>
      <c r="K6" s="4254"/>
      <c r="L6" s="4254"/>
      <c r="M6" s="4254"/>
      <c r="N6" s="4254"/>
      <c r="O6" s="4254"/>
      <c r="P6" s="4254"/>
      <c r="Q6" s="4254"/>
      <c r="R6" s="4254"/>
      <c r="S6" s="4254"/>
      <c r="T6" s="4255"/>
      <c r="U6" s="2212" t="s">
        <v>2321</v>
      </c>
      <c r="V6" s="2212"/>
      <c r="W6" s="2212"/>
      <c r="X6" s="2213"/>
      <c r="Y6" s="2212" t="s">
        <v>3003</v>
      </c>
      <c r="Z6" s="2212"/>
      <c r="AA6" s="2212"/>
      <c r="AB6" s="2213"/>
    </row>
    <row r="7" spans="1:31" s="3268" customFormat="1" ht="16.5" customHeight="1">
      <c r="A7" s="4242"/>
      <c r="B7" s="4242"/>
      <c r="C7" s="4250"/>
      <c r="D7" s="4250"/>
      <c r="E7" s="4244"/>
      <c r="F7" s="4244"/>
      <c r="G7" s="4242"/>
      <c r="H7" s="4174" t="s">
        <v>2261</v>
      </c>
      <c r="I7" s="4174" t="s">
        <v>2263</v>
      </c>
      <c r="J7" s="3861" t="s">
        <v>2262</v>
      </c>
      <c r="K7" s="3861"/>
      <c r="L7" s="3861"/>
      <c r="M7" s="3861"/>
      <c r="N7" s="3861"/>
      <c r="O7" s="3861"/>
      <c r="P7" s="3861"/>
      <c r="Q7" s="3861"/>
      <c r="R7" s="3861"/>
      <c r="S7" s="3861"/>
      <c r="T7" s="3861"/>
      <c r="U7" s="4174" t="s">
        <v>2261</v>
      </c>
      <c r="V7" s="4174" t="s">
        <v>2322</v>
      </c>
      <c r="W7" s="4174" t="s">
        <v>2323</v>
      </c>
      <c r="X7" s="4174" t="s">
        <v>2266</v>
      </c>
      <c r="Y7" s="4174" t="s">
        <v>2261</v>
      </c>
      <c r="Z7" s="4174" t="s">
        <v>2322</v>
      </c>
      <c r="AA7" s="4174" t="s">
        <v>2323</v>
      </c>
      <c r="AB7" s="4174" t="s">
        <v>2324</v>
      </c>
    </row>
    <row r="8" spans="1:31" s="3268" customFormat="1" ht="92.25" customHeight="1">
      <c r="A8" s="4242"/>
      <c r="B8" s="4242"/>
      <c r="C8" s="4251"/>
      <c r="D8" s="4251"/>
      <c r="E8" s="4245"/>
      <c r="F8" s="4245"/>
      <c r="G8" s="4242"/>
      <c r="H8" s="4252"/>
      <c r="I8" s="4252"/>
      <c r="J8" s="3334" t="s">
        <v>2264</v>
      </c>
      <c r="K8" s="3334" t="s">
        <v>2327</v>
      </c>
      <c r="L8" s="3334" t="s">
        <v>2332</v>
      </c>
      <c r="M8" s="3334" t="s">
        <v>2265</v>
      </c>
      <c r="N8" s="3334" t="s">
        <v>2267</v>
      </c>
      <c r="O8" s="3334" t="s">
        <v>2333</v>
      </c>
      <c r="P8" s="3334" t="s">
        <v>2328</v>
      </c>
      <c r="Q8" s="3334" t="s">
        <v>2268</v>
      </c>
      <c r="R8" s="3334" t="s">
        <v>2269</v>
      </c>
      <c r="S8" s="3862" t="s">
        <v>2270</v>
      </c>
      <c r="T8" s="3862" t="s">
        <v>2271</v>
      </c>
      <c r="U8" s="4252"/>
      <c r="V8" s="4248"/>
      <c r="W8" s="4248"/>
      <c r="X8" s="4248"/>
      <c r="Y8" s="4252"/>
      <c r="Z8" s="4248"/>
      <c r="AA8" s="4248"/>
      <c r="AB8" s="4248"/>
      <c r="AC8" s="3863"/>
    </row>
    <row r="9" spans="1:31" s="3267" customFormat="1" ht="15.75" customHeight="1">
      <c r="A9" s="3864" t="s">
        <v>2272</v>
      </c>
      <c r="B9" s="3852"/>
      <c r="C9" s="3852"/>
      <c r="D9" s="3852"/>
      <c r="E9" s="3852"/>
      <c r="F9" s="3852"/>
      <c r="G9" s="3852"/>
      <c r="H9" s="3852"/>
      <c r="I9" s="3852"/>
      <c r="J9" s="3852"/>
      <c r="K9" s="3852"/>
      <c r="L9" s="3852"/>
      <c r="M9" s="3852"/>
      <c r="N9" s="3852"/>
      <c r="O9" s="3852"/>
      <c r="P9" s="3852"/>
      <c r="Q9" s="3852"/>
      <c r="R9" s="3852"/>
      <c r="S9" s="3852"/>
      <c r="T9" s="3852"/>
      <c r="U9" s="3852"/>
      <c r="V9" s="3852"/>
      <c r="W9" s="3852"/>
      <c r="X9" s="3852"/>
      <c r="Y9" s="3852"/>
      <c r="Z9" s="3852"/>
      <c r="AA9" s="3852"/>
      <c r="AB9" s="3852"/>
      <c r="AC9" s="3264"/>
      <c r="AE9" s="3266"/>
    </row>
    <row r="10" spans="1:31" s="3267" customFormat="1" ht="13.8">
      <c r="A10" s="3263">
        <v>1</v>
      </c>
      <c r="B10" s="3262" t="s">
        <v>2329</v>
      </c>
      <c r="C10" s="3046">
        <v>6</v>
      </c>
      <c r="D10" s="3046">
        <v>2.3199999999999998</v>
      </c>
      <c r="E10" s="3046">
        <v>4</v>
      </c>
      <c r="F10" s="3046" t="s">
        <v>2913</v>
      </c>
      <c r="G10" s="3046">
        <v>1</v>
      </c>
      <c r="H10" s="2214">
        <v>22097</v>
      </c>
      <c r="I10" s="2214">
        <v>4419.4000000000005</v>
      </c>
      <c r="J10" s="2214">
        <v>3150</v>
      </c>
      <c r="K10" s="2214">
        <v>1520</v>
      </c>
      <c r="L10" s="2214"/>
      <c r="M10" s="2214">
        <v>2210</v>
      </c>
      <c r="N10" s="2214"/>
      <c r="O10" s="2214"/>
      <c r="P10" s="2214"/>
      <c r="Q10" s="2214"/>
      <c r="R10" s="2214"/>
      <c r="S10" s="2214"/>
      <c r="T10" s="2214"/>
      <c r="U10" s="2214">
        <v>22097</v>
      </c>
      <c r="V10" s="2214">
        <v>4419.4000000000005</v>
      </c>
      <c r="W10" s="2214">
        <v>6880</v>
      </c>
      <c r="X10" s="2214">
        <v>33396.400000000001</v>
      </c>
      <c r="Y10" s="2216">
        <v>265.16399999999999</v>
      </c>
      <c r="Z10" s="2216">
        <v>53.032800000000009</v>
      </c>
      <c r="AA10" s="2216">
        <v>82.56</v>
      </c>
      <c r="AB10" s="2216">
        <v>400.7568</v>
      </c>
      <c r="AC10" s="3264">
        <v>82.56</v>
      </c>
      <c r="AD10" s="3265">
        <v>33396.400000000001</v>
      </c>
      <c r="AE10" s="3266"/>
    </row>
    <row r="11" spans="1:31" s="3267" customFormat="1" ht="13.8">
      <c r="A11" s="3263">
        <v>2</v>
      </c>
      <c r="B11" s="3262" t="s">
        <v>2329</v>
      </c>
      <c r="C11" s="3046">
        <v>8</v>
      </c>
      <c r="D11" s="3046">
        <v>2.87</v>
      </c>
      <c r="E11" s="3046">
        <v>5</v>
      </c>
      <c r="F11" s="3046" t="s">
        <v>2913</v>
      </c>
      <c r="G11" s="3046">
        <v>3</v>
      </c>
      <c r="H11" s="2214">
        <v>24992</v>
      </c>
      <c r="I11" s="2214">
        <v>4998.4000000000005</v>
      </c>
      <c r="J11" s="2214">
        <v>3450</v>
      </c>
      <c r="K11" s="2214">
        <v>1520</v>
      </c>
      <c r="L11" s="2214"/>
      <c r="M11" s="2214">
        <v>2499</v>
      </c>
      <c r="N11" s="2214"/>
      <c r="O11" s="2214"/>
      <c r="P11" s="2214"/>
      <c r="Q11" s="2214">
        <v>6000</v>
      </c>
      <c r="R11" s="2214"/>
      <c r="S11" s="2214"/>
      <c r="T11" s="2214"/>
      <c r="U11" s="2214">
        <v>74976</v>
      </c>
      <c r="V11" s="2214">
        <v>14995.2</v>
      </c>
      <c r="W11" s="2214">
        <v>40407</v>
      </c>
      <c r="X11" s="2214">
        <v>130379.20000000001</v>
      </c>
      <c r="Y11" s="2216">
        <v>899.71199999999999</v>
      </c>
      <c r="Z11" s="2216">
        <v>179.94240000000002</v>
      </c>
      <c r="AA11" s="2216">
        <v>484.88399999999996</v>
      </c>
      <c r="AB11" s="2216">
        <v>1564.5383999999999</v>
      </c>
      <c r="AC11" s="3264">
        <v>484.88399999999996</v>
      </c>
      <c r="AD11" s="3265">
        <v>130378.2</v>
      </c>
      <c r="AE11" s="3266"/>
    </row>
    <row r="12" spans="1:31" s="3267" customFormat="1" ht="13.8">
      <c r="A12" s="3263">
        <v>3</v>
      </c>
      <c r="B12" s="3262" t="s">
        <v>2329</v>
      </c>
      <c r="C12" s="3046">
        <v>10</v>
      </c>
      <c r="D12" s="3046">
        <v>3.48</v>
      </c>
      <c r="E12" s="3046">
        <v>6</v>
      </c>
      <c r="F12" s="3046" t="s">
        <v>2913</v>
      </c>
      <c r="G12" s="3046">
        <v>3</v>
      </c>
      <c r="H12" s="2214">
        <v>28193</v>
      </c>
      <c r="I12" s="2214">
        <v>5638.6</v>
      </c>
      <c r="J12" s="2214">
        <v>3800</v>
      </c>
      <c r="K12" s="2214">
        <v>1520</v>
      </c>
      <c r="L12" s="2214"/>
      <c r="M12" s="2214">
        <v>2819</v>
      </c>
      <c r="N12" s="2214"/>
      <c r="O12" s="2214">
        <v>2783</v>
      </c>
      <c r="P12" s="2214"/>
      <c r="Q12" s="2214">
        <v>7350</v>
      </c>
      <c r="R12" s="2214"/>
      <c r="S12" s="2214"/>
      <c r="T12" s="2214"/>
      <c r="U12" s="2214">
        <v>84579</v>
      </c>
      <c r="V12" s="2214">
        <v>16915.800000000003</v>
      </c>
      <c r="W12" s="2214">
        <v>54816</v>
      </c>
      <c r="X12" s="2214">
        <v>156311.79999999999</v>
      </c>
      <c r="Y12" s="2216">
        <v>1014.9479999999999</v>
      </c>
      <c r="Z12" s="2216">
        <v>202.98960000000005</v>
      </c>
      <c r="AA12" s="2216">
        <v>657.79200000000003</v>
      </c>
      <c r="AB12" s="2216">
        <v>1875.7296000000001</v>
      </c>
      <c r="AC12" s="3264">
        <v>657.79200000000003</v>
      </c>
      <c r="AD12" s="3265">
        <v>156310.79999999999</v>
      </c>
    </row>
    <row r="13" spans="1:31" s="3267" customFormat="1" ht="13.8">
      <c r="A13" s="3263">
        <v>4</v>
      </c>
      <c r="B13" s="3262" t="s">
        <v>2329</v>
      </c>
      <c r="C13" s="3046">
        <v>6</v>
      </c>
      <c r="D13" s="3046">
        <v>2.3199999999999998</v>
      </c>
      <c r="E13" s="3046">
        <v>4</v>
      </c>
      <c r="F13" s="3046" t="s">
        <v>2914</v>
      </c>
      <c r="G13" s="3046">
        <v>2</v>
      </c>
      <c r="H13" s="2214">
        <v>22097</v>
      </c>
      <c r="I13" s="2214">
        <v>4419</v>
      </c>
      <c r="J13" s="2214">
        <v>2400</v>
      </c>
      <c r="K13" s="2214"/>
      <c r="L13" s="2214"/>
      <c r="M13" s="2214">
        <v>2210</v>
      </c>
      <c r="N13" s="2214"/>
      <c r="O13" s="2214"/>
      <c r="P13" s="2214"/>
      <c r="Q13" s="2214"/>
      <c r="R13" s="2214"/>
      <c r="S13" s="2214"/>
      <c r="T13" s="2214"/>
      <c r="U13" s="2214">
        <v>44194</v>
      </c>
      <c r="V13" s="2214">
        <v>8838</v>
      </c>
      <c r="W13" s="2214">
        <v>9220</v>
      </c>
      <c r="X13" s="2214">
        <v>62252</v>
      </c>
      <c r="Y13" s="2216">
        <v>530.32799999999997</v>
      </c>
      <c r="Z13" s="2216">
        <v>106.05599999999998</v>
      </c>
      <c r="AA13" s="2216">
        <v>110.64000000000001</v>
      </c>
      <c r="AB13" s="2216">
        <v>747.024</v>
      </c>
      <c r="AC13" s="3264">
        <v>110.64000000000001</v>
      </c>
      <c r="AD13" s="3265">
        <v>62252</v>
      </c>
      <c r="AE13" s="3266"/>
    </row>
    <row r="14" spans="1:31" s="3267" customFormat="1" ht="13.8">
      <c r="A14" s="3263">
        <v>5</v>
      </c>
      <c r="B14" s="3262" t="s">
        <v>2329</v>
      </c>
      <c r="C14" s="3046">
        <v>8</v>
      </c>
      <c r="D14" s="3046">
        <v>2.87</v>
      </c>
      <c r="E14" s="3046">
        <v>5</v>
      </c>
      <c r="F14" s="3046" t="s">
        <v>2914</v>
      </c>
      <c r="G14" s="3046">
        <v>3</v>
      </c>
      <c r="H14" s="2214">
        <v>24992</v>
      </c>
      <c r="I14" s="2214">
        <v>4998.4000000000005</v>
      </c>
      <c r="J14" s="2214">
        <v>3200</v>
      </c>
      <c r="K14" s="2214"/>
      <c r="L14" s="2214"/>
      <c r="M14" s="2214">
        <v>2499.2000000000003</v>
      </c>
      <c r="N14" s="2214"/>
      <c r="O14" s="2214"/>
      <c r="P14" s="2214"/>
      <c r="Q14" s="2214">
        <v>6000</v>
      </c>
      <c r="R14" s="2214"/>
      <c r="S14" s="2214"/>
      <c r="T14" s="2214"/>
      <c r="U14" s="2214">
        <v>74976</v>
      </c>
      <c r="V14" s="2214">
        <v>14995.2</v>
      </c>
      <c r="W14" s="2214">
        <v>35097.600000000006</v>
      </c>
      <c r="X14" s="2214">
        <v>125068.79999999999</v>
      </c>
      <c r="Y14" s="2216">
        <v>899.71199999999999</v>
      </c>
      <c r="Z14" s="2216">
        <v>179.94240000000002</v>
      </c>
      <c r="AA14" s="2216">
        <v>421.17120000000011</v>
      </c>
      <c r="AB14" s="2216">
        <v>1500.8256000000001</v>
      </c>
      <c r="AC14" s="3264">
        <v>421.17120000000011</v>
      </c>
      <c r="AD14" s="3265">
        <v>125068.8</v>
      </c>
      <c r="AE14" s="3266"/>
    </row>
    <row r="15" spans="1:31" s="3267" customFormat="1" ht="13.8">
      <c r="A15" s="3263">
        <v>6</v>
      </c>
      <c r="B15" s="3262" t="s">
        <v>2329</v>
      </c>
      <c r="C15" s="3046">
        <v>10</v>
      </c>
      <c r="D15" s="3046">
        <v>3.48</v>
      </c>
      <c r="E15" s="3046">
        <v>6</v>
      </c>
      <c r="F15" s="3046" t="s">
        <v>2914</v>
      </c>
      <c r="G15" s="3046">
        <v>3</v>
      </c>
      <c r="H15" s="2214">
        <v>28193</v>
      </c>
      <c r="I15" s="2214">
        <v>5638.6</v>
      </c>
      <c r="J15" s="2214">
        <v>3500</v>
      </c>
      <c r="K15" s="2214"/>
      <c r="L15" s="2214"/>
      <c r="M15" s="2214">
        <v>2819</v>
      </c>
      <c r="N15" s="2214"/>
      <c r="O15" s="2214">
        <v>3180</v>
      </c>
      <c r="P15" s="2214"/>
      <c r="Q15" s="2214">
        <v>7350</v>
      </c>
      <c r="R15" s="2214"/>
      <c r="S15" s="2214"/>
      <c r="T15" s="2214"/>
      <c r="U15" s="2214">
        <v>84579</v>
      </c>
      <c r="V15" s="2214">
        <v>16915.800000000003</v>
      </c>
      <c r="W15" s="2214">
        <v>50547</v>
      </c>
      <c r="X15" s="2214">
        <v>152042.79999999999</v>
      </c>
      <c r="Y15" s="2216">
        <v>1014.9479999999999</v>
      </c>
      <c r="Z15" s="2216">
        <v>202.98960000000005</v>
      </c>
      <c r="AA15" s="2216">
        <v>606.56399999999996</v>
      </c>
      <c r="AB15" s="2216">
        <v>1824.5016000000001</v>
      </c>
      <c r="AC15" s="3264">
        <v>606.56399999999996</v>
      </c>
      <c r="AD15" s="3265">
        <v>152041.79999999999</v>
      </c>
      <c r="AE15" s="3266"/>
    </row>
    <row r="16" spans="1:31" s="3267" customFormat="1" ht="13.8">
      <c r="A16" s="3263">
        <v>7</v>
      </c>
      <c r="B16" s="3262" t="s">
        <v>2329</v>
      </c>
      <c r="C16" s="3046">
        <v>8</v>
      </c>
      <c r="D16" s="3046">
        <v>2.87</v>
      </c>
      <c r="E16" s="3046">
        <v>5</v>
      </c>
      <c r="F16" s="3046" t="s">
        <v>2280</v>
      </c>
      <c r="G16" s="3046">
        <v>6</v>
      </c>
      <c r="H16" s="2214">
        <v>24992</v>
      </c>
      <c r="I16" s="2214">
        <v>4998.4000000000005</v>
      </c>
      <c r="J16" s="2214">
        <v>1750</v>
      </c>
      <c r="K16" s="2214"/>
      <c r="L16" s="2214"/>
      <c r="M16" s="2214">
        <v>2499.2000000000003</v>
      </c>
      <c r="N16" s="2214"/>
      <c r="O16" s="2214"/>
      <c r="P16" s="2214">
        <v>3025</v>
      </c>
      <c r="Q16" s="2214"/>
      <c r="R16" s="2214"/>
      <c r="S16" s="2214"/>
      <c r="T16" s="2214"/>
      <c r="U16" s="2214">
        <v>149952</v>
      </c>
      <c r="V16" s="2214">
        <v>29990.400000000001</v>
      </c>
      <c r="W16" s="2214">
        <v>43645.200000000004</v>
      </c>
      <c r="X16" s="2214">
        <v>223587.59999999998</v>
      </c>
      <c r="Y16" s="2216">
        <v>1799.424</v>
      </c>
      <c r="Z16" s="2216">
        <v>359.88480000000004</v>
      </c>
      <c r="AA16" s="2216">
        <v>523.74240000000009</v>
      </c>
      <c r="AB16" s="2216">
        <v>2683.0511999999999</v>
      </c>
      <c r="AC16" s="3264">
        <v>523.74240000000009</v>
      </c>
      <c r="AD16" s="3265">
        <v>223587.6</v>
      </c>
      <c r="AE16" s="3266"/>
    </row>
    <row r="17" spans="1:31" s="3267" customFormat="1" ht="13.8">
      <c r="A17" s="3263">
        <v>8</v>
      </c>
      <c r="B17" s="3262" t="s">
        <v>2329</v>
      </c>
      <c r="C17" s="3046">
        <v>10</v>
      </c>
      <c r="D17" s="3046">
        <v>3.48</v>
      </c>
      <c r="E17" s="3046">
        <v>6</v>
      </c>
      <c r="F17" s="3046" t="s">
        <v>2280</v>
      </c>
      <c r="G17" s="3046">
        <v>1</v>
      </c>
      <c r="H17" s="2214">
        <v>28193</v>
      </c>
      <c r="I17" s="2214">
        <v>5638.6</v>
      </c>
      <c r="J17" s="2214">
        <v>2000</v>
      </c>
      <c r="K17" s="2214"/>
      <c r="L17" s="2214"/>
      <c r="M17" s="2214">
        <v>2819</v>
      </c>
      <c r="N17" s="2214"/>
      <c r="O17" s="2214">
        <v>2783</v>
      </c>
      <c r="P17" s="2214"/>
      <c r="Q17" s="2214"/>
      <c r="R17" s="2214"/>
      <c r="S17" s="2214"/>
      <c r="T17" s="2214"/>
      <c r="U17" s="2214">
        <v>28193</v>
      </c>
      <c r="V17" s="2214">
        <v>5638.6</v>
      </c>
      <c r="W17" s="2214">
        <v>7602</v>
      </c>
      <c r="X17" s="2214">
        <v>41433.599999999999</v>
      </c>
      <c r="Y17" s="2216">
        <v>338.31600000000003</v>
      </c>
      <c r="Z17" s="2216">
        <v>67.663200000000003</v>
      </c>
      <c r="AA17" s="2216">
        <v>91.224000000000004</v>
      </c>
      <c r="AB17" s="2216">
        <v>497.20320000000004</v>
      </c>
      <c r="AC17" s="3264">
        <v>91.224000000000004</v>
      </c>
      <c r="AD17" s="3265">
        <v>41433.599999999999</v>
      </c>
      <c r="AE17" s="3266"/>
    </row>
    <row r="18" spans="1:31" s="3267" customFormat="1" ht="17.399999999999999" customHeight="1">
      <c r="A18" s="3263">
        <v>9</v>
      </c>
      <c r="B18" s="3262" t="s">
        <v>2329</v>
      </c>
      <c r="C18" s="3046">
        <v>8</v>
      </c>
      <c r="D18" s="3046">
        <v>2.87</v>
      </c>
      <c r="E18" s="3046">
        <v>4</v>
      </c>
      <c r="F18" s="3046" t="s">
        <v>2905</v>
      </c>
      <c r="G18" s="3046">
        <v>4</v>
      </c>
      <c r="H18" s="2214">
        <v>22097</v>
      </c>
      <c r="I18" s="2214">
        <v>4419.4000000000005</v>
      </c>
      <c r="J18" s="2214">
        <v>2150</v>
      </c>
      <c r="K18" s="2214">
        <v>1520</v>
      </c>
      <c r="L18" s="2214"/>
      <c r="M18" s="2214">
        <v>2209.7000000000003</v>
      </c>
      <c r="N18" s="2214">
        <v>2807</v>
      </c>
      <c r="O18" s="2214"/>
      <c r="P18" s="2214">
        <v>1953</v>
      </c>
      <c r="Q18" s="2214">
        <v>2574</v>
      </c>
      <c r="R18" s="2214"/>
      <c r="S18" s="2214"/>
      <c r="T18" s="2214"/>
      <c r="U18" s="2214">
        <v>88388</v>
      </c>
      <c r="V18" s="2214">
        <v>17677.600000000002</v>
      </c>
      <c r="W18" s="2214">
        <v>52854.8</v>
      </c>
      <c r="X18" s="2214">
        <v>158920.40000000002</v>
      </c>
      <c r="Y18" s="2216">
        <v>1060.6559999999999</v>
      </c>
      <c r="Z18" s="2216">
        <v>212.13120000000004</v>
      </c>
      <c r="AA18" s="2216">
        <v>634.25760000000002</v>
      </c>
      <c r="AB18" s="2216">
        <v>1907.0448000000001</v>
      </c>
      <c r="AC18" s="3264">
        <v>634.25760000000002</v>
      </c>
      <c r="AD18" s="3265">
        <v>158920.40000000002</v>
      </c>
      <c r="AE18" s="3266"/>
    </row>
    <row r="19" spans="1:31" s="3267" customFormat="1" ht="13.8">
      <c r="A19" s="3263">
        <v>10</v>
      </c>
      <c r="B19" s="3262" t="s">
        <v>2329</v>
      </c>
      <c r="C19" s="3046">
        <v>9</v>
      </c>
      <c r="D19" s="3046">
        <v>3.25</v>
      </c>
      <c r="E19" s="3046">
        <v>5</v>
      </c>
      <c r="F19" s="3046" t="s">
        <v>2905</v>
      </c>
      <c r="G19" s="3046">
        <v>27</v>
      </c>
      <c r="H19" s="2214">
        <v>23872</v>
      </c>
      <c r="I19" s="2214">
        <v>4774.4000000000005</v>
      </c>
      <c r="J19" s="2214">
        <v>2900</v>
      </c>
      <c r="K19" s="2214">
        <v>1520</v>
      </c>
      <c r="L19" s="2214"/>
      <c r="M19" s="2214">
        <v>2387.2000000000003</v>
      </c>
      <c r="N19" s="2214">
        <v>2993</v>
      </c>
      <c r="O19" s="2214"/>
      <c r="P19" s="2214">
        <v>2153</v>
      </c>
      <c r="Q19" s="2214"/>
      <c r="R19" s="2214"/>
      <c r="S19" s="2214"/>
      <c r="T19" s="2214"/>
      <c r="U19" s="2214">
        <v>644544</v>
      </c>
      <c r="V19" s="2214">
        <v>128908.80000000002</v>
      </c>
      <c r="W19" s="2214">
        <v>322736.40000000002</v>
      </c>
      <c r="X19" s="2214">
        <v>1096189.2</v>
      </c>
      <c r="Y19" s="2216">
        <v>7734.5280000000002</v>
      </c>
      <c r="Z19" s="2216">
        <v>1546.9056</v>
      </c>
      <c r="AA19" s="2216">
        <v>3872.8368</v>
      </c>
      <c r="AB19" s="2216">
        <v>13154.270400000001</v>
      </c>
      <c r="AC19" s="3264">
        <v>3872.8368</v>
      </c>
      <c r="AD19" s="3265">
        <v>1096189.2000000002</v>
      </c>
      <c r="AE19" s="3266"/>
    </row>
    <row r="20" spans="1:31" s="3267" customFormat="1" ht="13.8">
      <c r="A20" s="3263">
        <v>11</v>
      </c>
      <c r="B20" s="3262" t="s">
        <v>2329</v>
      </c>
      <c r="C20" s="3046">
        <v>10</v>
      </c>
      <c r="D20" s="3046">
        <v>3.48</v>
      </c>
      <c r="E20" s="3046">
        <v>6</v>
      </c>
      <c r="F20" s="3046" t="s">
        <v>2905</v>
      </c>
      <c r="G20" s="3046">
        <v>4</v>
      </c>
      <c r="H20" s="2214">
        <v>26929</v>
      </c>
      <c r="I20" s="2214">
        <v>5385.8</v>
      </c>
      <c r="J20" s="2214">
        <v>3100</v>
      </c>
      <c r="K20" s="2214">
        <v>1520</v>
      </c>
      <c r="L20" s="2214"/>
      <c r="M20" s="2214">
        <v>2692.9</v>
      </c>
      <c r="N20" s="2214">
        <v>3360</v>
      </c>
      <c r="O20" s="2214">
        <v>3578</v>
      </c>
      <c r="P20" s="2214">
        <v>2625</v>
      </c>
      <c r="Q20" s="2214"/>
      <c r="R20" s="2214"/>
      <c r="S20" s="2214"/>
      <c r="T20" s="2214"/>
      <c r="U20" s="2214">
        <v>107716</v>
      </c>
      <c r="V20" s="2214">
        <v>21543.200000000001</v>
      </c>
      <c r="W20" s="2214">
        <v>67503.600000000006</v>
      </c>
      <c r="X20" s="2214">
        <v>196762.80000000002</v>
      </c>
      <c r="Y20" s="2216">
        <v>1292.5919999999999</v>
      </c>
      <c r="Z20" s="2216">
        <v>258.51840000000004</v>
      </c>
      <c r="AA20" s="2216">
        <v>810.04320000000007</v>
      </c>
      <c r="AB20" s="2216">
        <v>2361.1536000000001</v>
      </c>
      <c r="AC20" s="3264">
        <v>810.04320000000007</v>
      </c>
      <c r="AD20" s="3265">
        <v>196762.8</v>
      </c>
      <c r="AE20" s="3266"/>
    </row>
    <row r="21" spans="1:31" s="3267" customFormat="1" ht="13.8">
      <c r="A21" s="3263">
        <v>12</v>
      </c>
      <c r="B21" s="3262" t="s">
        <v>2329</v>
      </c>
      <c r="C21" s="3046">
        <v>6</v>
      </c>
      <c r="D21" s="3046">
        <v>2.3199999999999998</v>
      </c>
      <c r="E21" s="3046">
        <v>5</v>
      </c>
      <c r="F21" s="3046" t="s">
        <v>2915</v>
      </c>
      <c r="G21" s="3046">
        <v>3</v>
      </c>
      <c r="H21" s="2214">
        <v>24992</v>
      </c>
      <c r="I21" s="2214">
        <v>4998.4000000000005</v>
      </c>
      <c r="J21" s="2214"/>
      <c r="K21" s="2214">
        <v>1520</v>
      </c>
      <c r="L21" s="2214"/>
      <c r="M21" s="2214">
        <v>2499.2000000000003</v>
      </c>
      <c r="N21" s="2214"/>
      <c r="O21" s="2214"/>
      <c r="P21" s="2214">
        <v>2821</v>
      </c>
      <c r="Q21" s="2214">
        <v>3119</v>
      </c>
      <c r="R21" s="2214"/>
      <c r="S21" s="2214"/>
      <c r="T21" s="2214"/>
      <c r="U21" s="2214">
        <v>74976</v>
      </c>
      <c r="V21" s="2214">
        <v>14995.2</v>
      </c>
      <c r="W21" s="2214">
        <v>29877.600000000002</v>
      </c>
      <c r="X21" s="2214">
        <v>119848.79999999999</v>
      </c>
      <c r="Y21" s="2216">
        <v>899.71199999999999</v>
      </c>
      <c r="Z21" s="2216">
        <v>179.94240000000002</v>
      </c>
      <c r="AA21" s="2216">
        <v>358.53120000000001</v>
      </c>
      <c r="AB21" s="2216">
        <v>1438.1855999999998</v>
      </c>
      <c r="AC21" s="3264">
        <v>358.53120000000001</v>
      </c>
      <c r="AD21" s="3265">
        <v>119848.8</v>
      </c>
      <c r="AE21" s="3266"/>
    </row>
    <row r="22" spans="1:31" s="3267" customFormat="1" ht="13.8">
      <c r="A22" s="3263">
        <v>13</v>
      </c>
      <c r="B22" s="3262" t="s">
        <v>2329</v>
      </c>
      <c r="C22" s="3046">
        <v>10</v>
      </c>
      <c r="D22" s="3046">
        <v>3.48</v>
      </c>
      <c r="E22" s="3046">
        <v>6</v>
      </c>
      <c r="F22" s="3046" t="s">
        <v>2915</v>
      </c>
      <c r="G22" s="3046">
        <v>3</v>
      </c>
      <c r="H22" s="2214">
        <v>28193</v>
      </c>
      <c r="I22" s="2214">
        <v>5638.6</v>
      </c>
      <c r="J22" s="2214"/>
      <c r="K22" s="2214">
        <v>1520</v>
      </c>
      <c r="L22" s="2214"/>
      <c r="M22" s="2214">
        <v>2819.3</v>
      </c>
      <c r="N22" s="2214"/>
      <c r="O22" s="2214"/>
      <c r="P22" s="2214">
        <v>3150</v>
      </c>
      <c r="Q22" s="2214">
        <v>3675</v>
      </c>
      <c r="R22" s="2214"/>
      <c r="S22" s="2214"/>
      <c r="T22" s="2214"/>
      <c r="U22" s="2214">
        <v>84579</v>
      </c>
      <c r="V22" s="2214">
        <v>16915.800000000003</v>
      </c>
      <c r="W22" s="2214">
        <v>33492.899999999994</v>
      </c>
      <c r="X22" s="2214">
        <v>134987.70000000001</v>
      </c>
      <c r="Y22" s="2216">
        <v>1014.9479999999999</v>
      </c>
      <c r="Z22" s="2216">
        <v>202.98960000000005</v>
      </c>
      <c r="AA22" s="2216">
        <v>401.9147999999999</v>
      </c>
      <c r="AB22" s="2216">
        <v>1619.8523999999998</v>
      </c>
      <c r="AC22" s="3264">
        <v>401.9147999999999</v>
      </c>
      <c r="AD22" s="3265">
        <v>134987.70000000001</v>
      </c>
    </row>
    <row r="23" spans="1:31" s="3267" customFormat="1" ht="13.8">
      <c r="A23" s="3263">
        <v>14</v>
      </c>
      <c r="B23" s="3262" t="s">
        <v>2916</v>
      </c>
      <c r="C23" s="3046">
        <v>6</v>
      </c>
      <c r="D23" s="3046">
        <v>2.3199999999999998</v>
      </c>
      <c r="E23" s="3046"/>
      <c r="F23" s="3046" t="s">
        <v>2917</v>
      </c>
      <c r="G23" s="3046">
        <v>2</v>
      </c>
      <c r="H23" s="2214">
        <v>23906</v>
      </c>
      <c r="I23" s="2214">
        <v>4781.2</v>
      </c>
      <c r="J23" s="2214"/>
      <c r="K23" s="2214"/>
      <c r="L23" s="2214"/>
      <c r="M23" s="2214">
        <v>2390.6</v>
      </c>
      <c r="N23" s="2214"/>
      <c r="O23" s="2214"/>
      <c r="P23" s="2214"/>
      <c r="Q23" s="2214"/>
      <c r="R23" s="2214"/>
      <c r="S23" s="2214"/>
      <c r="T23" s="2214"/>
      <c r="U23" s="2214">
        <v>47812</v>
      </c>
      <c r="V23" s="2214">
        <v>9562.4</v>
      </c>
      <c r="W23" s="2214">
        <v>4781.2</v>
      </c>
      <c r="X23" s="2214">
        <v>62155.6</v>
      </c>
      <c r="Y23" s="2216">
        <v>573.74399999999991</v>
      </c>
      <c r="Z23" s="2216">
        <v>114.7488</v>
      </c>
      <c r="AA23" s="2216">
        <v>57.374400000000001</v>
      </c>
      <c r="AB23" s="2216">
        <v>745.86719999999991</v>
      </c>
      <c r="AC23" s="3264">
        <v>57.374400000000001</v>
      </c>
      <c r="AD23" s="3265">
        <v>62155.6</v>
      </c>
      <c r="AE23" s="3266"/>
    </row>
    <row r="24" spans="1:31" s="3267" customFormat="1" ht="13.8">
      <c r="A24" s="3263">
        <v>15</v>
      </c>
      <c r="B24" s="3262" t="s">
        <v>2918</v>
      </c>
      <c r="C24" s="3046">
        <v>4</v>
      </c>
      <c r="D24" s="3046">
        <v>1.72</v>
      </c>
      <c r="E24" s="3046"/>
      <c r="F24" s="3046" t="s">
        <v>2917</v>
      </c>
      <c r="G24" s="3046">
        <v>4</v>
      </c>
      <c r="H24" s="2214">
        <v>15400</v>
      </c>
      <c r="I24" s="2214">
        <v>3080</v>
      </c>
      <c r="J24" s="2214"/>
      <c r="K24" s="2214"/>
      <c r="L24" s="2214"/>
      <c r="M24" s="2214">
        <v>1540</v>
      </c>
      <c r="N24" s="2214"/>
      <c r="O24" s="2214"/>
      <c r="P24" s="2214"/>
      <c r="Q24" s="2214"/>
      <c r="R24" s="2214"/>
      <c r="S24" s="2214"/>
      <c r="T24" s="2214"/>
      <c r="U24" s="2214">
        <v>61600</v>
      </c>
      <c r="V24" s="2214">
        <v>12320</v>
      </c>
      <c r="W24" s="2214">
        <v>6160</v>
      </c>
      <c r="X24" s="2214">
        <v>80080</v>
      </c>
      <c r="Y24" s="2216">
        <v>739.2</v>
      </c>
      <c r="Z24" s="2216">
        <v>147.84</v>
      </c>
      <c r="AA24" s="2216">
        <v>73.92</v>
      </c>
      <c r="AB24" s="2216">
        <v>960.96</v>
      </c>
      <c r="AC24" s="3264">
        <v>73.92</v>
      </c>
      <c r="AD24" s="3265">
        <v>80080</v>
      </c>
      <c r="AE24" s="3266"/>
    </row>
    <row r="25" spans="1:31" s="3267" customFormat="1" ht="13.8">
      <c r="A25" s="3263">
        <v>16</v>
      </c>
      <c r="B25" s="3262" t="s">
        <v>2329</v>
      </c>
      <c r="C25" s="3046">
        <v>9</v>
      </c>
      <c r="D25" s="3046">
        <v>3.25</v>
      </c>
      <c r="E25" s="3046">
        <v>5</v>
      </c>
      <c r="F25" s="3046" t="s">
        <v>2919</v>
      </c>
      <c r="G25" s="3046">
        <v>2</v>
      </c>
      <c r="H25" s="2214">
        <v>24992</v>
      </c>
      <c r="I25" s="2214">
        <v>4998.4000000000005</v>
      </c>
      <c r="J25" s="2214"/>
      <c r="K25" s="2214"/>
      <c r="L25" s="2214"/>
      <c r="M25" s="2214">
        <v>2499.2000000000003</v>
      </c>
      <c r="N25" s="2214"/>
      <c r="O25" s="2214"/>
      <c r="P25" s="2214"/>
      <c r="Q25" s="2214">
        <v>3780</v>
      </c>
      <c r="R25" s="2214"/>
      <c r="S25" s="2214"/>
      <c r="T25" s="2214"/>
      <c r="U25" s="2214">
        <v>49984</v>
      </c>
      <c r="V25" s="2214">
        <v>9996.8000000000011</v>
      </c>
      <c r="W25" s="2214">
        <v>12558.400000000001</v>
      </c>
      <c r="X25" s="2214">
        <v>72539.200000000012</v>
      </c>
      <c r="Y25" s="2216">
        <v>599.80799999999999</v>
      </c>
      <c r="Z25" s="2216">
        <v>119.9616</v>
      </c>
      <c r="AA25" s="2216">
        <v>150.70080000000002</v>
      </c>
      <c r="AB25" s="2216">
        <v>870.47039999999993</v>
      </c>
      <c r="AC25" s="3264">
        <v>150.70080000000002</v>
      </c>
      <c r="AD25" s="3265">
        <v>72539.200000000012</v>
      </c>
      <c r="AE25" s="3266"/>
    </row>
    <row r="26" spans="1:31" s="3267" customFormat="1" ht="13.8">
      <c r="A26" s="3263">
        <v>17</v>
      </c>
      <c r="B26" s="3262" t="s">
        <v>2329</v>
      </c>
      <c r="C26" s="3046">
        <v>10</v>
      </c>
      <c r="D26" s="3046">
        <v>3.48</v>
      </c>
      <c r="E26" s="3046">
        <v>6</v>
      </c>
      <c r="F26" s="3046" t="s">
        <v>2919</v>
      </c>
      <c r="G26" s="3046">
        <v>1</v>
      </c>
      <c r="H26" s="2214">
        <v>28193</v>
      </c>
      <c r="I26" s="2214">
        <v>5638.6</v>
      </c>
      <c r="J26" s="2214"/>
      <c r="K26" s="2214"/>
      <c r="L26" s="2214"/>
      <c r="M26" s="2214">
        <v>2819.3</v>
      </c>
      <c r="N26" s="2214"/>
      <c r="O26" s="2214"/>
      <c r="P26" s="2214"/>
      <c r="Q26" s="2214">
        <v>4200</v>
      </c>
      <c r="R26" s="2214"/>
      <c r="S26" s="2214"/>
      <c r="T26" s="2214"/>
      <c r="U26" s="2214">
        <v>28193</v>
      </c>
      <c r="V26" s="2214">
        <v>5638.6</v>
      </c>
      <c r="W26" s="2214">
        <v>7019.3</v>
      </c>
      <c r="X26" s="2214">
        <v>40850.9</v>
      </c>
      <c r="Y26" s="2216">
        <v>338.31600000000003</v>
      </c>
      <c r="Z26" s="2216">
        <v>67.663200000000003</v>
      </c>
      <c r="AA26" s="2216">
        <v>84.2316</v>
      </c>
      <c r="AB26" s="2216">
        <v>490.21080000000006</v>
      </c>
      <c r="AC26" s="3264">
        <v>84.2316</v>
      </c>
      <c r="AD26" s="3265">
        <v>40850.9</v>
      </c>
      <c r="AE26" s="3266"/>
    </row>
    <row r="27" spans="1:31" s="3267" customFormat="1" ht="27.6">
      <c r="A27" s="3263">
        <v>18</v>
      </c>
      <c r="B27" s="3262" t="s">
        <v>2329</v>
      </c>
      <c r="C27" s="3046">
        <v>8</v>
      </c>
      <c r="D27" s="3046">
        <v>2.87</v>
      </c>
      <c r="E27" s="3046">
        <v>4</v>
      </c>
      <c r="F27" s="3046" t="s">
        <v>2920</v>
      </c>
      <c r="G27" s="3046">
        <v>1</v>
      </c>
      <c r="H27" s="2214">
        <v>24992</v>
      </c>
      <c r="I27" s="2214">
        <v>4998.4000000000005</v>
      </c>
      <c r="J27" s="2214"/>
      <c r="K27" s="2214">
        <v>1520</v>
      </c>
      <c r="L27" s="2214"/>
      <c r="M27" s="2214">
        <v>2499.2000000000003</v>
      </c>
      <c r="N27" s="2214"/>
      <c r="O27" s="2214"/>
      <c r="P27" s="2214"/>
      <c r="Q27" s="2214"/>
      <c r="R27" s="2214"/>
      <c r="S27" s="2214"/>
      <c r="T27" s="2214"/>
      <c r="U27" s="2214">
        <v>24992</v>
      </c>
      <c r="V27" s="2214">
        <v>4998.4000000000005</v>
      </c>
      <c r="W27" s="2214">
        <v>4019.2000000000003</v>
      </c>
      <c r="X27" s="2214">
        <v>34009.599999999999</v>
      </c>
      <c r="Y27" s="2216">
        <v>299.904</v>
      </c>
      <c r="Z27" s="2216">
        <v>59.980800000000002</v>
      </c>
      <c r="AA27" s="2216">
        <v>48.230400000000003</v>
      </c>
      <c r="AB27" s="2216">
        <v>408.11519999999996</v>
      </c>
      <c r="AC27" s="3264">
        <v>48.230400000000003</v>
      </c>
      <c r="AD27" s="3265">
        <v>34009.599999999999</v>
      </c>
      <c r="AE27" s="3266"/>
    </row>
    <row r="28" spans="1:31" s="3267" customFormat="1" ht="27.6">
      <c r="A28" s="3263">
        <f>A27+1</f>
        <v>19</v>
      </c>
      <c r="B28" s="3262" t="s">
        <v>2329</v>
      </c>
      <c r="C28" s="3046">
        <v>9</v>
      </c>
      <c r="D28" s="3046">
        <v>3.25</v>
      </c>
      <c r="E28" s="3046">
        <v>5</v>
      </c>
      <c r="F28" s="3046" t="s">
        <v>2920</v>
      </c>
      <c r="G28" s="3046">
        <v>1</v>
      </c>
      <c r="H28" s="2214">
        <v>28193</v>
      </c>
      <c r="I28" s="2214">
        <v>5638.6</v>
      </c>
      <c r="J28" s="2214"/>
      <c r="K28" s="2214">
        <v>1520</v>
      </c>
      <c r="L28" s="2214"/>
      <c r="M28" s="2214">
        <v>2819.3</v>
      </c>
      <c r="N28" s="2214"/>
      <c r="O28" s="2214"/>
      <c r="P28" s="2214"/>
      <c r="Q28" s="2214">
        <v>4440</v>
      </c>
      <c r="R28" s="2214"/>
      <c r="S28" s="2214"/>
      <c r="T28" s="2214"/>
      <c r="U28" s="2214">
        <v>28193</v>
      </c>
      <c r="V28" s="2214">
        <v>5638.6</v>
      </c>
      <c r="W28" s="2214">
        <v>8779.2999999999993</v>
      </c>
      <c r="X28" s="2214">
        <v>42610.9</v>
      </c>
      <c r="Y28" s="2216">
        <v>338.31600000000003</v>
      </c>
      <c r="Z28" s="2216">
        <v>67.663200000000003</v>
      </c>
      <c r="AA28" s="2216">
        <v>105.35159999999999</v>
      </c>
      <c r="AB28" s="2216">
        <v>511.33080000000007</v>
      </c>
      <c r="AC28" s="3264">
        <v>105.35159999999999</v>
      </c>
      <c r="AD28" s="3265">
        <v>42610.899999999994</v>
      </c>
      <c r="AE28" s="3266"/>
    </row>
    <row r="29" spans="1:31" s="3267" customFormat="1" ht="13.8">
      <c r="A29" s="3263">
        <f t="shared" ref="A29:A32" si="0">A28+1</f>
        <v>20</v>
      </c>
      <c r="B29" s="3262" t="s">
        <v>2329</v>
      </c>
      <c r="C29" s="3046">
        <v>8</v>
      </c>
      <c r="D29" s="3046">
        <v>2.87</v>
      </c>
      <c r="E29" s="3046">
        <v>4</v>
      </c>
      <c r="F29" s="3046" t="s">
        <v>2907</v>
      </c>
      <c r="G29" s="3046">
        <v>5</v>
      </c>
      <c r="H29" s="2214">
        <v>22097</v>
      </c>
      <c r="I29" s="2214">
        <v>4419.4000000000005</v>
      </c>
      <c r="J29" s="2214"/>
      <c r="K29" s="2214">
        <v>1520</v>
      </c>
      <c r="L29" s="2214"/>
      <c r="M29" s="2214">
        <v>2209.7000000000003</v>
      </c>
      <c r="N29" s="2214">
        <v>2558</v>
      </c>
      <c r="O29" s="2214"/>
      <c r="P29" s="2214">
        <v>1444</v>
      </c>
      <c r="Q29" s="2214"/>
      <c r="R29" s="2214"/>
      <c r="S29" s="2214"/>
      <c r="T29" s="2214"/>
      <c r="U29" s="2214">
        <v>110485</v>
      </c>
      <c r="V29" s="2214">
        <v>22097.000000000004</v>
      </c>
      <c r="W29" s="2214">
        <v>38658.5</v>
      </c>
      <c r="X29" s="2214">
        <v>171240.50000000003</v>
      </c>
      <c r="Y29" s="2216">
        <v>1325.82</v>
      </c>
      <c r="Z29" s="2216">
        <v>265.16400000000004</v>
      </c>
      <c r="AA29" s="2216">
        <v>463.90199999999993</v>
      </c>
      <c r="AB29" s="2216">
        <v>2054.886</v>
      </c>
      <c r="AC29" s="3264">
        <v>463.90199999999993</v>
      </c>
      <c r="AD29" s="3265">
        <v>171240.5</v>
      </c>
      <c r="AE29" s="3266"/>
    </row>
    <row r="30" spans="1:31" s="3267" customFormat="1" ht="13.8">
      <c r="A30" s="3263">
        <f t="shared" si="0"/>
        <v>21</v>
      </c>
      <c r="B30" s="3262" t="s">
        <v>2329</v>
      </c>
      <c r="C30" s="3046">
        <v>9</v>
      </c>
      <c r="D30" s="3046">
        <v>3.25</v>
      </c>
      <c r="E30" s="3046">
        <v>5</v>
      </c>
      <c r="F30" s="3046" t="s">
        <v>2907</v>
      </c>
      <c r="G30" s="3046">
        <v>6</v>
      </c>
      <c r="H30" s="2214">
        <v>24992</v>
      </c>
      <c r="I30" s="2214">
        <v>4998.4000000000005</v>
      </c>
      <c r="J30" s="2214"/>
      <c r="K30" s="2214">
        <v>1520</v>
      </c>
      <c r="L30" s="2214"/>
      <c r="M30" s="2214">
        <v>2499.2000000000003</v>
      </c>
      <c r="N30" s="2214">
        <v>2940</v>
      </c>
      <c r="O30" s="2214"/>
      <c r="P30" s="2214">
        <v>1785</v>
      </c>
      <c r="Q30" s="2214"/>
      <c r="R30" s="2214"/>
      <c r="S30" s="2214"/>
      <c r="T30" s="2214"/>
      <c r="U30" s="2214">
        <v>149952</v>
      </c>
      <c r="V30" s="2214">
        <v>29990.400000000001</v>
      </c>
      <c r="W30" s="2214">
        <v>52465.200000000004</v>
      </c>
      <c r="X30" s="2214">
        <v>232407.59999999998</v>
      </c>
      <c r="Y30" s="2216">
        <v>1799.424</v>
      </c>
      <c r="Z30" s="2216">
        <v>359.88480000000004</v>
      </c>
      <c r="AA30" s="2216">
        <v>629.58240000000001</v>
      </c>
      <c r="AB30" s="2216">
        <v>2788.8912</v>
      </c>
      <c r="AC30" s="3264">
        <v>629.58240000000001</v>
      </c>
      <c r="AD30" s="3265">
        <v>232407.6</v>
      </c>
      <c r="AE30" s="3266"/>
    </row>
    <row r="31" spans="1:31" s="3267" customFormat="1" ht="13.8">
      <c r="A31" s="3263">
        <f t="shared" si="0"/>
        <v>22</v>
      </c>
      <c r="B31" s="3262" t="s">
        <v>2329</v>
      </c>
      <c r="C31" s="3046">
        <v>10</v>
      </c>
      <c r="D31" s="3046">
        <v>3.48</v>
      </c>
      <c r="E31" s="3046">
        <v>6</v>
      </c>
      <c r="F31" s="3046" t="s">
        <v>2907</v>
      </c>
      <c r="G31" s="3046">
        <v>7</v>
      </c>
      <c r="H31" s="2214">
        <v>28193</v>
      </c>
      <c r="I31" s="2214">
        <v>5638.6</v>
      </c>
      <c r="J31" s="2214"/>
      <c r="K31" s="2214">
        <v>1520</v>
      </c>
      <c r="L31" s="2214"/>
      <c r="M31" s="2214">
        <v>2819.3</v>
      </c>
      <c r="N31" s="2214">
        <v>3360</v>
      </c>
      <c r="O31" s="2214"/>
      <c r="P31" s="2214">
        <v>1890</v>
      </c>
      <c r="Q31" s="2214">
        <v>1142</v>
      </c>
      <c r="R31" s="2214"/>
      <c r="S31" s="2214"/>
      <c r="T31" s="2214"/>
      <c r="U31" s="2214">
        <v>197351</v>
      </c>
      <c r="V31" s="2214">
        <v>39470.200000000004</v>
      </c>
      <c r="W31" s="2214">
        <v>75119.099999999991</v>
      </c>
      <c r="X31" s="2214">
        <v>311940.3</v>
      </c>
      <c r="Y31" s="2216">
        <v>2368.212</v>
      </c>
      <c r="Z31" s="2216">
        <v>473.64240000000007</v>
      </c>
      <c r="AA31" s="2216">
        <v>901.42919999999981</v>
      </c>
      <c r="AB31" s="2216">
        <v>3743.2835999999998</v>
      </c>
      <c r="AC31" s="3264">
        <v>901.42919999999981</v>
      </c>
      <c r="AD31" s="3265">
        <v>311940.3</v>
      </c>
      <c r="AE31" s="3266"/>
    </row>
    <row r="32" spans="1:31" s="3267" customFormat="1" ht="13.8">
      <c r="A32" s="3263">
        <f t="shared" si="0"/>
        <v>23</v>
      </c>
      <c r="B32" s="3262" t="s">
        <v>2329</v>
      </c>
      <c r="C32" s="3046">
        <v>9</v>
      </c>
      <c r="D32" s="3046">
        <v>3.25</v>
      </c>
      <c r="E32" s="3046">
        <v>5</v>
      </c>
      <c r="F32" s="3046" t="s">
        <v>2921</v>
      </c>
      <c r="G32" s="3046">
        <v>2</v>
      </c>
      <c r="H32" s="2214">
        <v>24992</v>
      </c>
      <c r="I32" s="2214">
        <v>4998.4000000000005</v>
      </c>
      <c r="J32" s="2214"/>
      <c r="K32" s="2214">
        <v>1520</v>
      </c>
      <c r="L32" s="2214"/>
      <c r="M32" s="2214">
        <v>2499.2000000000003</v>
      </c>
      <c r="N32" s="2214"/>
      <c r="O32" s="2214"/>
      <c r="P32" s="2214"/>
      <c r="Q32" s="2214"/>
      <c r="R32" s="2214"/>
      <c r="S32" s="2214"/>
      <c r="T32" s="2214"/>
      <c r="U32" s="2214">
        <v>49984</v>
      </c>
      <c r="V32" s="2214">
        <v>9996.8000000000011</v>
      </c>
      <c r="W32" s="2214">
        <v>8038.4000000000005</v>
      </c>
      <c r="X32" s="2214">
        <v>68019.199999999997</v>
      </c>
      <c r="Y32" s="2216">
        <v>599.80799999999999</v>
      </c>
      <c r="Z32" s="2216">
        <v>119.9616</v>
      </c>
      <c r="AA32" s="2216">
        <v>96.460800000000006</v>
      </c>
      <c r="AB32" s="2216">
        <v>816.23039999999992</v>
      </c>
      <c r="AC32" s="3264">
        <v>96.460800000000006</v>
      </c>
      <c r="AD32" s="3265">
        <v>68019.199999999997</v>
      </c>
      <c r="AE32" s="3266"/>
    </row>
    <row r="33" spans="1:31" s="3267" customFormat="1" ht="21" customHeight="1">
      <c r="A33" s="3046"/>
      <c r="B33" s="4246" t="s">
        <v>2325</v>
      </c>
      <c r="C33" s="3865">
        <v>8.5319148936170208</v>
      </c>
      <c r="D33" s="3865">
        <v>2.7632081183605566</v>
      </c>
      <c r="E33" s="3046"/>
      <c r="F33" s="3046"/>
      <c r="G33" s="3270">
        <v>94</v>
      </c>
      <c r="H33" s="2214"/>
      <c r="I33" s="2214"/>
      <c r="J33" s="2214"/>
      <c r="K33" s="2214"/>
      <c r="L33" s="2214"/>
      <c r="M33" s="2214"/>
      <c r="N33" s="2214"/>
      <c r="O33" s="2214"/>
      <c r="P33" s="2214"/>
      <c r="Q33" s="2214"/>
      <c r="R33" s="2214"/>
      <c r="S33" s="2214"/>
      <c r="T33" s="2214"/>
      <c r="U33" s="2214">
        <v>2312295</v>
      </c>
      <c r="V33" s="2214">
        <v>462458.20000000007</v>
      </c>
      <c r="W33" s="2214">
        <v>972278.7</v>
      </c>
      <c r="X33" s="2214">
        <v>3747034.9</v>
      </c>
      <c r="Y33" s="2216">
        <v>27747.539999999997</v>
      </c>
      <c r="Z33" s="2216">
        <v>5549.4983999999986</v>
      </c>
      <c r="AA33" s="2216">
        <v>11667.344400000002</v>
      </c>
      <c r="AB33" s="2216">
        <v>44964.382800000007</v>
      </c>
      <c r="AC33" s="3853">
        <v>11667.344400000002</v>
      </c>
      <c r="AD33" s="3265">
        <v>3747031.9000000004</v>
      </c>
      <c r="AE33" s="3266"/>
    </row>
    <row r="34" spans="1:31" s="3267" customFormat="1" ht="21" customHeight="1">
      <c r="A34" s="3046"/>
      <c r="B34" s="4247"/>
      <c r="C34" s="3046"/>
      <c r="D34" s="3046"/>
      <c r="E34" s="3046"/>
      <c r="F34" s="3046"/>
      <c r="G34" s="3046"/>
      <c r="H34" s="2214"/>
      <c r="I34" s="2214"/>
      <c r="J34" s="2214"/>
      <c r="K34" s="2214"/>
      <c r="L34" s="2214"/>
      <c r="M34" s="2214"/>
      <c r="N34" s="2214"/>
      <c r="O34" s="2214"/>
      <c r="P34" s="2214"/>
      <c r="Q34" s="2214"/>
      <c r="R34" s="2214"/>
      <c r="S34" s="2214"/>
      <c r="T34" s="2214"/>
      <c r="U34" s="2214"/>
      <c r="V34" s="2214"/>
      <c r="W34" s="2214"/>
      <c r="X34" s="3048"/>
      <c r="Y34" s="3049" t="s">
        <v>2844</v>
      </c>
      <c r="Z34" s="3050">
        <v>19.999965402338365</v>
      </c>
      <c r="AA34" s="3050">
        <v>42.048211841482171</v>
      </c>
      <c r="AB34" s="2216"/>
      <c r="AC34" s="3853">
        <v>23252.128800000006</v>
      </c>
      <c r="AD34" s="3265">
        <v>0</v>
      </c>
      <c r="AE34" s="3266"/>
    </row>
    <row r="35" spans="1:31" s="3267" customFormat="1" ht="13.8">
      <c r="A35" s="3864" t="s">
        <v>2283</v>
      </c>
      <c r="B35" s="3866"/>
      <c r="C35" s="3867"/>
      <c r="D35" s="3867"/>
      <c r="E35" s="3867"/>
      <c r="F35" s="3868"/>
      <c r="G35" s="3868"/>
      <c r="H35" s="3852"/>
      <c r="I35" s="3852"/>
      <c r="J35" s="3852"/>
      <c r="K35" s="3852"/>
      <c r="L35" s="3852"/>
      <c r="M35" s="3852"/>
      <c r="N35" s="3852"/>
      <c r="O35" s="3852"/>
      <c r="P35" s="3852"/>
      <c r="Q35" s="3852"/>
      <c r="R35" s="3852"/>
      <c r="S35" s="3852"/>
      <c r="T35" s="3852"/>
      <c r="U35" s="3852"/>
      <c r="V35" s="3852"/>
      <c r="W35" s="3852"/>
      <c r="X35" s="3852"/>
      <c r="Y35" s="3852"/>
      <c r="Z35" s="3852"/>
      <c r="AA35" s="3852"/>
      <c r="AB35" s="3852"/>
      <c r="AC35" s="3264"/>
      <c r="AD35" s="3265">
        <v>0</v>
      </c>
      <c r="AE35" s="3266"/>
    </row>
    <row r="36" spans="1:31" s="3267" customFormat="1" ht="13.8">
      <c r="A36" s="3263">
        <v>1</v>
      </c>
      <c r="B36" s="3262" t="s">
        <v>2284</v>
      </c>
      <c r="C36" s="3046">
        <v>14</v>
      </c>
      <c r="D36" s="3046">
        <v>4.8899999999999997</v>
      </c>
      <c r="E36" s="3046"/>
      <c r="F36" s="3046"/>
      <c r="G36" s="3046">
        <v>1</v>
      </c>
      <c r="H36" s="2214">
        <v>44600</v>
      </c>
      <c r="I36" s="2214">
        <v>13380</v>
      </c>
      <c r="J36" s="2214"/>
      <c r="K36" s="2214"/>
      <c r="L36" s="2214"/>
      <c r="M36" s="2214">
        <v>4460</v>
      </c>
      <c r="N36" s="2214"/>
      <c r="O36" s="2214"/>
      <c r="P36" s="2214"/>
      <c r="Q36" s="2214"/>
      <c r="R36" s="2214"/>
      <c r="S36" s="2214"/>
      <c r="T36" s="2214">
        <v>4460</v>
      </c>
      <c r="U36" s="2214">
        <v>44600</v>
      </c>
      <c r="V36" s="2214">
        <v>13380</v>
      </c>
      <c r="W36" s="2214">
        <v>8920</v>
      </c>
      <c r="X36" s="2214">
        <v>66900</v>
      </c>
      <c r="Y36" s="2216">
        <v>535.20000000000005</v>
      </c>
      <c r="Z36" s="2216">
        <v>160.56</v>
      </c>
      <c r="AA36" s="2216">
        <v>107.03999999999999</v>
      </c>
      <c r="AB36" s="2216">
        <v>802.8</v>
      </c>
      <c r="AC36" s="3264"/>
      <c r="AD36" s="3265">
        <v>66900</v>
      </c>
      <c r="AE36" s="3266"/>
    </row>
    <row r="37" spans="1:31" s="3267" customFormat="1" ht="13.8">
      <c r="A37" s="3263">
        <v>2</v>
      </c>
      <c r="B37" s="3262" t="s">
        <v>2285</v>
      </c>
      <c r="C37" s="3046">
        <v>12</v>
      </c>
      <c r="D37" s="3046">
        <v>4.37</v>
      </c>
      <c r="E37" s="3046"/>
      <c r="F37" s="3046"/>
      <c r="G37" s="3046">
        <v>2</v>
      </c>
      <c r="H37" s="2214">
        <v>40200</v>
      </c>
      <c r="I37" s="2214">
        <v>12060</v>
      </c>
      <c r="J37" s="2214"/>
      <c r="K37" s="2214"/>
      <c r="L37" s="2214"/>
      <c r="M37" s="2214">
        <v>4020</v>
      </c>
      <c r="N37" s="2214"/>
      <c r="O37" s="2214"/>
      <c r="P37" s="2214"/>
      <c r="Q37" s="2214"/>
      <c r="R37" s="2214"/>
      <c r="S37" s="2214"/>
      <c r="T37" s="2214">
        <v>4020</v>
      </c>
      <c r="U37" s="2214">
        <v>80400</v>
      </c>
      <c r="V37" s="2214">
        <v>24120</v>
      </c>
      <c r="W37" s="2214">
        <v>16080</v>
      </c>
      <c r="X37" s="2214">
        <v>120600</v>
      </c>
      <c r="Y37" s="2216">
        <v>964.80000000000007</v>
      </c>
      <c r="Z37" s="2216">
        <v>289.44</v>
      </c>
      <c r="AA37" s="2216">
        <v>192.95999999999998</v>
      </c>
      <c r="AB37" s="2216">
        <v>1447.2</v>
      </c>
      <c r="AC37" s="3264"/>
      <c r="AD37" s="3265">
        <v>120600</v>
      </c>
      <c r="AE37" s="3266"/>
    </row>
    <row r="38" spans="1:31" s="3267" customFormat="1" ht="13.8">
      <c r="A38" s="3263">
        <v>3</v>
      </c>
      <c r="B38" s="3262" t="s">
        <v>2298</v>
      </c>
      <c r="C38" s="3046">
        <v>6</v>
      </c>
      <c r="D38" s="3046">
        <v>2.3199999999999998</v>
      </c>
      <c r="E38" s="3046"/>
      <c r="F38" s="3046"/>
      <c r="G38" s="3046">
        <v>1</v>
      </c>
      <c r="H38" s="2214">
        <v>24700</v>
      </c>
      <c r="I38" s="2214">
        <v>7410</v>
      </c>
      <c r="J38" s="2214"/>
      <c r="K38" s="2214"/>
      <c r="L38" s="2214"/>
      <c r="M38" s="2214">
        <v>2470</v>
      </c>
      <c r="N38" s="2214"/>
      <c r="O38" s="2214"/>
      <c r="P38" s="2214"/>
      <c r="Q38" s="2214"/>
      <c r="R38" s="2214"/>
      <c r="S38" s="2214"/>
      <c r="T38" s="2214"/>
      <c r="U38" s="2214">
        <v>24700</v>
      </c>
      <c r="V38" s="2214">
        <v>7410</v>
      </c>
      <c r="W38" s="2214">
        <v>2470</v>
      </c>
      <c r="X38" s="2214">
        <v>34580</v>
      </c>
      <c r="Y38" s="2216">
        <v>296.39999999999998</v>
      </c>
      <c r="Z38" s="2216">
        <v>88.92</v>
      </c>
      <c r="AA38" s="2216">
        <v>29.64</v>
      </c>
      <c r="AB38" s="2216">
        <v>414.96</v>
      </c>
      <c r="AC38" s="3264"/>
      <c r="AD38" s="3265">
        <v>34580</v>
      </c>
      <c r="AE38" s="3266"/>
    </row>
    <row r="39" spans="1:31" s="3267" customFormat="1" ht="13.8">
      <c r="A39" s="3263">
        <v>4</v>
      </c>
      <c r="B39" s="3262" t="s">
        <v>2306</v>
      </c>
      <c r="C39" s="3046">
        <v>9</v>
      </c>
      <c r="D39" s="3046">
        <v>2.94</v>
      </c>
      <c r="E39" s="3046"/>
      <c r="F39" s="3046"/>
      <c r="G39" s="3046">
        <v>1</v>
      </c>
      <c r="H39" s="2214">
        <v>31900</v>
      </c>
      <c r="I39" s="2214">
        <v>9570</v>
      </c>
      <c r="J39" s="2214"/>
      <c r="K39" s="2214"/>
      <c r="L39" s="2214">
        <v>3000</v>
      </c>
      <c r="M39" s="2214">
        <v>3190</v>
      </c>
      <c r="N39" s="2214"/>
      <c r="O39" s="2214"/>
      <c r="P39" s="2214"/>
      <c r="Q39" s="2214"/>
      <c r="R39" s="2214"/>
      <c r="S39" s="2214"/>
      <c r="T39" s="2214"/>
      <c r="U39" s="2214">
        <v>31900</v>
      </c>
      <c r="V39" s="2214">
        <v>9570</v>
      </c>
      <c r="W39" s="2214">
        <v>6190</v>
      </c>
      <c r="X39" s="2214">
        <v>47660</v>
      </c>
      <c r="Y39" s="2216">
        <v>382.79999999999995</v>
      </c>
      <c r="Z39" s="2216">
        <v>114.84</v>
      </c>
      <c r="AA39" s="2216">
        <v>74.28</v>
      </c>
      <c r="AB39" s="2216">
        <v>571.91999999999996</v>
      </c>
      <c r="AC39" s="3264"/>
      <c r="AD39" s="3265">
        <v>47660</v>
      </c>
      <c r="AE39" s="3266"/>
    </row>
    <row r="40" spans="1:31" s="3267" customFormat="1" ht="13.8">
      <c r="A40" s="3263">
        <v>5</v>
      </c>
      <c r="B40" s="3262" t="s">
        <v>2902</v>
      </c>
      <c r="C40" s="3046">
        <v>9</v>
      </c>
      <c r="D40" s="3046">
        <v>2.94</v>
      </c>
      <c r="E40" s="3046"/>
      <c r="F40" s="3046"/>
      <c r="G40" s="3046">
        <v>1</v>
      </c>
      <c r="H40" s="2214">
        <v>31500</v>
      </c>
      <c r="I40" s="2214">
        <v>9450</v>
      </c>
      <c r="J40" s="2214"/>
      <c r="K40" s="2214"/>
      <c r="L40" s="2214">
        <v>3000</v>
      </c>
      <c r="M40" s="2214">
        <v>3150</v>
      </c>
      <c r="N40" s="2214"/>
      <c r="O40" s="2214"/>
      <c r="P40" s="2214"/>
      <c r="Q40" s="2214"/>
      <c r="R40" s="2214"/>
      <c r="S40" s="2214"/>
      <c r="T40" s="2214"/>
      <c r="U40" s="2214">
        <v>31500</v>
      </c>
      <c r="V40" s="2214">
        <v>9450</v>
      </c>
      <c r="W40" s="2214">
        <v>6150</v>
      </c>
      <c r="X40" s="2214">
        <v>47100</v>
      </c>
      <c r="Y40" s="2216">
        <v>378</v>
      </c>
      <c r="Z40" s="2216">
        <v>113.39999999999999</v>
      </c>
      <c r="AA40" s="2216">
        <v>73.800000000000011</v>
      </c>
      <c r="AB40" s="2216">
        <v>565.20000000000005</v>
      </c>
      <c r="AC40" s="3264"/>
      <c r="AD40" s="3265">
        <v>47100</v>
      </c>
      <c r="AE40" s="3266"/>
    </row>
    <row r="41" spans="1:31" s="3267" customFormat="1" ht="13.8">
      <c r="A41" s="3263">
        <v>6</v>
      </c>
      <c r="B41" s="3262" t="s">
        <v>2288</v>
      </c>
      <c r="C41" s="3046">
        <v>9</v>
      </c>
      <c r="D41" s="3046">
        <v>3.25</v>
      </c>
      <c r="E41" s="3046"/>
      <c r="F41" s="3046"/>
      <c r="G41" s="3046">
        <v>1</v>
      </c>
      <c r="H41" s="2214">
        <v>30500</v>
      </c>
      <c r="I41" s="2214">
        <v>9150</v>
      </c>
      <c r="J41" s="2214"/>
      <c r="K41" s="2214"/>
      <c r="L41" s="2214">
        <v>8000</v>
      </c>
      <c r="M41" s="2214">
        <v>3050</v>
      </c>
      <c r="N41" s="2214"/>
      <c r="O41" s="2214"/>
      <c r="P41" s="2214"/>
      <c r="Q41" s="2214"/>
      <c r="R41" s="2214"/>
      <c r="S41" s="2214"/>
      <c r="T41" s="2214"/>
      <c r="U41" s="2214">
        <v>30500</v>
      </c>
      <c r="V41" s="2214">
        <v>9150</v>
      </c>
      <c r="W41" s="2214">
        <v>11050</v>
      </c>
      <c r="X41" s="2214">
        <v>50700</v>
      </c>
      <c r="Y41" s="2216">
        <v>366</v>
      </c>
      <c r="Z41" s="2216">
        <v>109.80000000000001</v>
      </c>
      <c r="AA41" s="2216">
        <v>132.60000000000002</v>
      </c>
      <c r="AB41" s="2216">
        <v>608.40000000000009</v>
      </c>
      <c r="AC41" s="3264"/>
      <c r="AD41" s="3265">
        <v>50700</v>
      </c>
      <c r="AE41" s="3266"/>
    </row>
    <row r="42" spans="1:31" s="3267" customFormat="1" ht="13.8">
      <c r="A42" s="3263">
        <v>7</v>
      </c>
      <c r="B42" s="3262" t="s">
        <v>2903</v>
      </c>
      <c r="C42" s="3046">
        <v>9</v>
      </c>
      <c r="D42" s="3046">
        <v>3.25</v>
      </c>
      <c r="E42" s="3046"/>
      <c r="F42" s="3046"/>
      <c r="G42" s="3046">
        <v>3</v>
      </c>
      <c r="H42" s="2214">
        <v>30100</v>
      </c>
      <c r="I42" s="2214">
        <v>9030</v>
      </c>
      <c r="J42" s="2214"/>
      <c r="K42" s="2214"/>
      <c r="L42" s="2214">
        <v>8000</v>
      </c>
      <c r="M42" s="2214">
        <v>3010</v>
      </c>
      <c r="N42" s="2214"/>
      <c r="O42" s="2214"/>
      <c r="P42" s="2214"/>
      <c r="Q42" s="2214"/>
      <c r="R42" s="2214"/>
      <c r="S42" s="2214"/>
      <c r="T42" s="2214"/>
      <c r="U42" s="2214">
        <v>90300</v>
      </c>
      <c r="V42" s="2214">
        <v>27090</v>
      </c>
      <c r="W42" s="2214">
        <v>33030</v>
      </c>
      <c r="X42" s="2214">
        <v>150420</v>
      </c>
      <c r="Y42" s="2216">
        <v>1083.5999999999999</v>
      </c>
      <c r="Z42" s="2216">
        <v>325.08</v>
      </c>
      <c r="AA42" s="2216">
        <v>396.36</v>
      </c>
      <c r="AB42" s="2216">
        <v>1805.04</v>
      </c>
      <c r="AC42" s="3264"/>
      <c r="AD42" s="3265">
        <v>150420</v>
      </c>
      <c r="AE42" s="3266"/>
    </row>
    <row r="43" spans="1:31" s="3267" customFormat="1" ht="13.8">
      <c r="A43" s="3263">
        <v>8</v>
      </c>
      <c r="B43" s="3262" t="s">
        <v>2904</v>
      </c>
      <c r="C43" s="3046">
        <v>8</v>
      </c>
      <c r="D43" s="3046">
        <v>2.87</v>
      </c>
      <c r="E43" s="3046"/>
      <c r="F43" s="3046" t="s">
        <v>2905</v>
      </c>
      <c r="G43" s="3046">
        <v>4</v>
      </c>
      <c r="H43" s="2214">
        <v>25900</v>
      </c>
      <c r="I43" s="2214">
        <v>7770</v>
      </c>
      <c r="J43" s="2214"/>
      <c r="K43" s="2214"/>
      <c r="L43" s="2214">
        <v>7700</v>
      </c>
      <c r="M43" s="2214">
        <v>2590</v>
      </c>
      <c r="N43" s="2214">
        <v>10800</v>
      </c>
      <c r="O43" s="2214"/>
      <c r="P43" s="2214">
        <v>2795</v>
      </c>
      <c r="Q43" s="2214"/>
      <c r="R43" s="2214"/>
      <c r="S43" s="2214"/>
      <c r="T43" s="2214"/>
      <c r="U43" s="2214">
        <v>103600</v>
      </c>
      <c r="V43" s="2214">
        <v>31080</v>
      </c>
      <c r="W43" s="2214">
        <v>95540</v>
      </c>
      <c r="X43" s="2214">
        <v>230220</v>
      </c>
      <c r="Y43" s="2216">
        <v>1243.1999999999998</v>
      </c>
      <c r="Z43" s="2216">
        <v>372.96</v>
      </c>
      <c r="AA43" s="2216">
        <v>1146.48</v>
      </c>
      <c r="AB43" s="2216">
        <v>2762.64</v>
      </c>
      <c r="AC43" s="3264"/>
      <c r="AD43" s="3265">
        <v>230220</v>
      </c>
      <c r="AE43" s="3266"/>
    </row>
    <row r="44" spans="1:31" s="3267" customFormat="1" ht="13.8">
      <c r="A44" s="3263">
        <v>9</v>
      </c>
      <c r="B44" s="3262" t="s">
        <v>2906</v>
      </c>
      <c r="C44" s="3046">
        <v>9</v>
      </c>
      <c r="D44" s="3046">
        <v>3.09</v>
      </c>
      <c r="E44" s="3046"/>
      <c r="F44" s="3046" t="s">
        <v>2905</v>
      </c>
      <c r="G44" s="3046">
        <v>4</v>
      </c>
      <c r="H44" s="2214">
        <v>27900</v>
      </c>
      <c r="I44" s="2214">
        <v>8370</v>
      </c>
      <c r="J44" s="2214"/>
      <c r="K44" s="2214"/>
      <c r="L44" s="2214"/>
      <c r="M44" s="2214">
        <v>2790</v>
      </c>
      <c r="N44" s="2214">
        <v>11660</v>
      </c>
      <c r="O44" s="2214"/>
      <c r="P44" s="2214">
        <v>2935</v>
      </c>
      <c r="Q44" s="2214"/>
      <c r="R44" s="2214"/>
      <c r="S44" s="2214"/>
      <c r="T44" s="2214"/>
      <c r="U44" s="2214">
        <v>111600</v>
      </c>
      <c r="V44" s="2214">
        <v>33480</v>
      </c>
      <c r="W44" s="2214">
        <v>69540</v>
      </c>
      <c r="X44" s="2214">
        <v>214620</v>
      </c>
      <c r="Y44" s="2216">
        <v>1339.1999999999998</v>
      </c>
      <c r="Z44" s="2216">
        <v>401.76</v>
      </c>
      <c r="AA44" s="2216">
        <v>834.48</v>
      </c>
      <c r="AB44" s="2216">
        <v>2575.4399999999996</v>
      </c>
      <c r="AC44" s="3264"/>
      <c r="AD44" s="3265">
        <v>214620</v>
      </c>
      <c r="AE44" s="3266"/>
    </row>
    <row r="45" spans="1:31" s="3267" customFormat="1" ht="13.8">
      <c r="A45" s="3263">
        <v>10</v>
      </c>
      <c r="B45" s="3262" t="s">
        <v>2289</v>
      </c>
      <c r="C45" s="3046">
        <v>8</v>
      </c>
      <c r="D45" s="3046">
        <v>2.73</v>
      </c>
      <c r="E45" s="3046"/>
      <c r="F45" s="3046"/>
      <c r="G45" s="3046">
        <v>1</v>
      </c>
      <c r="H45" s="2214">
        <v>25900</v>
      </c>
      <c r="I45" s="2214">
        <v>7770</v>
      </c>
      <c r="J45" s="2214"/>
      <c r="K45" s="2214"/>
      <c r="L45" s="2214">
        <v>7000</v>
      </c>
      <c r="M45" s="2214">
        <v>2590</v>
      </c>
      <c r="N45" s="2214"/>
      <c r="O45" s="2214"/>
      <c r="P45" s="2214"/>
      <c r="Q45" s="2214"/>
      <c r="R45" s="2214"/>
      <c r="S45" s="2214"/>
      <c r="T45" s="2214"/>
      <c r="U45" s="2214">
        <v>25900</v>
      </c>
      <c r="V45" s="2214">
        <v>7770</v>
      </c>
      <c r="W45" s="2214">
        <v>9590</v>
      </c>
      <c r="X45" s="2214">
        <v>43260</v>
      </c>
      <c r="Y45" s="2216">
        <v>310.79999999999995</v>
      </c>
      <c r="Z45" s="2216">
        <v>93.24</v>
      </c>
      <c r="AA45" s="2216">
        <v>115.08</v>
      </c>
      <c r="AB45" s="2216">
        <v>519.12</v>
      </c>
      <c r="AC45" s="3264"/>
      <c r="AD45" s="3265">
        <v>43260</v>
      </c>
      <c r="AE45" s="3266"/>
    </row>
    <row r="46" spans="1:31" s="3267" customFormat="1" ht="13.8">
      <c r="A46" s="3263">
        <v>11</v>
      </c>
      <c r="B46" s="3262" t="s">
        <v>2293</v>
      </c>
      <c r="C46" s="3046">
        <v>8</v>
      </c>
      <c r="D46" s="3046">
        <v>2.73</v>
      </c>
      <c r="E46" s="3046"/>
      <c r="G46" s="3046">
        <v>5</v>
      </c>
      <c r="H46" s="2214">
        <v>25700</v>
      </c>
      <c r="I46" s="2214">
        <v>7710</v>
      </c>
      <c r="J46" s="2214"/>
      <c r="K46" s="2214"/>
      <c r="L46" s="2214">
        <v>6500</v>
      </c>
      <c r="M46" s="2214">
        <v>2570</v>
      </c>
      <c r="N46" s="2214"/>
      <c r="O46" s="2214"/>
      <c r="P46" s="2214"/>
      <c r="Q46" s="2214"/>
      <c r="R46" s="2214"/>
      <c r="S46" s="2214"/>
      <c r="T46" s="2214"/>
      <c r="U46" s="2214">
        <v>128500</v>
      </c>
      <c r="V46" s="2214">
        <v>38550</v>
      </c>
      <c r="W46" s="2214">
        <v>45350</v>
      </c>
      <c r="X46" s="2214">
        <v>212400</v>
      </c>
      <c r="Y46" s="2216">
        <v>1542</v>
      </c>
      <c r="Z46" s="2216">
        <v>462.59999999999997</v>
      </c>
      <c r="AA46" s="2216">
        <v>544.20000000000005</v>
      </c>
      <c r="AB46" s="2216">
        <v>2548.8000000000002</v>
      </c>
      <c r="AC46" s="3264"/>
      <c r="AD46" s="3265">
        <v>212400</v>
      </c>
      <c r="AE46" s="3266"/>
    </row>
    <row r="47" spans="1:31" s="3267" customFormat="1" ht="13.8">
      <c r="A47" s="3263">
        <v>12</v>
      </c>
      <c r="B47" s="3262" t="s">
        <v>2289</v>
      </c>
      <c r="C47" s="3046">
        <v>8</v>
      </c>
      <c r="D47" s="3046">
        <v>2.73</v>
      </c>
      <c r="E47" s="3046"/>
      <c r="F47" s="3046" t="s">
        <v>2907</v>
      </c>
      <c r="G47" s="3046">
        <v>4</v>
      </c>
      <c r="H47" s="2214">
        <v>22500</v>
      </c>
      <c r="I47" s="2214">
        <v>6750</v>
      </c>
      <c r="J47" s="2214"/>
      <c r="K47" s="2214"/>
      <c r="L47" s="2214">
        <v>5700</v>
      </c>
      <c r="M47" s="2214">
        <v>2250</v>
      </c>
      <c r="N47" s="2214">
        <v>9415</v>
      </c>
      <c r="O47" s="2214"/>
      <c r="P47" s="2214">
        <v>2404</v>
      </c>
      <c r="Q47" s="2214"/>
      <c r="R47" s="2214"/>
      <c r="S47" s="2214"/>
      <c r="T47" s="2214"/>
      <c r="U47" s="2214">
        <v>90000</v>
      </c>
      <c r="V47" s="2214">
        <v>27000</v>
      </c>
      <c r="W47" s="2214">
        <v>79076</v>
      </c>
      <c r="X47" s="2214">
        <v>196076</v>
      </c>
      <c r="Y47" s="2216">
        <v>1080</v>
      </c>
      <c r="Z47" s="2216">
        <v>324</v>
      </c>
      <c r="AA47" s="2216">
        <v>948.91199999999992</v>
      </c>
      <c r="AB47" s="2216">
        <v>2352.9119999999998</v>
      </c>
      <c r="AC47" s="3264"/>
      <c r="AD47" s="3265">
        <v>196076</v>
      </c>
      <c r="AE47" s="3266"/>
    </row>
    <row r="48" spans="1:31" s="3267" customFormat="1" ht="13.8">
      <c r="A48" s="3263">
        <v>13</v>
      </c>
      <c r="B48" s="3262" t="s">
        <v>2294</v>
      </c>
      <c r="C48" s="3046">
        <v>10</v>
      </c>
      <c r="D48" s="3046">
        <v>3.48</v>
      </c>
      <c r="E48" s="3046"/>
      <c r="F48" s="3046"/>
      <c r="G48" s="3046">
        <v>1</v>
      </c>
      <c r="H48" s="2214">
        <v>33300</v>
      </c>
      <c r="I48" s="2214">
        <v>9990</v>
      </c>
      <c r="J48" s="2214"/>
      <c r="K48" s="2214"/>
      <c r="L48" s="2214">
        <v>3000</v>
      </c>
      <c r="M48" s="2214">
        <v>3330</v>
      </c>
      <c r="N48" s="2214"/>
      <c r="O48" s="2214"/>
      <c r="P48" s="2214"/>
      <c r="Q48" s="2214"/>
      <c r="R48" s="2214"/>
      <c r="S48" s="2214"/>
      <c r="T48" s="2214">
        <v>3300</v>
      </c>
      <c r="U48" s="2214">
        <v>33300</v>
      </c>
      <c r="V48" s="2214">
        <v>9990</v>
      </c>
      <c r="W48" s="2214">
        <v>9630</v>
      </c>
      <c r="X48" s="2214">
        <v>52920</v>
      </c>
      <c r="Y48" s="2216">
        <v>399.59999999999997</v>
      </c>
      <c r="Z48" s="2216">
        <v>119.88</v>
      </c>
      <c r="AA48" s="2216">
        <v>115.56</v>
      </c>
      <c r="AB48" s="2216">
        <v>635.04</v>
      </c>
      <c r="AC48" s="3264"/>
      <c r="AD48" s="3265">
        <v>52920</v>
      </c>
      <c r="AE48" s="3266"/>
    </row>
    <row r="49" spans="1:31" s="3267" customFormat="1" ht="13.8">
      <c r="A49" s="3263">
        <v>14</v>
      </c>
      <c r="B49" s="3262" t="s">
        <v>2295</v>
      </c>
      <c r="C49" s="3046">
        <v>9</v>
      </c>
      <c r="D49" s="3046">
        <v>2.94</v>
      </c>
      <c r="E49" s="3046"/>
      <c r="F49" s="3046"/>
      <c r="G49" s="3046">
        <v>2</v>
      </c>
      <c r="H49" s="2214">
        <v>30100</v>
      </c>
      <c r="I49" s="2214">
        <v>9030</v>
      </c>
      <c r="J49" s="2214"/>
      <c r="K49" s="2214"/>
      <c r="L49" s="2214"/>
      <c r="M49" s="2214">
        <v>3010</v>
      </c>
      <c r="N49" s="2214"/>
      <c r="O49" s="2214"/>
      <c r="P49" s="2214"/>
      <c r="Q49" s="2214"/>
      <c r="R49" s="2214"/>
      <c r="S49" s="2214"/>
      <c r="T49" s="2214"/>
      <c r="U49" s="2214">
        <v>60200</v>
      </c>
      <c r="V49" s="2214">
        <v>18060</v>
      </c>
      <c r="W49" s="2214">
        <v>6020</v>
      </c>
      <c r="X49" s="2214">
        <v>84280</v>
      </c>
      <c r="Y49" s="2216">
        <v>722.40000000000009</v>
      </c>
      <c r="Z49" s="2216">
        <v>216.71999999999997</v>
      </c>
      <c r="AA49" s="2216">
        <v>72.239999999999995</v>
      </c>
      <c r="AB49" s="2216">
        <v>1011.3600000000001</v>
      </c>
      <c r="AC49" s="3264"/>
      <c r="AD49" s="3265">
        <v>84280</v>
      </c>
      <c r="AE49" s="3266"/>
    </row>
    <row r="50" spans="1:31" s="3267" customFormat="1" ht="13.8">
      <c r="A50" s="3263">
        <v>15</v>
      </c>
      <c r="B50" s="3262" t="s">
        <v>2296</v>
      </c>
      <c r="C50" s="3046">
        <v>9</v>
      </c>
      <c r="D50" s="3046">
        <v>2.8</v>
      </c>
      <c r="E50" s="3046"/>
      <c r="F50" s="3046"/>
      <c r="G50" s="3046">
        <v>1</v>
      </c>
      <c r="H50" s="2214">
        <v>28200</v>
      </c>
      <c r="I50" s="2214">
        <v>8460</v>
      </c>
      <c r="J50" s="2214"/>
      <c r="K50" s="2214"/>
      <c r="L50" s="2214"/>
      <c r="M50" s="2214">
        <v>2820</v>
      </c>
      <c r="N50" s="2214"/>
      <c r="O50" s="2214"/>
      <c r="P50" s="2214"/>
      <c r="Q50" s="2214"/>
      <c r="R50" s="2214"/>
      <c r="S50" s="2214"/>
      <c r="T50" s="2214"/>
      <c r="U50" s="2214">
        <v>28200</v>
      </c>
      <c r="V50" s="2214">
        <v>8460</v>
      </c>
      <c r="W50" s="2214">
        <v>2820</v>
      </c>
      <c r="X50" s="2214">
        <v>39480</v>
      </c>
      <c r="Y50" s="2216">
        <v>338.4</v>
      </c>
      <c r="Z50" s="2216">
        <v>101.52000000000001</v>
      </c>
      <c r="AA50" s="2216">
        <v>33.839999999999996</v>
      </c>
      <c r="AB50" s="2216">
        <v>473.75999999999993</v>
      </c>
      <c r="AC50" s="3264"/>
      <c r="AD50" s="3265">
        <v>39480</v>
      </c>
      <c r="AE50" s="3266"/>
    </row>
    <row r="51" spans="1:31" s="3267" customFormat="1" ht="13.8">
      <c r="A51" s="3263">
        <v>16</v>
      </c>
      <c r="B51" s="3262" t="s">
        <v>2299</v>
      </c>
      <c r="C51" s="3046">
        <v>10</v>
      </c>
      <c r="D51" s="3046">
        <v>3.48</v>
      </c>
      <c r="E51" s="3046"/>
      <c r="F51" s="3046"/>
      <c r="G51" s="3046">
        <v>1</v>
      </c>
      <c r="H51" s="2214">
        <v>34500</v>
      </c>
      <c r="I51" s="2214">
        <v>10350</v>
      </c>
      <c r="J51" s="2214"/>
      <c r="K51" s="2214"/>
      <c r="L51" s="2214"/>
      <c r="M51" s="2214">
        <v>3450</v>
      </c>
      <c r="N51" s="2214"/>
      <c r="O51" s="2214"/>
      <c r="P51" s="2214"/>
      <c r="Q51" s="2214"/>
      <c r="R51" s="2214"/>
      <c r="S51" s="2214"/>
      <c r="T51" s="2214">
        <v>3450</v>
      </c>
      <c r="U51" s="2214">
        <v>34500</v>
      </c>
      <c r="V51" s="2214">
        <v>10350</v>
      </c>
      <c r="W51" s="2214">
        <v>6900</v>
      </c>
      <c r="X51" s="2214">
        <v>51750</v>
      </c>
      <c r="Y51" s="2216">
        <v>414</v>
      </c>
      <c r="Z51" s="2216">
        <v>124.19999999999999</v>
      </c>
      <c r="AA51" s="2216">
        <v>82.800000000000011</v>
      </c>
      <c r="AB51" s="2216">
        <v>621</v>
      </c>
      <c r="AC51" s="3264"/>
      <c r="AD51" s="3265">
        <v>51750</v>
      </c>
      <c r="AE51" s="3266"/>
    </row>
    <row r="52" spans="1:31" s="3267" customFormat="1" ht="13.8">
      <c r="A52" s="3263">
        <v>17</v>
      </c>
      <c r="B52" s="3262" t="s">
        <v>2300</v>
      </c>
      <c r="C52" s="3046">
        <v>6</v>
      </c>
      <c r="D52" s="3046">
        <v>2.3199999999999998</v>
      </c>
      <c r="E52" s="3046"/>
      <c r="F52" s="3046"/>
      <c r="G52" s="3046">
        <v>1</v>
      </c>
      <c r="H52" s="2214">
        <v>26000</v>
      </c>
      <c r="I52" s="2214">
        <v>7800</v>
      </c>
      <c r="J52" s="2214"/>
      <c r="K52" s="2214"/>
      <c r="L52" s="2214"/>
      <c r="M52" s="2214">
        <v>2600</v>
      </c>
      <c r="N52" s="2214"/>
      <c r="O52" s="2214"/>
      <c r="P52" s="2214"/>
      <c r="Q52" s="2214"/>
      <c r="R52" s="2214"/>
      <c r="S52" s="2214"/>
      <c r="T52" s="2214"/>
      <c r="U52" s="2214">
        <v>26000</v>
      </c>
      <c r="V52" s="2214">
        <v>7800</v>
      </c>
      <c r="W52" s="2214">
        <v>2600</v>
      </c>
      <c r="X52" s="2214">
        <v>36400</v>
      </c>
      <c r="Y52" s="2216">
        <v>312</v>
      </c>
      <c r="Z52" s="2216">
        <v>93.6</v>
      </c>
      <c r="AA52" s="2216">
        <v>31.200000000000003</v>
      </c>
      <c r="AB52" s="2216">
        <v>436.8</v>
      </c>
      <c r="AC52" s="3264"/>
      <c r="AD52" s="3265">
        <v>36400</v>
      </c>
      <c r="AE52" s="3266"/>
    </row>
    <row r="53" spans="1:31" s="3267" customFormat="1" ht="27.6">
      <c r="A53" s="3263">
        <v>18</v>
      </c>
      <c r="B53" s="3262" t="s">
        <v>2908</v>
      </c>
      <c r="C53" s="3046">
        <v>5</v>
      </c>
      <c r="D53" s="3046">
        <v>2.06</v>
      </c>
      <c r="E53" s="3046"/>
      <c r="F53" s="3046"/>
      <c r="G53" s="3046">
        <v>1</v>
      </c>
      <c r="H53" s="2214">
        <v>21600</v>
      </c>
      <c r="I53" s="2214">
        <v>6480</v>
      </c>
      <c r="J53" s="2214"/>
      <c r="K53" s="2214"/>
      <c r="L53" s="2214"/>
      <c r="M53" s="2214">
        <v>2160</v>
      </c>
      <c r="N53" s="2214"/>
      <c r="O53" s="2214"/>
      <c r="P53" s="2214"/>
      <c r="Q53" s="2214"/>
      <c r="R53" s="2214"/>
      <c r="S53" s="2214"/>
      <c r="T53" s="2214"/>
      <c r="U53" s="2214">
        <v>21600</v>
      </c>
      <c r="V53" s="2214">
        <v>6480</v>
      </c>
      <c r="W53" s="2214">
        <v>2160</v>
      </c>
      <c r="X53" s="2214">
        <v>30240</v>
      </c>
      <c r="Y53" s="2216">
        <v>259.20000000000005</v>
      </c>
      <c r="Z53" s="2216">
        <v>77.760000000000005</v>
      </c>
      <c r="AA53" s="2216">
        <v>25.92</v>
      </c>
      <c r="AB53" s="2216">
        <v>362.88000000000005</v>
      </c>
      <c r="AC53" s="3264"/>
      <c r="AD53" s="3265">
        <v>30240</v>
      </c>
      <c r="AE53" s="3266"/>
    </row>
    <row r="54" spans="1:31" s="3267" customFormat="1" ht="19.5" customHeight="1">
      <c r="A54" s="3263">
        <v>19</v>
      </c>
      <c r="B54" s="3262" t="s">
        <v>2909</v>
      </c>
      <c r="C54" s="3046">
        <v>10</v>
      </c>
      <c r="D54" s="3046">
        <v>3.48</v>
      </c>
      <c r="E54" s="3046"/>
      <c r="F54" s="3046"/>
      <c r="G54" s="3046">
        <v>1</v>
      </c>
      <c r="H54" s="2214">
        <v>34500</v>
      </c>
      <c r="I54" s="2214">
        <v>10350</v>
      </c>
      <c r="J54" s="2214"/>
      <c r="K54" s="2214"/>
      <c r="L54" s="2214"/>
      <c r="M54" s="2214">
        <v>3450</v>
      </c>
      <c r="N54" s="2214"/>
      <c r="O54" s="2214"/>
      <c r="P54" s="2214"/>
      <c r="Q54" s="2214"/>
      <c r="R54" s="2214"/>
      <c r="S54" s="2214"/>
      <c r="T54" s="2214">
        <v>3450</v>
      </c>
      <c r="U54" s="2214">
        <v>34500</v>
      </c>
      <c r="V54" s="2214">
        <v>10350</v>
      </c>
      <c r="W54" s="2214">
        <v>6900</v>
      </c>
      <c r="X54" s="2214">
        <v>51750</v>
      </c>
      <c r="Y54" s="2216">
        <v>414</v>
      </c>
      <c r="Z54" s="2216">
        <v>124.19999999999999</v>
      </c>
      <c r="AA54" s="2216">
        <v>82.800000000000011</v>
      </c>
      <c r="AB54" s="2216">
        <v>621</v>
      </c>
      <c r="AC54" s="3264"/>
      <c r="AD54" s="3265">
        <v>51750</v>
      </c>
      <c r="AE54" s="3266"/>
    </row>
    <row r="55" spans="1:31" s="3267" customFormat="1" ht="19.5" customHeight="1">
      <c r="A55" s="3263">
        <v>20</v>
      </c>
      <c r="B55" s="3262" t="s">
        <v>2828</v>
      </c>
      <c r="C55" s="3046">
        <v>7</v>
      </c>
      <c r="D55" s="3046">
        <v>2.62</v>
      </c>
      <c r="E55" s="3046"/>
      <c r="F55" s="3046"/>
      <c r="G55" s="3046">
        <v>2</v>
      </c>
      <c r="H55" s="2214">
        <v>27900</v>
      </c>
      <c r="I55" s="2214">
        <v>8370</v>
      </c>
      <c r="J55" s="2214"/>
      <c r="K55" s="2214"/>
      <c r="L55" s="2214"/>
      <c r="M55" s="2214">
        <v>2790</v>
      </c>
      <c r="N55" s="2214"/>
      <c r="O55" s="2214"/>
      <c r="P55" s="2214"/>
      <c r="Q55" s="2214"/>
      <c r="R55" s="2214"/>
      <c r="S55" s="2214"/>
      <c r="T55" s="2214"/>
      <c r="U55" s="2214">
        <v>55800</v>
      </c>
      <c r="V55" s="2214">
        <v>16740</v>
      </c>
      <c r="W55" s="2214">
        <v>5580</v>
      </c>
      <c r="X55" s="2214">
        <v>78120</v>
      </c>
      <c r="Y55" s="2216">
        <v>669.59999999999991</v>
      </c>
      <c r="Z55" s="2216">
        <v>200.88</v>
      </c>
      <c r="AA55" s="2216">
        <v>66.960000000000008</v>
      </c>
      <c r="AB55" s="2216">
        <v>937.43999999999994</v>
      </c>
      <c r="AC55" s="3264"/>
      <c r="AD55" s="3265">
        <v>78120</v>
      </c>
      <c r="AE55" s="3266"/>
    </row>
    <row r="56" spans="1:31" s="3267" customFormat="1" ht="13.8">
      <c r="A56" s="3263">
        <v>21</v>
      </c>
      <c r="B56" s="3262" t="s">
        <v>2304</v>
      </c>
      <c r="C56" s="3046">
        <v>10</v>
      </c>
      <c r="D56" s="3046">
        <v>3.48</v>
      </c>
      <c r="E56" s="3046"/>
      <c r="F56" s="3046"/>
      <c r="G56" s="3046">
        <v>1</v>
      </c>
      <c r="H56" s="2214">
        <v>34500</v>
      </c>
      <c r="I56" s="2214">
        <v>10350</v>
      </c>
      <c r="J56" s="2214"/>
      <c r="K56" s="2214"/>
      <c r="L56" s="2214"/>
      <c r="M56" s="2214">
        <v>3450</v>
      </c>
      <c r="N56" s="2214"/>
      <c r="O56" s="2214"/>
      <c r="P56" s="2214"/>
      <c r="Q56" s="2214"/>
      <c r="R56" s="2214"/>
      <c r="S56" s="2214"/>
      <c r="T56" s="2214">
        <v>3450</v>
      </c>
      <c r="U56" s="2214">
        <v>34500</v>
      </c>
      <c r="V56" s="2214">
        <v>10350</v>
      </c>
      <c r="W56" s="2214">
        <v>6900</v>
      </c>
      <c r="X56" s="2214">
        <v>51750</v>
      </c>
      <c r="Y56" s="2216">
        <v>414</v>
      </c>
      <c r="Z56" s="2216">
        <v>124.19999999999999</v>
      </c>
      <c r="AA56" s="2216">
        <v>82.800000000000011</v>
      </c>
      <c r="AB56" s="2216">
        <v>621</v>
      </c>
      <c r="AC56" s="3264"/>
      <c r="AD56" s="3265">
        <v>51750</v>
      </c>
      <c r="AE56" s="3266"/>
    </row>
    <row r="57" spans="1:31" s="3267" customFormat="1" ht="13.8">
      <c r="A57" s="3263">
        <v>22</v>
      </c>
      <c r="B57" s="3262" t="s">
        <v>2911</v>
      </c>
      <c r="C57" s="3046">
        <v>9</v>
      </c>
      <c r="D57" s="3046">
        <v>2.94</v>
      </c>
      <c r="E57" s="3046"/>
      <c r="F57" s="3046"/>
      <c r="G57" s="3046">
        <v>1</v>
      </c>
      <c r="H57" s="2214">
        <v>29400</v>
      </c>
      <c r="I57" s="2214">
        <v>8820</v>
      </c>
      <c r="J57" s="2214"/>
      <c r="K57" s="2214"/>
      <c r="L57" s="2214"/>
      <c r="M57" s="2214">
        <v>2940</v>
      </c>
      <c r="N57" s="2214"/>
      <c r="O57" s="2214"/>
      <c r="P57" s="2214"/>
      <c r="Q57" s="2214"/>
      <c r="R57" s="2214"/>
      <c r="S57" s="2214"/>
      <c r="T57" s="2214">
        <v>2940</v>
      </c>
      <c r="U57" s="2214">
        <v>29400</v>
      </c>
      <c r="V57" s="2214">
        <v>8820</v>
      </c>
      <c r="W57" s="2214">
        <v>5880</v>
      </c>
      <c r="X57" s="2214">
        <v>44100</v>
      </c>
      <c r="Y57" s="2216">
        <v>352.79999999999995</v>
      </c>
      <c r="Z57" s="2216">
        <v>105.84</v>
      </c>
      <c r="AA57" s="2216">
        <v>70.56</v>
      </c>
      <c r="AB57" s="2216">
        <v>529.20000000000005</v>
      </c>
      <c r="AC57" s="3264"/>
      <c r="AD57" s="3265">
        <v>44100</v>
      </c>
      <c r="AE57" s="3266"/>
    </row>
    <row r="58" spans="1:31" s="3267" customFormat="1" ht="13.8">
      <c r="A58" s="3263">
        <v>23</v>
      </c>
      <c r="B58" s="3262" t="s">
        <v>2305</v>
      </c>
      <c r="C58" s="3046">
        <v>7</v>
      </c>
      <c r="D58" s="3046">
        <v>2.62</v>
      </c>
      <c r="E58" s="3046"/>
      <c r="F58" s="3046"/>
      <c r="G58" s="3046">
        <v>1</v>
      </c>
      <c r="H58" s="2214">
        <v>27800</v>
      </c>
      <c r="I58" s="2214">
        <v>8340</v>
      </c>
      <c r="J58" s="2214"/>
      <c r="K58" s="2214"/>
      <c r="L58" s="2214"/>
      <c r="M58" s="2214">
        <v>2780</v>
      </c>
      <c r="N58" s="2214"/>
      <c r="O58" s="2214"/>
      <c r="P58" s="2214"/>
      <c r="Q58" s="2214"/>
      <c r="R58" s="2214"/>
      <c r="S58" s="2214"/>
      <c r="T58" s="2214">
        <v>2780</v>
      </c>
      <c r="U58" s="2214">
        <v>27800</v>
      </c>
      <c r="V58" s="2214">
        <v>8340</v>
      </c>
      <c r="W58" s="2214">
        <v>5560</v>
      </c>
      <c r="X58" s="2214">
        <v>41700</v>
      </c>
      <c r="Y58" s="2216">
        <v>333.6</v>
      </c>
      <c r="Z58" s="2216">
        <v>100.08</v>
      </c>
      <c r="AA58" s="2216">
        <v>66.72</v>
      </c>
      <c r="AB58" s="2216">
        <v>500.4</v>
      </c>
      <c r="AC58" s="3264"/>
      <c r="AD58" s="3265">
        <v>41700</v>
      </c>
      <c r="AE58" s="3266"/>
    </row>
    <row r="59" spans="1:31" s="3267" customFormat="1" ht="13.8">
      <c r="A59" s="3263">
        <v>24</v>
      </c>
      <c r="B59" s="3262" t="s">
        <v>2912</v>
      </c>
      <c r="C59" s="3046">
        <v>4</v>
      </c>
      <c r="D59" s="3046">
        <v>1.82</v>
      </c>
      <c r="E59" s="3046"/>
      <c r="F59" s="3046"/>
      <c r="G59" s="3046">
        <v>1</v>
      </c>
      <c r="H59" s="2214">
        <v>25900</v>
      </c>
      <c r="I59" s="2214">
        <v>7770</v>
      </c>
      <c r="J59" s="2214"/>
      <c r="K59" s="2214"/>
      <c r="L59" s="2214"/>
      <c r="M59" s="2214">
        <v>2590</v>
      </c>
      <c r="N59" s="2214"/>
      <c r="O59" s="2214"/>
      <c r="P59" s="2214"/>
      <c r="Q59" s="2214"/>
      <c r="R59" s="2214"/>
      <c r="S59" s="2214"/>
      <c r="T59" s="2214"/>
      <c r="U59" s="2214">
        <v>25900</v>
      </c>
      <c r="V59" s="2214">
        <v>7770</v>
      </c>
      <c r="W59" s="2214">
        <v>2590</v>
      </c>
      <c r="X59" s="2214">
        <v>36260</v>
      </c>
      <c r="Y59" s="2216">
        <v>310.79999999999995</v>
      </c>
      <c r="Z59" s="2216">
        <v>93.24</v>
      </c>
      <c r="AA59" s="2216">
        <v>31.08</v>
      </c>
      <c r="AB59" s="2216">
        <v>435.11999999999995</v>
      </c>
      <c r="AC59" s="3264"/>
      <c r="AD59" s="3265">
        <v>36260</v>
      </c>
      <c r="AE59" s="3266"/>
    </row>
    <row r="60" spans="1:31" s="3267" customFormat="1" ht="13.8">
      <c r="A60" s="3263">
        <v>25</v>
      </c>
      <c r="B60" s="3262" t="s">
        <v>2830</v>
      </c>
      <c r="C60" s="3046">
        <v>4</v>
      </c>
      <c r="D60" s="3046">
        <v>1.82</v>
      </c>
      <c r="E60" s="3046"/>
      <c r="F60" s="3046"/>
      <c r="G60" s="3046">
        <v>1</v>
      </c>
      <c r="H60" s="2214">
        <v>21200</v>
      </c>
      <c r="I60" s="2214">
        <v>6360</v>
      </c>
      <c r="J60" s="2214"/>
      <c r="K60" s="2214"/>
      <c r="L60" s="2214"/>
      <c r="M60" s="2214">
        <v>2120</v>
      </c>
      <c r="N60" s="2214"/>
      <c r="O60" s="2214"/>
      <c r="P60" s="2214"/>
      <c r="Q60" s="2214"/>
      <c r="R60" s="2214"/>
      <c r="S60" s="2214"/>
      <c r="T60" s="2214"/>
      <c r="U60" s="2214">
        <v>21200</v>
      </c>
      <c r="V60" s="2214">
        <v>6360</v>
      </c>
      <c r="W60" s="2214">
        <v>2120</v>
      </c>
      <c r="X60" s="2214">
        <v>29680</v>
      </c>
      <c r="Y60" s="2216">
        <v>254.39999999999998</v>
      </c>
      <c r="Z60" s="2216">
        <v>76.320000000000007</v>
      </c>
      <c r="AA60" s="2216">
        <v>25.44</v>
      </c>
      <c r="AB60" s="2216">
        <v>356.15999999999997</v>
      </c>
      <c r="AC60" s="3264"/>
      <c r="AD60" s="3265">
        <v>29680</v>
      </c>
      <c r="AE60" s="3266"/>
    </row>
    <row r="61" spans="1:31" s="3267" customFormat="1" ht="13.8">
      <c r="A61" s="3263">
        <v>26</v>
      </c>
      <c r="B61" s="3262" t="s">
        <v>2277</v>
      </c>
      <c r="C61" s="3046">
        <v>6</v>
      </c>
      <c r="D61" s="3046">
        <v>2.3199999999999998</v>
      </c>
      <c r="E61" s="3046"/>
      <c r="F61" s="3046"/>
      <c r="G61" s="3046">
        <v>1</v>
      </c>
      <c r="H61" s="2214">
        <v>21136</v>
      </c>
      <c r="I61" s="2214">
        <v>4227.2</v>
      </c>
      <c r="J61" s="2214"/>
      <c r="K61" s="2214">
        <v>1520</v>
      </c>
      <c r="L61" s="2214"/>
      <c r="M61" s="2214">
        <v>2113.6</v>
      </c>
      <c r="N61" s="2214"/>
      <c r="O61" s="2214"/>
      <c r="P61" s="2214"/>
      <c r="Q61" s="2214"/>
      <c r="R61" s="2214">
        <v>5284</v>
      </c>
      <c r="S61" s="2214"/>
      <c r="T61" s="2214"/>
      <c r="U61" s="2214">
        <v>21136</v>
      </c>
      <c r="V61" s="2214">
        <v>4227.2</v>
      </c>
      <c r="W61" s="2214">
        <v>8917.6</v>
      </c>
      <c r="X61" s="2214">
        <v>34280.800000000003</v>
      </c>
      <c r="Y61" s="2216">
        <v>253.63200000000001</v>
      </c>
      <c r="Z61" s="2216">
        <v>50.726399999999998</v>
      </c>
      <c r="AA61" s="2216">
        <v>107.0112</v>
      </c>
      <c r="AB61" s="2216">
        <v>411.36959999999999</v>
      </c>
      <c r="AC61" s="3264"/>
      <c r="AD61" s="3265">
        <v>34280.800000000003</v>
      </c>
      <c r="AE61" s="3266"/>
    </row>
    <row r="62" spans="1:31" s="3267" customFormat="1" ht="17.25" customHeight="1">
      <c r="A62" s="3263">
        <v>27</v>
      </c>
      <c r="B62" s="3262" t="s">
        <v>2910</v>
      </c>
      <c r="C62" s="3046">
        <v>3</v>
      </c>
      <c r="D62" s="3046">
        <v>1.56</v>
      </c>
      <c r="E62" s="3046"/>
      <c r="F62" s="3046"/>
      <c r="G62" s="3046">
        <v>1</v>
      </c>
      <c r="H62" s="2214">
        <v>19700</v>
      </c>
      <c r="I62" s="2214">
        <v>5910</v>
      </c>
      <c r="J62" s="2214"/>
      <c r="K62" s="2214"/>
      <c r="L62" s="2214"/>
      <c r="M62" s="2214">
        <v>1970</v>
      </c>
      <c r="N62" s="2214"/>
      <c r="O62" s="2214"/>
      <c r="P62" s="2214"/>
      <c r="Q62" s="2214"/>
      <c r="R62" s="2214"/>
      <c r="S62" s="2214"/>
      <c r="T62" s="2214"/>
      <c r="U62" s="2214">
        <v>19700</v>
      </c>
      <c r="V62" s="2214">
        <v>5910</v>
      </c>
      <c r="W62" s="2214">
        <v>1970</v>
      </c>
      <c r="X62" s="2214">
        <v>27580</v>
      </c>
      <c r="Y62" s="2216">
        <v>236.39999999999998</v>
      </c>
      <c r="Z62" s="2216">
        <v>70.92</v>
      </c>
      <c r="AA62" s="2216">
        <v>23.64</v>
      </c>
      <c r="AB62" s="2216">
        <v>330.96</v>
      </c>
      <c r="AC62" s="3264"/>
      <c r="AD62" s="3265">
        <v>27580</v>
      </c>
      <c r="AE62" s="3266"/>
    </row>
    <row r="63" spans="1:31" s="3267" customFormat="1" ht="13.8">
      <c r="A63" s="3263">
        <v>28</v>
      </c>
      <c r="B63" s="3262" t="s">
        <v>2313</v>
      </c>
      <c r="C63" s="3046">
        <v>5</v>
      </c>
      <c r="D63" s="3046">
        <v>1.83</v>
      </c>
      <c r="E63" s="3046"/>
      <c r="F63" s="3046"/>
      <c r="G63" s="3046">
        <v>1</v>
      </c>
      <c r="H63" s="2214">
        <v>20300</v>
      </c>
      <c r="I63" s="2214">
        <v>6090</v>
      </c>
      <c r="J63" s="2214"/>
      <c r="K63" s="2214"/>
      <c r="L63" s="2214"/>
      <c r="M63" s="2214">
        <v>2030</v>
      </c>
      <c r="N63" s="2214"/>
      <c r="O63" s="2214"/>
      <c r="P63" s="2214"/>
      <c r="Q63" s="2214"/>
      <c r="R63" s="2214"/>
      <c r="S63" s="2214"/>
      <c r="T63" s="2214"/>
      <c r="U63" s="2214">
        <v>20300</v>
      </c>
      <c r="V63" s="2214">
        <v>6090</v>
      </c>
      <c r="W63" s="2214">
        <v>2030</v>
      </c>
      <c r="X63" s="2214">
        <v>28420</v>
      </c>
      <c r="Y63" s="2216">
        <v>243.60000000000002</v>
      </c>
      <c r="Z63" s="2216">
        <v>73.08</v>
      </c>
      <c r="AA63" s="2216">
        <v>24.36</v>
      </c>
      <c r="AB63" s="2216">
        <v>341.04</v>
      </c>
      <c r="AC63" s="3264"/>
      <c r="AD63" s="3265">
        <v>28420</v>
      </c>
      <c r="AE63" s="3266"/>
    </row>
    <row r="64" spans="1:31" s="3267" customFormat="1" ht="13.8">
      <c r="A64" s="3263">
        <v>29</v>
      </c>
      <c r="B64" s="3262" t="s">
        <v>2315</v>
      </c>
      <c r="C64" s="3046">
        <v>4</v>
      </c>
      <c r="D64" s="3046">
        <v>1.72</v>
      </c>
      <c r="E64" s="3046"/>
      <c r="F64" s="3046"/>
      <c r="G64" s="3046">
        <v>1</v>
      </c>
      <c r="H64" s="2214">
        <v>18400</v>
      </c>
      <c r="I64" s="2214">
        <v>4600</v>
      </c>
      <c r="J64" s="2214"/>
      <c r="K64" s="2214">
        <v>1520</v>
      </c>
      <c r="L64" s="2214"/>
      <c r="M64" s="2214">
        <v>1840</v>
      </c>
      <c r="N64" s="2214"/>
      <c r="O64" s="2214"/>
      <c r="P64" s="2214"/>
      <c r="Q64" s="2214"/>
      <c r="R64" s="2214"/>
      <c r="S64" s="2214"/>
      <c r="T64" s="2214"/>
      <c r="U64" s="2214">
        <v>18400</v>
      </c>
      <c r="V64" s="2214">
        <v>4600</v>
      </c>
      <c r="W64" s="2214">
        <v>3360</v>
      </c>
      <c r="X64" s="2214">
        <v>26360</v>
      </c>
      <c r="Y64" s="2216">
        <v>220.79999999999998</v>
      </c>
      <c r="Z64" s="2216">
        <v>55.199999999999996</v>
      </c>
      <c r="AA64" s="2216">
        <v>40.32</v>
      </c>
      <c r="AB64" s="2216">
        <v>316.32</v>
      </c>
      <c r="AC64" s="3264"/>
      <c r="AD64" s="3265">
        <v>26360</v>
      </c>
      <c r="AE64" s="3266"/>
    </row>
    <row r="65" spans="1:31" s="3267" customFormat="1" ht="13.8">
      <c r="A65" s="3263">
        <v>30</v>
      </c>
      <c r="B65" s="3262" t="s">
        <v>2316</v>
      </c>
      <c r="C65" s="3046">
        <v>3</v>
      </c>
      <c r="D65" s="3046">
        <v>1.56</v>
      </c>
      <c r="E65" s="3046"/>
      <c r="F65" s="3046"/>
      <c r="G65" s="3046">
        <v>2</v>
      </c>
      <c r="H65" s="2214">
        <v>16600</v>
      </c>
      <c r="I65" s="2214">
        <v>4150</v>
      </c>
      <c r="J65" s="2214"/>
      <c r="K65" s="2214"/>
      <c r="L65" s="2214"/>
      <c r="M65" s="2214">
        <v>1660</v>
      </c>
      <c r="N65" s="2214"/>
      <c r="O65" s="2214"/>
      <c r="P65" s="2214"/>
      <c r="Q65" s="2214"/>
      <c r="R65" s="2214"/>
      <c r="S65" s="2214"/>
      <c r="T65" s="2214"/>
      <c r="U65" s="2214">
        <v>33200</v>
      </c>
      <c r="V65" s="2214">
        <v>8300</v>
      </c>
      <c r="W65" s="2214">
        <v>3320</v>
      </c>
      <c r="X65" s="2214">
        <v>44820</v>
      </c>
      <c r="Y65" s="2216">
        <v>398.40000000000003</v>
      </c>
      <c r="Z65" s="2216">
        <v>99.600000000000009</v>
      </c>
      <c r="AA65" s="2216">
        <v>39.839999999999996</v>
      </c>
      <c r="AB65" s="2216">
        <v>537.84</v>
      </c>
      <c r="AC65" s="3264"/>
      <c r="AD65" s="3265">
        <v>44820</v>
      </c>
      <c r="AE65" s="3266"/>
    </row>
    <row r="66" spans="1:31" s="3267" customFormat="1" ht="13.8">
      <c r="A66" s="3263">
        <v>31</v>
      </c>
      <c r="B66" s="3262" t="s">
        <v>2317</v>
      </c>
      <c r="C66" s="3046">
        <v>4</v>
      </c>
      <c r="D66" s="3046">
        <v>1.82</v>
      </c>
      <c r="E66" s="3046"/>
      <c r="F66" s="3046"/>
      <c r="G66" s="3046">
        <v>1</v>
      </c>
      <c r="H66" s="2214">
        <v>19215</v>
      </c>
      <c r="I66" s="2214">
        <v>4803.75</v>
      </c>
      <c r="J66" s="2214"/>
      <c r="K66" s="2214"/>
      <c r="L66" s="2214"/>
      <c r="M66" s="2214">
        <v>1921.5</v>
      </c>
      <c r="N66" s="2214"/>
      <c r="O66" s="2214"/>
      <c r="P66" s="2214"/>
      <c r="Q66" s="2214"/>
      <c r="R66" s="2214">
        <v>9608</v>
      </c>
      <c r="S66" s="2214"/>
      <c r="T66" s="2214"/>
      <c r="U66" s="2214">
        <v>19215</v>
      </c>
      <c r="V66" s="2214">
        <v>4803.75</v>
      </c>
      <c r="W66" s="2214">
        <v>11529.5</v>
      </c>
      <c r="X66" s="2214">
        <v>35548.25</v>
      </c>
      <c r="Y66" s="2216">
        <v>230.57999999999998</v>
      </c>
      <c r="Z66" s="2216">
        <v>57.644999999999996</v>
      </c>
      <c r="AA66" s="2216">
        <v>138.35400000000001</v>
      </c>
      <c r="AB66" s="2216">
        <v>426.57899999999995</v>
      </c>
      <c r="AC66" s="3264"/>
      <c r="AD66" s="3265">
        <v>35548.25</v>
      </c>
      <c r="AE66" s="3266"/>
    </row>
    <row r="67" spans="1:31" s="3267" customFormat="1" ht="13.8">
      <c r="A67" s="3263">
        <v>32</v>
      </c>
      <c r="B67" s="3262" t="s">
        <v>2320</v>
      </c>
      <c r="C67" s="3046">
        <v>2</v>
      </c>
      <c r="D67" s="3046">
        <v>1.38</v>
      </c>
      <c r="E67" s="3046"/>
      <c r="F67" s="3046"/>
      <c r="G67" s="3046">
        <v>5</v>
      </c>
      <c r="H67" s="2214">
        <v>15200</v>
      </c>
      <c r="I67" s="2214">
        <v>7600</v>
      </c>
      <c r="J67" s="2214"/>
      <c r="K67" s="2214"/>
      <c r="L67" s="2214"/>
      <c r="M67" s="2214">
        <v>1520</v>
      </c>
      <c r="N67" s="2214"/>
      <c r="O67" s="2214"/>
      <c r="P67" s="2214"/>
      <c r="Q67" s="2214"/>
      <c r="R67" s="2214"/>
      <c r="S67" s="2214"/>
      <c r="T67" s="2214"/>
      <c r="U67" s="2214">
        <v>76000</v>
      </c>
      <c r="V67" s="2214">
        <v>38000</v>
      </c>
      <c r="W67" s="2214">
        <v>7600</v>
      </c>
      <c r="X67" s="2214">
        <v>121600</v>
      </c>
      <c r="Y67" s="2216">
        <v>912</v>
      </c>
      <c r="Z67" s="2216">
        <v>456</v>
      </c>
      <c r="AA67" s="2216">
        <v>91.199999999999989</v>
      </c>
      <c r="AB67" s="2216">
        <v>1459.2</v>
      </c>
      <c r="AC67" s="2214"/>
      <c r="AD67" s="3265">
        <v>121600</v>
      </c>
      <c r="AE67" s="3266"/>
    </row>
    <row r="68" spans="1:31" s="3267" customFormat="1" ht="13.8">
      <c r="A68" s="3046"/>
      <c r="B68" s="4246" t="s">
        <v>2326</v>
      </c>
      <c r="C68" s="3865">
        <v>7.2727272727272725</v>
      </c>
      <c r="D68" s="3865">
        <v>2.9945829418922298</v>
      </c>
      <c r="E68" s="3046"/>
      <c r="F68" s="3046"/>
      <c r="G68" s="3270">
        <v>55</v>
      </c>
      <c r="H68" s="2214"/>
      <c r="I68" s="2214"/>
      <c r="J68" s="2214"/>
      <c r="K68" s="2214"/>
      <c r="L68" s="2214"/>
      <c r="M68" s="2214"/>
      <c r="N68" s="2214"/>
      <c r="O68" s="2214"/>
      <c r="P68" s="2214"/>
      <c r="Q68" s="2214"/>
      <c r="R68" s="2214"/>
      <c r="S68" s="2214"/>
      <c r="T68" s="2214"/>
      <c r="U68" s="2214">
        <v>1434351</v>
      </c>
      <c r="V68" s="2214">
        <v>439850.95</v>
      </c>
      <c r="W68" s="2214">
        <v>487373.1</v>
      </c>
      <c r="X68" s="2214">
        <v>2361575.0499999998</v>
      </c>
      <c r="Y68" s="2216">
        <v>17212.212</v>
      </c>
      <c r="Z68" s="2216">
        <v>5278.2113999999992</v>
      </c>
      <c r="AA68" s="2216">
        <v>5848.4772000000012</v>
      </c>
      <c r="AB68" s="2216">
        <v>28338.900600000004</v>
      </c>
      <c r="AC68" s="2214"/>
      <c r="AD68" s="3265">
        <v>2361575.0499999998</v>
      </c>
      <c r="AE68" s="3266"/>
    </row>
    <row r="69" spans="1:31" s="3267" customFormat="1" ht="21" customHeight="1">
      <c r="A69" s="3046"/>
      <c r="B69" s="4247"/>
      <c r="C69" s="3869"/>
      <c r="D69" s="3869"/>
      <c r="E69" s="3046"/>
      <c r="F69" s="3046"/>
      <c r="G69" s="3046"/>
      <c r="H69" s="2214"/>
      <c r="I69" s="2214"/>
      <c r="J69" s="2214"/>
      <c r="K69" s="2214"/>
      <c r="L69" s="2214"/>
      <c r="M69" s="2214"/>
      <c r="N69" s="2214"/>
      <c r="O69" s="2214"/>
      <c r="P69" s="2214"/>
      <c r="Q69" s="2214"/>
      <c r="R69" s="2214"/>
      <c r="S69" s="2214"/>
      <c r="T69" s="2214"/>
      <c r="U69" s="2214"/>
      <c r="V69" s="2214"/>
      <c r="W69" s="2214"/>
      <c r="X69" s="3048"/>
      <c r="Y69" s="3049" t="s">
        <v>2844</v>
      </c>
      <c r="Z69" s="3050">
        <v>30.665503074212651</v>
      </c>
      <c r="AA69" s="3050">
        <v>33.978649577404703</v>
      </c>
      <c r="AB69" s="2216"/>
      <c r="AC69" s="3853">
        <v>0</v>
      </c>
      <c r="AD69" s="3265">
        <v>0</v>
      </c>
      <c r="AE69" s="3266"/>
    </row>
    <row r="70" spans="1:31" s="3267" customFormat="1" ht="21" customHeight="1">
      <c r="A70" s="3046"/>
      <c r="B70" s="4246" t="s">
        <v>2334</v>
      </c>
      <c r="C70" s="3865">
        <v>8.0871140939597304</v>
      </c>
      <c r="D70" s="3865">
        <v>2.8465030548319588</v>
      </c>
      <c r="E70" s="3270"/>
      <c r="F70" s="3270"/>
      <c r="G70" s="3270">
        <v>149</v>
      </c>
      <c r="H70" s="2214"/>
      <c r="I70" s="2214"/>
      <c r="J70" s="2214"/>
      <c r="K70" s="2214"/>
      <c r="L70" s="2214"/>
      <c r="M70" s="2214"/>
      <c r="N70" s="2214"/>
      <c r="O70" s="2214"/>
      <c r="P70" s="2214"/>
      <c r="Q70" s="2214"/>
      <c r="R70" s="2214"/>
      <c r="S70" s="2214"/>
      <c r="T70" s="2214"/>
      <c r="U70" s="2214">
        <v>3746646</v>
      </c>
      <c r="V70" s="2214">
        <v>902309.15000000014</v>
      </c>
      <c r="W70" s="2214">
        <v>1459651.7999999998</v>
      </c>
      <c r="X70" s="2214">
        <v>6108009.9499999993</v>
      </c>
      <c r="Y70" s="2216">
        <v>44959.751999999993</v>
      </c>
      <c r="Z70" s="2216">
        <v>10827.709799999997</v>
      </c>
      <c r="AA70" s="2216">
        <v>17515.821600000003</v>
      </c>
      <c r="AB70" s="2216">
        <v>73303.283400000015</v>
      </c>
      <c r="AC70" s="2214"/>
      <c r="AD70" s="3265">
        <v>6108606.9500000002</v>
      </c>
      <c r="AE70" s="3870">
        <v>73303.2834</v>
      </c>
    </row>
    <row r="71" spans="1:31" s="3267" customFormat="1" ht="21" customHeight="1">
      <c r="A71" s="3046"/>
      <c r="B71" s="4247"/>
      <c r="C71" s="3869"/>
      <c r="D71" s="3869"/>
      <c r="E71" s="3046"/>
      <c r="F71" s="3046"/>
      <c r="G71" s="3046"/>
      <c r="H71" s="2214"/>
      <c r="I71" s="2214"/>
      <c r="J71" s="2214"/>
      <c r="K71" s="2214"/>
      <c r="L71" s="2214"/>
      <c r="M71" s="2214"/>
      <c r="N71" s="2214"/>
      <c r="O71" s="2214"/>
      <c r="P71" s="2214"/>
      <c r="Q71" s="2214"/>
      <c r="R71" s="2214"/>
      <c r="S71" s="2214"/>
      <c r="T71" s="2214"/>
      <c r="U71" s="2214"/>
      <c r="V71" s="2214"/>
      <c r="W71" s="2214"/>
      <c r="X71" s="3048"/>
      <c r="Y71" s="3049" t="s">
        <v>2844</v>
      </c>
      <c r="Z71" s="3050">
        <v>24.08311727342268</v>
      </c>
      <c r="AA71" s="3050">
        <v>38.958892833750518</v>
      </c>
      <c r="AB71" s="2216"/>
      <c r="AC71" s="3853">
        <v>0</v>
      </c>
      <c r="AD71" s="3265">
        <v>0</v>
      </c>
      <c r="AE71" s="3266"/>
    </row>
    <row r="72" spans="1:31">
      <c r="A72" s="3410"/>
    </row>
    <row r="73" spans="1:31" hidden="1">
      <c r="A73" s="3410" t="s">
        <v>2845</v>
      </c>
      <c r="C73" s="3662"/>
      <c r="D73" s="3662"/>
      <c r="E73" s="3662"/>
      <c r="M73" s="3872"/>
    </row>
    <row r="74" spans="1:31" ht="42" customHeight="1">
      <c r="X74" s="3854"/>
    </row>
    <row r="75" spans="1:31" s="3268" customFormat="1" ht="13.8">
      <c r="A75" s="3873" t="s">
        <v>1266</v>
      </c>
      <c r="C75" s="3874"/>
      <c r="D75" s="3874"/>
      <c r="E75" s="3874"/>
    </row>
    <row r="76" spans="1:31" s="3268" customFormat="1" ht="13.8">
      <c r="A76" s="3873" t="s">
        <v>1304</v>
      </c>
      <c r="M76" s="3875" t="s">
        <v>2876</v>
      </c>
    </row>
    <row r="79" spans="1:31">
      <c r="G79" s="3662">
        <v>133.1</v>
      </c>
    </row>
    <row r="95" spans="3:8">
      <c r="C95" s="3662"/>
      <c r="D95" s="3662"/>
      <c r="E95" s="3662"/>
      <c r="H95" s="3876"/>
    </row>
  </sheetData>
  <mergeCells count="21">
    <mergeCell ref="B70:B71"/>
    <mergeCell ref="AA7:AA8"/>
    <mergeCell ref="AB7:AB8"/>
    <mergeCell ref="D6:D8"/>
    <mergeCell ref="C6:C8"/>
    <mergeCell ref="B33:B34"/>
    <mergeCell ref="B68:B69"/>
    <mergeCell ref="U7:U8"/>
    <mergeCell ref="V7:V8"/>
    <mergeCell ref="W7:W8"/>
    <mergeCell ref="X7:X8"/>
    <mergeCell ref="Y7:Y8"/>
    <mergeCell ref="Z7:Z8"/>
    <mergeCell ref="H6:T6"/>
    <mergeCell ref="H7:H8"/>
    <mergeCell ref="I7:I8"/>
    <mergeCell ref="A6:A8"/>
    <mergeCell ref="B6:B8"/>
    <mergeCell ref="E6:E8"/>
    <mergeCell ref="F6:F8"/>
    <mergeCell ref="G6:G8"/>
  </mergeCells>
  <printOptions horizontalCentered="1"/>
  <pageMargins left="0" right="0" top="0.59055118110236227" bottom="0.11811023622047245" header="0.51181102362204722" footer="3.937007874015748E-2"/>
  <pageSetup paperSize="9" scale="61" pageOrder="overThenDown" orientation="landscape" r:id="rId1"/>
  <headerFooter alignWithMargins="0">
    <oddFooter>&amp;R&amp;8&amp;P</oddFooter>
  </headerFooter>
  <rowBreaks count="1" manualBreakCount="1">
    <brk id="45" max="25" man="1"/>
  </rowBreak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3">
    <tabColor rgb="FF00B050"/>
  </sheetPr>
  <dimension ref="A1:T35"/>
  <sheetViews>
    <sheetView topLeftCell="C1" workbookViewId="0">
      <selection activeCell="N1" sqref="N1:T1048576"/>
    </sheetView>
  </sheetViews>
  <sheetFormatPr defaultColWidth="9.109375" defaultRowHeight="13.2"/>
  <cols>
    <col min="1" max="1" width="54.109375" style="3790" customWidth="1"/>
    <col min="2" max="2" width="9.88671875" style="3790" customWidth="1"/>
    <col min="3" max="8" width="11" style="3790" customWidth="1"/>
    <col min="9" max="9" width="0" style="3789" hidden="1" customWidth="1"/>
    <col min="10" max="20" width="0" style="3790" hidden="1" customWidth="1"/>
    <col min="21" max="16384" width="9.109375" style="3790"/>
  </cols>
  <sheetData>
    <row r="1" spans="1:20" ht="21" customHeight="1">
      <c r="A1" s="3787" t="s">
        <v>2487</v>
      </c>
      <c r="B1" s="2381"/>
      <c r="C1" s="3788"/>
      <c r="D1" s="3788"/>
      <c r="E1" s="3788"/>
      <c r="F1" s="3788"/>
      <c r="G1" s="3788"/>
      <c r="H1" s="3788"/>
    </row>
    <row r="2" spans="1:20" ht="21" customHeight="1">
      <c r="A2" s="3791" t="s">
        <v>1425</v>
      </c>
      <c r="B2" s="3787"/>
      <c r="C2" s="3788"/>
      <c r="D2" s="3788"/>
      <c r="E2" s="3788"/>
      <c r="F2" s="3788"/>
      <c r="G2" s="3788"/>
      <c r="H2" s="3788"/>
    </row>
    <row r="3" spans="1:20" ht="20.25" customHeight="1">
      <c r="A3" s="3791" t="s">
        <v>2868</v>
      </c>
      <c r="B3" s="3792"/>
      <c r="C3" s="3792"/>
      <c r="D3" s="3792"/>
      <c r="E3" s="3792"/>
      <c r="F3" s="3792"/>
      <c r="G3" s="3792"/>
      <c r="H3" s="3792"/>
    </row>
    <row r="4" spans="1:20" ht="6.75" customHeight="1">
      <c r="A4" s="3791"/>
      <c r="B4" s="3792"/>
      <c r="C4" s="3792"/>
      <c r="D4" s="3792"/>
      <c r="E4" s="3792"/>
      <c r="F4" s="3792"/>
      <c r="G4" s="3792"/>
      <c r="H4" s="3792"/>
    </row>
    <row r="5" spans="1:20" s="2073" customFormat="1" ht="15.6">
      <c r="A5" s="2393" t="s">
        <v>1430</v>
      </c>
      <c r="B5" s="2393"/>
      <c r="C5" s="2393"/>
      <c r="D5" s="2327"/>
      <c r="E5" s="2326"/>
      <c r="F5" s="2326"/>
      <c r="G5" s="2326"/>
      <c r="H5" s="2326"/>
      <c r="I5" s="2326"/>
      <c r="J5" s="2327"/>
      <c r="K5" s="2326"/>
      <c r="L5" s="3793" t="s">
        <v>1626</v>
      </c>
      <c r="M5" s="2326"/>
      <c r="N5" s="2326"/>
      <c r="S5" s="3794"/>
      <c r="T5" s="3400"/>
    </row>
    <row r="6" spans="1:20" s="2073" customFormat="1" ht="42">
      <c r="A6" s="3795" t="s">
        <v>902</v>
      </c>
      <c r="B6" s="3796"/>
      <c r="C6" s="3797"/>
      <c r="D6" s="3798" t="s">
        <v>3007</v>
      </c>
      <c r="E6" s="3799" t="s">
        <v>1697</v>
      </c>
      <c r="F6" s="3800"/>
      <c r="G6" s="3801" t="s">
        <v>1694</v>
      </c>
      <c r="H6" s="3802"/>
      <c r="I6" s="3803"/>
      <c r="J6" s="2327"/>
      <c r="K6" s="2326"/>
      <c r="L6" s="2327"/>
      <c r="M6" s="2326"/>
      <c r="N6" s="2326"/>
      <c r="P6" s="3794"/>
      <c r="S6" s="3804"/>
      <c r="T6" s="3400"/>
    </row>
    <row r="7" spans="1:20" s="2073" customFormat="1" ht="28.8">
      <c r="A7" s="3805"/>
      <c r="B7" s="3806"/>
      <c r="C7" s="3807"/>
      <c r="D7" s="3808" t="s">
        <v>1860</v>
      </c>
      <c r="E7" s="3809"/>
      <c r="F7" s="3810"/>
      <c r="G7" s="3811" t="s">
        <v>1695</v>
      </c>
      <c r="H7" s="2330" t="s">
        <v>1689</v>
      </c>
      <c r="I7" s="3803"/>
      <c r="J7" s="3771">
        <v>31984.329000000002</v>
      </c>
      <c r="L7" s="3002">
        <v>21.369630150413656</v>
      </c>
      <c r="M7" s="2006"/>
      <c r="N7" s="2006"/>
      <c r="S7" s="3812">
        <v>16.769818745732007</v>
      </c>
      <c r="T7" s="3400"/>
    </row>
    <row r="8" spans="1:20" s="2073" customFormat="1" ht="15.6">
      <c r="A8" s="3813" t="s">
        <v>1673</v>
      </c>
      <c r="B8" s="2393"/>
      <c r="C8" s="3814"/>
      <c r="D8" s="3815">
        <v>24879.768391399997</v>
      </c>
      <c r="E8" s="3816">
        <v>16.769818745732007</v>
      </c>
      <c r="F8" s="3817"/>
      <c r="G8" s="3818">
        <v>16</v>
      </c>
      <c r="H8" s="3819">
        <v>9.1999999999999993</v>
      </c>
      <c r="I8" s="3813"/>
      <c r="J8" s="3771">
        <v>123663.1</v>
      </c>
      <c r="L8" s="2006"/>
      <c r="M8" s="2006"/>
      <c r="N8" s="2006"/>
      <c r="S8" s="3812">
        <v>83.230181254268004</v>
      </c>
      <c r="T8" s="3400"/>
    </row>
    <row r="9" spans="1:20" s="2073" customFormat="1" ht="15.6">
      <c r="A9" s="3813" t="s">
        <v>1431</v>
      </c>
      <c r="B9" s="2393"/>
      <c r="C9" s="3814"/>
      <c r="D9" s="3815">
        <v>123480.62100000001</v>
      </c>
      <c r="E9" s="3816">
        <v>83.230181254268004</v>
      </c>
      <c r="F9" s="3814"/>
      <c r="G9" s="3818">
        <v>78</v>
      </c>
      <c r="H9" s="3819">
        <v>45.8</v>
      </c>
      <c r="I9" s="3813"/>
      <c r="J9" s="3771">
        <v>155647.429</v>
      </c>
      <c r="L9" s="2006"/>
      <c r="M9" s="2006"/>
      <c r="N9" s="2006"/>
      <c r="S9" s="3812">
        <v>100</v>
      </c>
      <c r="T9" s="3400"/>
    </row>
    <row r="10" spans="1:20" ht="15.6">
      <c r="A10" s="3820" t="s">
        <v>419</v>
      </c>
      <c r="B10" s="3806"/>
      <c r="C10" s="3807"/>
      <c r="D10" s="3821">
        <v>148360.38939140001</v>
      </c>
      <c r="E10" s="3822">
        <v>100.00000000000001</v>
      </c>
      <c r="F10" s="3807"/>
      <c r="G10" s="3811">
        <v>94</v>
      </c>
      <c r="H10" s="3811">
        <v>55</v>
      </c>
      <c r="I10" s="3813"/>
    </row>
    <row r="11" spans="1:20" ht="18" customHeight="1">
      <c r="A11" s="2072" t="s">
        <v>3008</v>
      </c>
      <c r="J11" s="2371">
        <v>16.769818745732007</v>
      </c>
    </row>
    <row r="12" spans="1:20" ht="16.2">
      <c r="A12" s="2072" t="s">
        <v>1701</v>
      </c>
      <c r="B12" s="2073"/>
      <c r="C12" s="2073"/>
      <c r="D12" s="2397"/>
      <c r="E12" s="2399"/>
      <c r="F12" s="2073"/>
      <c r="J12" s="3789"/>
      <c r="K12" s="3789"/>
      <c r="L12" s="3789"/>
      <c r="M12" s="3789"/>
      <c r="N12" s="3789"/>
    </row>
    <row r="13" spans="1:20" ht="15.6">
      <c r="A13" s="2072" t="s">
        <v>2869</v>
      </c>
      <c r="B13" s="2073"/>
      <c r="C13" s="2073"/>
      <c r="D13" s="2397"/>
      <c r="E13" s="2399"/>
      <c r="F13" s="2073"/>
      <c r="J13" s="3789"/>
      <c r="K13" s="3789"/>
      <c r="L13" s="3789"/>
      <c r="M13" s="3789"/>
      <c r="N13" s="3789"/>
    </row>
    <row r="14" spans="1:20" s="3823" customFormat="1" ht="6.75" customHeight="1">
      <c r="A14" s="2072"/>
      <c r="B14" s="3790"/>
      <c r="C14" s="3790"/>
      <c r="D14" s="3790"/>
      <c r="E14" s="3790"/>
      <c r="F14" s="3790"/>
      <c r="G14" s="3790"/>
      <c r="H14" s="3790"/>
      <c r="I14" s="3789"/>
    </row>
    <row r="15" spans="1:20" s="3823" customFormat="1" ht="31.2" hidden="1">
      <c r="A15" s="3824" t="s">
        <v>2604</v>
      </c>
      <c r="B15" s="3825"/>
      <c r="C15" s="3826"/>
      <c r="D15" s="3826"/>
      <c r="E15" s="3826"/>
      <c r="F15" s="3826"/>
      <c r="G15" s="2381" t="s">
        <v>1314</v>
      </c>
      <c r="H15" s="3826"/>
      <c r="I15" s="3789"/>
    </row>
    <row r="16" spans="1:20" s="3828" customFormat="1" ht="45.75" customHeight="1">
      <c r="A16" s="4256" t="s">
        <v>1309</v>
      </c>
      <c r="B16" s="4256" t="s">
        <v>1310</v>
      </c>
      <c r="C16" s="2330" t="s">
        <v>2870</v>
      </c>
      <c r="D16" s="2330"/>
      <c r="E16" s="2330"/>
      <c r="F16" s="2330" t="s">
        <v>3024</v>
      </c>
      <c r="G16" s="2330"/>
      <c r="H16" s="2330"/>
      <c r="I16" s="3827"/>
    </row>
    <row r="17" spans="1:12" s="3828" customFormat="1" ht="33" customHeight="1">
      <c r="A17" s="4257"/>
      <c r="B17" s="4257"/>
      <c r="C17" s="2330" t="s">
        <v>1411</v>
      </c>
      <c r="D17" s="2330" t="s">
        <v>1689</v>
      </c>
      <c r="E17" s="2330" t="s">
        <v>679</v>
      </c>
      <c r="F17" s="2330" t="s">
        <v>1411</v>
      </c>
      <c r="G17" s="2330" t="s">
        <v>1689</v>
      </c>
      <c r="H17" s="2330" t="s">
        <v>679</v>
      </c>
      <c r="I17" s="3827"/>
    </row>
    <row r="18" spans="1:12" s="3828" customFormat="1" ht="21.75" customHeight="1">
      <c r="A18" s="3829" t="s">
        <v>1412</v>
      </c>
      <c r="B18" s="3830" t="s">
        <v>1413</v>
      </c>
      <c r="C18" s="2400">
        <v>94</v>
      </c>
      <c r="D18" s="2400">
        <v>55</v>
      </c>
      <c r="E18" s="2400">
        <v>149</v>
      </c>
      <c r="F18" s="2400">
        <v>16</v>
      </c>
      <c r="G18" s="2400">
        <v>9.1999999999999993</v>
      </c>
      <c r="H18" s="2400">
        <v>25.2</v>
      </c>
      <c r="I18" s="3831"/>
    </row>
    <row r="19" spans="1:12" s="3828" customFormat="1" ht="29.25" customHeight="1">
      <c r="A19" s="3829" t="s">
        <v>1414</v>
      </c>
      <c r="B19" s="3830" t="s">
        <v>238</v>
      </c>
      <c r="C19" s="2401">
        <v>27747.539999999997</v>
      </c>
      <c r="D19" s="2401">
        <v>17212.212</v>
      </c>
      <c r="E19" s="2401">
        <v>44959.751999999993</v>
      </c>
      <c r="F19" s="2401">
        <v>4722.9849599999998</v>
      </c>
      <c r="G19" s="2401">
        <v>2879.1337439999998</v>
      </c>
      <c r="H19" s="2401">
        <v>7602.1187039999995</v>
      </c>
      <c r="I19" s="3831"/>
    </row>
    <row r="20" spans="1:12" s="3828" customFormat="1" ht="23.25" customHeight="1">
      <c r="A20" s="3829" t="s">
        <v>1415</v>
      </c>
      <c r="B20" s="3830" t="s">
        <v>601</v>
      </c>
      <c r="C20" s="2402">
        <v>24598.880000000001</v>
      </c>
      <c r="D20" s="2402">
        <v>26079.11</v>
      </c>
      <c r="E20" s="2402">
        <v>25145.279999999999</v>
      </c>
      <c r="F20" s="2402">
        <v>24598.880000000001</v>
      </c>
      <c r="G20" s="2402">
        <v>26079.11</v>
      </c>
      <c r="H20" s="2402">
        <v>25145.279999999999</v>
      </c>
      <c r="I20" s="3831"/>
    </row>
    <row r="21" spans="1:12" s="3828" customFormat="1" ht="29.25" customHeight="1">
      <c r="A21" s="3829" t="s">
        <v>1707</v>
      </c>
      <c r="B21" s="3830" t="s">
        <v>238</v>
      </c>
      <c r="C21" s="2401">
        <v>11667.344400000002</v>
      </c>
      <c r="D21" s="2401">
        <v>5848.4772000000012</v>
      </c>
      <c r="E21" s="2401">
        <v>17515.821600000003</v>
      </c>
      <c r="F21" s="2401">
        <v>1985.9308799999999</v>
      </c>
      <c r="G21" s="2401">
        <v>978.29083199999991</v>
      </c>
      <c r="H21" s="2401">
        <v>2964.2217119999996</v>
      </c>
      <c r="I21" s="3831"/>
    </row>
    <row r="22" spans="1:12" s="3828" customFormat="1" ht="30" customHeight="1">
      <c r="A22" s="3829" t="s">
        <v>636</v>
      </c>
      <c r="B22" s="3830" t="s">
        <v>601</v>
      </c>
      <c r="C22" s="2402">
        <v>10343.39</v>
      </c>
      <c r="D22" s="2402">
        <v>8861.33</v>
      </c>
      <c r="E22" s="2402">
        <v>9796.32</v>
      </c>
      <c r="F22" s="2402">
        <v>10343.39</v>
      </c>
      <c r="G22" s="2402">
        <v>8861.33</v>
      </c>
      <c r="H22" s="2402">
        <v>9796.32</v>
      </c>
      <c r="I22" s="3831"/>
    </row>
    <row r="23" spans="1:12" s="3828" customFormat="1" ht="21.75" customHeight="1">
      <c r="A23" s="3829" t="s">
        <v>1416</v>
      </c>
      <c r="B23" s="3830" t="s">
        <v>244</v>
      </c>
      <c r="C23" s="2331">
        <v>42.05</v>
      </c>
      <c r="D23" s="2331">
        <v>33.979999999999997</v>
      </c>
      <c r="E23" s="2331">
        <v>38.96</v>
      </c>
      <c r="F23" s="2331">
        <v>42.05</v>
      </c>
      <c r="G23" s="2331">
        <v>33.979999999999997</v>
      </c>
      <c r="H23" s="2331">
        <v>38.99</v>
      </c>
      <c r="I23" s="3831"/>
    </row>
    <row r="24" spans="1:12" s="3828" customFormat="1" ht="21.75" customHeight="1">
      <c r="A24" s="3829" t="s">
        <v>2336</v>
      </c>
      <c r="B24" s="3830" t="s">
        <v>238</v>
      </c>
      <c r="C24" s="2401">
        <v>5549.4983999999986</v>
      </c>
      <c r="D24" s="2401">
        <v>5278.2113999999992</v>
      </c>
      <c r="E24" s="2401">
        <v>10827.709799999997</v>
      </c>
      <c r="F24" s="2401">
        <v>944.59584000000007</v>
      </c>
      <c r="G24" s="2401">
        <v>882.90081599999996</v>
      </c>
      <c r="H24" s="2401">
        <v>1827.496656</v>
      </c>
      <c r="I24" s="3831"/>
    </row>
    <row r="25" spans="1:12" s="3828" customFormat="1" ht="21.75" customHeight="1">
      <c r="A25" s="3829" t="s">
        <v>2337</v>
      </c>
      <c r="B25" s="3830" t="s">
        <v>601</v>
      </c>
      <c r="C25" s="2402">
        <v>4919.7700000000004</v>
      </c>
      <c r="D25" s="2402">
        <v>7997.29</v>
      </c>
      <c r="E25" s="2402">
        <v>6055.77</v>
      </c>
      <c r="F25" s="2402">
        <v>4919.7700000000004</v>
      </c>
      <c r="G25" s="2402">
        <v>7997.29</v>
      </c>
      <c r="H25" s="2402">
        <v>6055.77</v>
      </c>
      <c r="I25" s="3831"/>
      <c r="J25" s="3828">
        <v>18809.616000000002</v>
      </c>
      <c r="K25" s="3828">
        <v>3154.3385099682073</v>
      </c>
      <c r="L25" s="3832">
        <v>4019.5453719130314</v>
      </c>
    </row>
    <row r="26" spans="1:12" s="3828" customFormat="1" ht="21.75" customHeight="1">
      <c r="A26" s="3829" t="s">
        <v>1708</v>
      </c>
      <c r="B26" s="3830" t="s">
        <v>244</v>
      </c>
      <c r="C26" s="2331">
        <v>20</v>
      </c>
      <c r="D26" s="2331">
        <v>30.67</v>
      </c>
      <c r="E26" s="2331">
        <v>24.08</v>
      </c>
      <c r="F26" s="2331">
        <v>20</v>
      </c>
      <c r="G26" s="2331">
        <v>30.67</v>
      </c>
      <c r="H26" s="2331">
        <v>24.08</v>
      </c>
      <c r="I26" s="3831"/>
      <c r="J26" s="3832">
        <v>14843.914888500001</v>
      </c>
    </row>
    <row r="27" spans="1:12" ht="20.25" customHeight="1">
      <c r="A27" s="3833" t="s">
        <v>1419</v>
      </c>
      <c r="B27" s="3834" t="s">
        <v>238</v>
      </c>
      <c r="C27" s="2403">
        <v>44964.382799999999</v>
      </c>
      <c r="D27" s="2403">
        <v>28338.900600000001</v>
      </c>
      <c r="E27" s="2403">
        <v>73303.2834</v>
      </c>
      <c r="F27" s="2403">
        <v>7653.5116799999996</v>
      </c>
      <c r="G27" s="2403">
        <v>4740.3253919999997</v>
      </c>
      <c r="H27" s="2403">
        <v>12393.837071999998</v>
      </c>
      <c r="I27" s="3831"/>
      <c r="J27" s="3835">
        <v>39862.040000000008</v>
      </c>
      <c r="K27" s="3835">
        <v>42937.73</v>
      </c>
      <c r="L27" s="3835">
        <v>40997.369999999995</v>
      </c>
    </row>
    <row r="28" spans="1:12" ht="21.75" customHeight="1">
      <c r="A28" s="3829" t="s">
        <v>1420</v>
      </c>
      <c r="B28" s="3830" t="s">
        <v>601</v>
      </c>
      <c r="C28" s="2402">
        <v>39862.041489361698</v>
      </c>
      <c r="D28" s="2402">
        <v>42937.728181818187</v>
      </c>
      <c r="E28" s="2402">
        <v>40997.362080536914</v>
      </c>
      <c r="F28" s="2402">
        <v>39862.04</v>
      </c>
      <c r="G28" s="2402">
        <v>42937.73</v>
      </c>
      <c r="H28" s="2402">
        <v>40997.369999999995</v>
      </c>
      <c r="I28" s="3831"/>
    </row>
    <row r="31" spans="1:12" hidden="1">
      <c r="A31" s="3410"/>
    </row>
    <row r="32" spans="1:12" hidden="1">
      <c r="A32" s="3410"/>
    </row>
    <row r="34" spans="1:9" s="3836" customFormat="1" ht="13.8">
      <c r="A34" s="3836" t="s">
        <v>1266</v>
      </c>
      <c r="I34" s="3828"/>
    </row>
    <row r="35" spans="1:9" s="3836" customFormat="1" ht="13.8">
      <c r="A35" s="3836" t="s">
        <v>1304</v>
      </c>
      <c r="E35" s="3836" t="s">
        <v>2876</v>
      </c>
      <c r="I35" s="3828"/>
    </row>
  </sheetData>
  <mergeCells count="2">
    <mergeCell ref="A16:A17"/>
    <mergeCell ref="B16:B17"/>
  </mergeCells>
  <printOptions horizontalCentered="1"/>
  <pageMargins left="0.78740157480314965" right="0.78740157480314965" top="0.70866141732283472" bottom="0.11811023622047245" header="0.51181102362204722" footer="3.937007874015748E-2"/>
  <pageSetup paperSize="9" scale="80" orientation="landscape" r:id="rId1"/>
  <headerFooter alignWithMargins="0"/>
  <colBreaks count="1" manualBreakCount="1">
    <brk id="9" max="1048575" man="1"/>
  </colBreaks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CCFF33"/>
  </sheetPr>
  <dimension ref="A1:AE69"/>
  <sheetViews>
    <sheetView workbookViewId="0">
      <pane xSplit="9" ySplit="6" topLeftCell="J7" activePane="bottomRight" state="frozenSplit"/>
      <selection sqref="A1:XFD1048576"/>
      <selection pane="topRight" sqref="A1:XFD1048576"/>
      <selection pane="bottomLeft" sqref="A1:XFD1048576"/>
      <selection pane="bottomRight" sqref="A1:XFD1048576"/>
    </sheetView>
  </sheetViews>
  <sheetFormatPr defaultRowHeight="15.6"/>
  <cols>
    <col min="1" max="1" width="36.88671875" style="2073" customWidth="1"/>
    <col min="2" max="2" width="8.109375" style="2073" customWidth="1"/>
    <col min="3" max="3" width="7" style="2073" hidden="1" customWidth="1"/>
    <col min="4" max="4" width="17.88671875" style="2006" hidden="1" customWidth="1"/>
    <col min="5" max="5" width="19.6640625" style="2006" hidden="1" customWidth="1"/>
    <col min="6" max="6" width="11.5546875" style="2006" hidden="1" customWidth="1"/>
    <col min="7" max="7" width="13.88671875" style="2006" hidden="1" customWidth="1"/>
    <col min="8" max="8" width="12.33203125" style="2006" hidden="1" customWidth="1"/>
    <col min="9" max="9" width="11.44140625" style="2006" hidden="1" customWidth="1"/>
    <col min="10" max="10" width="14" style="2006" customWidth="1"/>
    <col min="11" max="11" width="12.33203125" style="2006" customWidth="1"/>
    <col min="12" max="12" width="13.33203125" style="2073" customWidth="1"/>
    <col min="13" max="13" width="13.33203125" style="2073" hidden="1" customWidth="1"/>
    <col min="14" max="14" width="10.88671875" style="2073" customWidth="1"/>
    <col min="15" max="15" width="14.44140625" style="2006" customWidth="1"/>
    <col min="16" max="16" width="13.5546875" style="2006" hidden="1" customWidth="1"/>
    <col min="17" max="17" width="13.88671875" style="2006" hidden="1" customWidth="1"/>
    <col min="18" max="18" width="14.44140625" style="2006" customWidth="1"/>
    <col min="19" max="19" width="14" style="2006" customWidth="1"/>
    <col min="20" max="20" width="13.33203125" style="2006" customWidth="1"/>
    <col min="21" max="21" width="13.6640625" style="2006" hidden="1" customWidth="1"/>
    <col min="22" max="22" width="13.33203125" style="2006" customWidth="1"/>
    <col min="23" max="23" width="14.44140625" style="2006" customWidth="1"/>
    <col min="24" max="24" width="13.5546875" style="2006" customWidth="1"/>
    <col min="25" max="25" width="14.109375" style="2073" customWidth="1"/>
    <col min="26" max="26" width="8.44140625" style="2073" customWidth="1"/>
    <col min="27" max="27" width="10" style="2073" hidden="1" customWidth="1"/>
    <col min="28" max="28" width="13.44140625" style="2073" hidden="1" customWidth="1"/>
    <col min="29" max="29" width="12" style="2073" hidden="1" customWidth="1"/>
    <col min="30" max="30" width="10" style="2073" hidden="1" customWidth="1"/>
    <col min="31" max="31" width="0" style="2073" hidden="1" customWidth="1"/>
    <col min="32" max="260" width="9.109375" style="2073"/>
    <col min="261" max="261" width="36.88671875" style="2073" customWidth="1"/>
    <col min="262" max="262" width="8.109375" style="2073" customWidth="1"/>
    <col min="263" max="269" width="0" style="2073" hidden="1" customWidth="1"/>
    <col min="270" max="270" width="14.44140625" style="2073" customWidth="1"/>
    <col min="271" max="271" width="13.5546875" style="2073" customWidth="1"/>
    <col min="272" max="272" width="13.88671875" style="2073" customWidth="1"/>
    <col min="273" max="273" width="14.44140625" style="2073" customWidth="1"/>
    <col min="274" max="274" width="14" style="2073" customWidth="1"/>
    <col min="275" max="275" width="13.33203125" style="2073" customWidth="1"/>
    <col min="276" max="276" width="13.6640625" style="2073" customWidth="1"/>
    <col min="277" max="277" width="13.33203125" style="2073" customWidth="1"/>
    <col min="278" max="278" width="14.44140625" style="2073" customWidth="1"/>
    <col min="279" max="279" width="13.5546875" style="2073" customWidth="1"/>
    <col min="280" max="280" width="14.109375" style="2073" customWidth="1"/>
    <col min="281" max="281" width="0" style="2073" hidden="1" customWidth="1"/>
    <col min="282" max="282" width="10" style="2073" customWidth="1"/>
    <col min="283" max="283" width="11.44140625" style="2073" customWidth="1"/>
    <col min="284" max="284" width="13.44140625" style="2073" customWidth="1"/>
    <col min="285" max="516" width="9.109375" style="2073"/>
    <col min="517" max="517" width="36.88671875" style="2073" customWidth="1"/>
    <col min="518" max="518" width="8.109375" style="2073" customWidth="1"/>
    <col min="519" max="525" width="0" style="2073" hidden="1" customWidth="1"/>
    <col min="526" max="526" width="14.44140625" style="2073" customWidth="1"/>
    <col min="527" max="527" width="13.5546875" style="2073" customWidth="1"/>
    <col min="528" max="528" width="13.88671875" style="2073" customWidth="1"/>
    <col min="529" max="529" width="14.44140625" style="2073" customWidth="1"/>
    <col min="530" max="530" width="14" style="2073" customWidth="1"/>
    <col min="531" max="531" width="13.33203125" style="2073" customWidth="1"/>
    <col min="532" max="532" width="13.6640625" style="2073" customWidth="1"/>
    <col min="533" max="533" width="13.33203125" style="2073" customWidth="1"/>
    <col min="534" max="534" width="14.44140625" style="2073" customWidth="1"/>
    <col min="535" max="535" width="13.5546875" style="2073" customWidth="1"/>
    <col min="536" max="536" width="14.109375" style="2073" customWidth="1"/>
    <col min="537" max="537" width="0" style="2073" hidden="1" customWidth="1"/>
    <col min="538" max="538" width="10" style="2073" customWidth="1"/>
    <col min="539" max="539" width="11.44140625" style="2073" customWidth="1"/>
    <col min="540" max="540" width="13.44140625" style="2073" customWidth="1"/>
    <col min="541" max="772" width="9.109375" style="2073"/>
    <col min="773" max="773" width="36.88671875" style="2073" customWidth="1"/>
    <col min="774" max="774" width="8.109375" style="2073" customWidth="1"/>
    <col min="775" max="781" width="0" style="2073" hidden="1" customWidth="1"/>
    <col min="782" max="782" width="14.44140625" style="2073" customWidth="1"/>
    <col min="783" max="783" width="13.5546875" style="2073" customWidth="1"/>
    <col min="784" max="784" width="13.88671875" style="2073" customWidth="1"/>
    <col min="785" max="785" width="14.44140625" style="2073" customWidth="1"/>
    <col min="786" max="786" width="14" style="2073" customWidth="1"/>
    <col min="787" max="787" width="13.33203125" style="2073" customWidth="1"/>
    <col min="788" max="788" width="13.6640625" style="2073" customWidth="1"/>
    <col min="789" max="789" width="13.33203125" style="2073" customWidth="1"/>
    <col min="790" max="790" width="14.44140625" style="2073" customWidth="1"/>
    <col min="791" max="791" width="13.5546875" style="2073" customWidth="1"/>
    <col min="792" max="792" width="14.109375" style="2073" customWidth="1"/>
    <col min="793" max="793" width="0" style="2073" hidden="1" customWidth="1"/>
    <col min="794" max="794" width="10" style="2073" customWidth="1"/>
    <col min="795" max="795" width="11.44140625" style="2073" customWidth="1"/>
    <col min="796" max="796" width="13.44140625" style="2073" customWidth="1"/>
    <col min="797" max="1028" width="9.109375" style="2073"/>
    <col min="1029" max="1029" width="36.88671875" style="2073" customWidth="1"/>
    <col min="1030" max="1030" width="8.109375" style="2073" customWidth="1"/>
    <col min="1031" max="1037" width="0" style="2073" hidden="1" customWidth="1"/>
    <col min="1038" max="1038" width="14.44140625" style="2073" customWidth="1"/>
    <col min="1039" max="1039" width="13.5546875" style="2073" customWidth="1"/>
    <col min="1040" max="1040" width="13.88671875" style="2073" customWidth="1"/>
    <col min="1041" max="1041" width="14.44140625" style="2073" customWidth="1"/>
    <col min="1042" max="1042" width="14" style="2073" customWidth="1"/>
    <col min="1043" max="1043" width="13.33203125" style="2073" customWidth="1"/>
    <col min="1044" max="1044" width="13.6640625" style="2073" customWidth="1"/>
    <col min="1045" max="1045" width="13.33203125" style="2073" customWidth="1"/>
    <col min="1046" max="1046" width="14.44140625" style="2073" customWidth="1"/>
    <col min="1047" max="1047" width="13.5546875" style="2073" customWidth="1"/>
    <col min="1048" max="1048" width="14.109375" style="2073" customWidth="1"/>
    <col min="1049" max="1049" width="0" style="2073" hidden="1" customWidth="1"/>
    <col min="1050" max="1050" width="10" style="2073" customWidth="1"/>
    <col min="1051" max="1051" width="11.44140625" style="2073" customWidth="1"/>
    <col min="1052" max="1052" width="13.44140625" style="2073" customWidth="1"/>
    <col min="1053" max="1284" width="9.109375" style="2073"/>
    <col min="1285" max="1285" width="36.88671875" style="2073" customWidth="1"/>
    <col min="1286" max="1286" width="8.109375" style="2073" customWidth="1"/>
    <col min="1287" max="1293" width="0" style="2073" hidden="1" customWidth="1"/>
    <col min="1294" max="1294" width="14.44140625" style="2073" customWidth="1"/>
    <col min="1295" max="1295" width="13.5546875" style="2073" customWidth="1"/>
    <col min="1296" max="1296" width="13.88671875" style="2073" customWidth="1"/>
    <col min="1297" max="1297" width="14.44140625" style="2073" customWidth="1"/>
    <col min="1298" max="1298" width="14" style="2073" customWidth="1"/>
    <col min="1299" max="1299" width="13.33203125" style="2073" customWidth="1"/>
    <col min="1300" max="1300" width="13.6640625" style="2073" customWidth="1"/>
    <col min="1301" max="1301" width="13.33203125" style="2073" customWidth="1"/>
    <col min="1302" max="1302" width="14.44140625" style="2073" customWidth="1"/>
    <col min="1303" max="1303" width="13.5546875" style="2073" customWidth="1"/>
    <col min="1304" max="1304" width="14.109375" style="2073" customWidth="1"/>
    <col min="1305" max="1305" width="0" style="2073" hidden="1" customWidth="1"/>
    <col min="1306" max="1306" width="10" style="2073" customWidth="1"/>
    <col min="1307" max="1307" width="11.44140625" style="2073" customWidth="1"/>
    <col min="1308" max="1308" width="13.44140625" style="2073" customWidth="1"/>
    <col min="1309" max="1540" width="9.109375" style="2073"/>
    <col min="1541" max="1541" width="36.88671875" style="2073" customWidth="1"/>
    <col min="1542" max="1542" width="8.109375" style="2073" customWidth="1"/>
    <col min="1543" max="1549" width="0" style="2073" hidden="1" customWidth="1"/>
    <col min="1550" max="1550" width="14.44140625" style="2073" customWidth="1"/>
    <col min="1551" max="1551" width="13.5546875" style="2073" customWidth="1"/>
    <col min="1552" max="1552" width="13.88671875" style="2073" customWidth="1"/>
    <col min="1553" max="1553" width="14.44140625" style="2073" customWidth="1"/>
    <col min="1554" max="1554" width="14" style="2073" customWidth="1"/>
    <col min="1555" max="1555" width="13.33203125" style="2073" customWidth="1"/>
    <col min="1556" max="1556" width="13.6640625" style="2073" customWidth="1"/>
    <col min="1557" max="1557" width="13.33203125" style="2073" customWidth="1"/>
    <col min="1558" max="1558" width="14.44140625" style="2073" customWidth="1"/>
    <col min="1559" max="1559" width="13.5546875" style="2073" customWidth="1"/>
    <col min="1560" max="1560" width="14.109375" style="2073" customWidth="1"/>
    <col min="1561" max="1561" width="0" style="2073" hidden="1" customWidth="1"/>
    <col min="1562" max="1562" width="10" style="2073" customWidth="1"/>
    <col min="1563" max="1563" width="11.44140625" style="2073" customWidth="1"/>
    <col min="1564" max="1564" width="13.44140625" style="2073" customWidth="1"/>
    <col min="1565" max="1796" width="9.109375" style="2073"/>
    <col min="1797" max="1797" width="36.88671875" style="2073" customWidth="1"/>
    <col min="1798" max="1798" width="8.109375" style="2073" customWidth="1"/>
    <col min="1799" max="1805" width="0" style="2073" hidden="1" customWidth="1"/>
    <col min="1806" max="1806" width="14.44140625" style="2073" customWidth="1"/>
    <col min="1807" max="1807" width="13.5546875" style="2073" customWidth="1"/>
    <col min="1808" max="1808" width="13.88671875" style="2073" customWidth="1"/>
    <col min="1809" max="1809" width="14.44140625" style="2073" customWidth="1"/>
    <col min="1810" max="1810" width="14" style="2073" customWidth="1"/>
    <col min="1811" max="1811" width="13.33203125" style="2073" customWidth="1"/>
    <col min="1812" max="1812" width="13.6640625" style="2073" customWidth="1"/>
    <col min="1813" max="1813" width="13.33203125" style="2073" customWidth="1"/>
    <col min="1814" max="1814" width="14.44140625" style="2073" customWidth="1"/>
    <col min="1815" max="1815" width="13.5546875" style="2073" customWidth="1"/>
    <col min="1816" max="1816" width="14.109375" style="2073" customWidth="1"/>
    <col min="1817" max="1817" width="0" style="2073" hidden="1" customWidth="1"/>
    <col min="1818" max="1818" width="10" style="2073" customWidth="1"/>
    <col min="1819" max="1819" width="11.44140625" style="2073" customWidth="1"/>
    <col min="1820" max="1820" width="13.44140625" style="2073" customWidth="1"/>
    <col min="1821" max="2052" width="9.109375" style="2073"/>
    <col min="2053" max="2053" width="36.88671875" style="2073" customWidth="1"/>
    <col min="2054" max="2054" width="8.109375" style="2073" customWidth="1"/>
    <col min="2055" max="2061" width="0" style="2073" hidden="1" customWidth="1"/>
    <col min="2062" max="2062" width="14.44140625" style="2073" customWidth="1"/>
    <col min="2063" max="2063" width="13.5546875" style="2073" customWidth="1"/>
    <col min="2064" max="2064" width="13.88671875" style="2073" customWidth="1"/>
    <col min="2065" max="2065" width="14.44140625" style="2073" customWidth="1"/>
    <col min="2066" max="2066" width="14" style="2073" customWidth="1"/>
    <col min="2067" max="2067" width="13.33203125" style="2073" customWidth="1"/>
    <col min="2068" max="2068" width="13.6640625" style="2073" customWidth="1"/>
    <col min="2069" max="2069" width="13.33203125" style="2073" customWidth="1"/>
    <col min="2070" max="2070" width="14.44140625" style="2073" customWidth="1"/>
    <col min="2071" max="2071" width="13.5546875" style="2073" customWidth="1"/>
    <col min="2072" max="2072" width="14.109375" style="2073" customWidth="1"/>
    <col min="2073" max="2073" width="0" style="2073" hidden="1" customWidth="1"/>
    <col min="2074" max="2074" width="10" style="2073" customWidth="1"/>
    <col min="2075" max="2075" width="11.44140625" style="2073" customWidth="1"/>
    <col min="2076" max="2076" width="13.44140625" style="2073" customWidth="1"/>
    <col min="2077" max="2308" width="9.109375" style="2073"/>
    <col min="2309" max="2309" width="36.88671875" style="2073" customWidth="1"/>
    <col min="2310" max="2310" width="8.109375" style="2073" customWidth="1"/>
    <col min="2311" max="2317" width="0" style="2073" hidden="1" customWidth="1"/>
    <col min="2318" max="2318" width="14.44140625" style="2073" customWidth="1"/>
    <col min="2319" max="2319" width="13.5546875" style="2073" customWidth="1"/>
    <col min="2320" max="2320" width="13.88671875" style="2073" customWidth="1"/>
    <col min="2321" max="2321" width="14.44140625" style="2073" customWidth="1"/>
    <col min="2322" max="2322" width="14" style="2073" customWidth="1"/>
    <col min="2323" max="2323" width="13.33203125" style="2073" customWidth="1"/>
    <col min="2324" max="2324" width="13.6640625" style="2073" customWidth="1"/>
    <col min="2325" max="2325" width="13.33203125" style="2073" customWidth="1"/>
    <col min="2326" max="2326" width="14.44140625" style="2073" customWidth="1"/>
    <col min="2327" max="2327" width="13.5546875" style="2073" customWidth="1"/>
    <col min="2328" max="2328" width="14.109375" style="2073" customWidth="1"/>
    <col min="2329" max="2329" width="0" style="2073" hidden="1" customWidth="1"/>
    <col min="2330" max="2330" width="10" style="2073" customWidth="1"/>
    <col min="2331" max="2331" width="11.44140625" style="2073" customWidth="1"/>
    <col min="2332" max="2332" width="13.44140625" style="2073" customWidth="1"/>
    <col min="2333" max="2564" width="9.109375" style="2073"/>
    <col min="2565" max="2565" width="36.88671875" style="2073" customWidth="1"/>
    <col min="2566" max="2566" width="8.109375" style="2073" customWidth="1"/>
    <col min="2567" max="2573" width="0" style="2073" hidden="1" customWidth="1"/>
    <col min="2574" max="2574" width="14.44140625" style="2073" customWidth="1"/>
    <col min="2575" max="2575" width="13.5546875" style="2073" customWidth="1"/>
    <col min="2576" max="2576" width="13.88671875" style="2073" customWidth="1"/>
    <col min="2577" max="2577" width="14.44140625" style="2073" customWidth="1"/>
    <col min="2578" max="2578" width="14" style="2073" customWidth="1"/>
    <col min="2579" max="2579" width="13.33203125" style="2073" customWidth="1"/>
    <col min="2580" max="2580" width="13.6640625" style="2073" customWidth="1"/>
    <col min="2581" max="2581" width="13.33203125" style="2073" customWidth="1"/>
    <col min="2582" max="2582" width="14.44140625" style="2073" customWidth="1"/>
    <col min="2583" max="2583" width="13.5546875" style="2073" customWidth="1"/>
    <col min="2584" max="2584" width="14.109375" style="2073" customWidth="1"/>
    <col min="2585" max="2585" width="0" style="2073" hidden="1" customWidth="1"/>
    <col min="2586" max="2586" width="10" style="2073" customWidth="1"/>
    <col min="2587" max="2587" width="11.44140625" style="2073" customWidth="1"/>
    <col min="2588" max="2588" width="13.44140625" style="2073" customWidth="1"/>
    <col min="2589" max="2820" width="9.109375" style="2073"/>
    <col min="2821" max="2821" width="36.88671875" style="2073" customWidth="1"/>
    <col min="2822" max="2822" width="8.109375" style="2073" customWidth="1"/>
    <col min="2823" max="2829" width="0" style="2073" hidden="1" customWidth="1"/>
    <col min="2830" max="2830" width="14.44140625" style="2073" customWidth="1"/>
    <col min="2831" max="2831" width="13.5546875" style="2073" customWidth="1"/>
    <col min="2832" max="2832" width="13.88671875" style="2073" customWidth="1"/>
    <col min="2833" max="2833" width="14.44140625" style="2073" customWidth="1"/>
    <col min="2834" max="2834" width="14" style="2073" customWidth="1"/>
    <col min="2835" max="2835" width="13.33203125" style="2073" customWidth="1"/>
    <col min="2836" max="2836" width="13.6640625" style="2073" customWidth="1"/>
    <col min="2837" max="2837" width="13.33203125" style="2073" customWidth="1"/>
    <col min="2838" max="2838" width="14.44140625" style="2073" customWidth="1"/>
    <col min="2839" max="2839" width="13.5546875" style="2073" customWidth="1"/>
    <col min="2840" max="2840" width="14.109375" style="2073" customWidth="1"/>
    <col min="2841" max="2841" width="0" style="2073" hidden="1" customWidth="1"/>
    <col min="2842" max="2842" width="10" style="2073" customWidth="1"/>
    <col min="2843" max="2843" width="11.44140625" style="2073" customWidth="1"/>
    <col min="2844" max="2844" width="13.44140625" style="2073" customWidth="1"/>
    <col min="2845" max="3076" width="9.109375" style="2073"/>
    <col min="3077" max="3077" width="36.88671875" style="2073" customWidth="1"/>
    <col min="3078" max="3078" width="8.109375" style="2073" customWidth="1"/>
    <col min="3079" max="3085" width="0" style="2073" hidden="1" customWidth="1"/>
    <col min="3086" max="3086" width="14.44140625" style="2073" customWidth="1"/>
    <col min="3087" max="3087" width="13.5546875" style="2073" customWidth="1"/>
    <col min="3088" max="3088" width="13.88671875" style="2073" customWidth="1"/>
    <col min="3089" max="3089" width="14.44140625" style="2073" customWidth="1"/>
    <col min="3090" max="3090" width="14" style="2073" customWidth="1"/>
    <col min="3091" max="3091" width="13.33203125" style="2073" customWidth="1"/>
    <col min="3092" max="3092" width="13.6640625" style="2073" customWidth="1"/>
    <col min="3093" max="3093" width="13.33203125" style="2073" customWidth="1"/>
    <col min="3094" max="3094" width="14.44140625" style="2073" customWidth="1"/>
    <col min="3095" max="3095" width="13.5546875" style="2073" customWidth="1"/>
    <col min="3096" max="3096" width="14.109375" style="2073" customWidth="1"/>
    <col min="3097" max="3097" width="0" style="2073" hidden="1" customWidth="1"/>
    <col min="3098" max="3098" width="10" style="2073" customWidth="1"/>
    <col min="3099" max="3099" width="11.44140625" style="2073" customWidth="1"/>
    <col min="3100" max="3100" width="13.44140625" style="2073" customWidth="1"/>
    <col min="3101" max="3332" width="9.109375" style="2073"/>
    <col min="3333" max="3333" width="36.88671875" style="2073" customWidth="1"/>
    <col min="3334" max="3334" width="8.109375" style="2073" customWidth="1"/>
    <col min="3335" max="3341" width="0" style="2073" hidden="1" customWidth="1"/>
    <col min="3342" max="3342" width="14.44140625" style="2073" customWidth="1"/>
    <col min="3343" max="3343" width="13.5546875" style="2073" customWidth="1"/>
    <col min="3344" max="3344" width="13.88671875" style="2073" customWidth="1"/>
    <col min="3345" max="3345" width="14.44140625" style="2073" customWidth="1"/>
    <col min="3346" max="3346" width="14" style="2073" customWidth="1"/>
    <col min="3347" max="3347" width="13.33203125" style="2073" customWidth="1"/>
    <col min="3348" max="3348" width="13.6640625" style="2073" customWidth="1"/>
    <col min="3349" max="3349" width="13.33203125" style="2073" customWidth="1"/>
    <col min="3350" max="3350" width="14.44140625" style="2073" customWidth="1"/>
    <col min="3351" max="3351" width="13.5546875" style="2073" customWidth="1"/>
    <col min="3352" max="3352" width="14.109375" style="2073" customWidth="1"/>
    <col min="3353" max="3353" width="0" style="2073" hidden="1" customWidth="1"/>
    <col min="3354" max="3354" width="10" style="2073" customWidth="1"/>
    <col min="3355" max="3355" width="11.44140625" style="2073" customWidth="1"/>
    <col min="3356" max="3356" width="13.44140625" style="2073" customWidth="1"/>
    <col min="3357" max="3588" width="9.109375" style="2073"/>
    <col min="3589" max="3589" width="36.88671875" style="2073" customWidth="1"/>
    <col min="3590" max="3590" width="8.109375" style="2073" customWidth="1"/>
    <col min="3591" max="3597" width="0" style="2073" hidden="1" customWidth="1"/>
    <col min="3598" max="3598" width="14.44140625" style="2073" customWidth="1"/>
    <col min="3599" max="3599" width="13.5546875" style="2073" customWidth="1"/>
    <col min="3600" max="3600" width="13.88671875" style="2073" customWidth="1"/>
    <col min="3601" max="3601" width="14.44140625" style="2073" customWidth="1"/>
    <col min="3602" max="3602" width="14" style="2073" customWidth="1"/>
    <col min="3603" max="3603" width="13.33203125" style="2073" customWidth="1"/>
    <col min="3604" max="3604" width="13.6640625" style="2073" customWidth="1"/>
    <col min="3605" max="3605" width="13.33203125" style="2073" customWidth="1"/>
    <col min="3606" max="3606" width="14.44140625" style="2073" customWidth="1"/>
    <col min="3607" max="3607" width="13.5546875" style="2073" customWidth="1"/>
    <col min="3608" max="3608" width="14.109375" style="2073" customWidth="1"/>
    <col min="3609" max="3609" width="0" style="2073" hidden="1" customWidth="1"/>
    <col min="3610" max="3610" width="10" style="2073" customWidth="1"/>
    <col min="3611" max="3611" width="11.44140625" style="2073" customWidth="1"/>
    <col min="3612" max="3612" width="13.44140625" style="2073" customWidth="1"/>
    <col min="3613" max="3844" width="9.109375" style="2073"/>
    <col min="3845" max="3845" width="36.88671875" style="2073" customWidth="1"/>
    <col min="3846" max="3846" width="8.109375" style="2073" customWidth="1"/>
    <col min="3847" max="3853" width="0" style="2073" hidden="1" customWidth="1"/>
    <col min="3854" max="3854" width="14.44140625" style="2073" customWidth="1"/>
    <col min="3855" max="3855" width="13.5546875" style="2073" customWidth="1"/>
    <col min="3856" max="3856" width="13.88671875" style="2073" customWidth="1"/>
    <col min="3857" max="3857" width="14.44140625" style="2073" customWidth="1"/>
    <col min="3858" max="3858" width="14" style="2073" customWidth="1"/>
    <col min="3859" max="3859" width="13.33203125" style="2073" customWidth="1"/>
    <col min="3860" max="3860" width="13.6640625" style="2073" customWidth="1"/>
    <col min="3861" max="3861" width="13.33203125" style="2073" customWidth="1"/>
    <col min="3862" max="3862" width="14.44140625" style="2073" customWidth="1"/>
    <col min="3863" max="3863" width="13.5546875" style="2073" customWidth="1"/>
    <col min="3864" max="3864" width="14.109375" style="2073" customWidth="1"/>
    <col min="3865" max="3865" width="0" style="2073" hidden="1" customWidth="1"/>
    <col min="3866" max="3866" width="10" style="2073" customWidth="1"/>
    <col min="3867" max="3867" width="11.44140625" style="2073" customWidth="1"/>
    <col min="3868" max="3868" width="13.44140625" style="2073" customWidth="1"/>
    <col min="3869" max="4100" width="9.109375" style="2073"/>
    <col min="4101" max="4101" width="36.88671875" style="2073" customWidth="1"/>
    <col min="4102" max="4102" width="8.109375" style="2073" customWidth="1"/>
    <col min="4103" max="4109" width="0" style="2073" hidden="1" customWidth="1"/>
    <col min="4110" max="4110" width="14.44140625" style="2073" customWidth="1"/>
    <col min="4111" max="4111" width="13.5546875" style="2073" customWidth="1"/>
    <col min="4112" max="4112" width="13.88671875" style="2073" customWidth="1"/>
    <col min="4113" max="4113" width="14.44140625" style="2073" customWidth="1"/>
    <col min="4114" max="4114" width="14" style="2073" customWidth="1"/>
    <col min="4115" max="4115" width="13.33203125" style="2073" customWidth="1"/>
    <col min="4116" max="4116" width="13.6640625" style="2073" customWidth="1"/>
    <col min="4117" max="4117" width="13.33203125" style="2073" customWidth="1"/>
    <col min="4118" max="4118" width="14.44140625" style="2073" customWidth="1"/>
    <col min="4119" max="4119" width="13.5546875" style="2073" customWidth="1"/>
    <col min="4120" max="4120" width="14.109375" style="2073" customWidth="1"/>
    <col min="4121" max="4121" width="0" style="2073" hidden="1" customWidth="1"/>
    <col min="4122" max="4122" width="10" style="2073" customWidth="1"/>
    <col min="4123" max="4123" width="11.44140625" style="2073" customWidth="1"/>
    <col min="4124" max="4124" width="13.44140625" style="2073" customWidth="1"/>
    <col min="4125" max="4356" width="9.109375" style="2073"/>
    <col min="4357" max="4357" width="36.88671875" style="2073" customWidth="1"/>
    <col min="4358" max="4358" width="8.109375" style="2073" customWidth="1"/>
    <col min="4359" max="4365" width="0" style="2073" hidden="1" customWidth="1"/>
    <col min="4366" max="4366" width="14.44140625" style="2073" customWidth="1"/>
    <col min="4367" max="4367" width="13.5546875" style="2073" customWidth="1"/>
    <col min="4368" max="4368" width="13.88671875" style="2073" customWidth="1"/>
    <col min="4369" max="4369" width="14.44140625" style="2073" customWidth="1"/>
    <col min="4370" max="4370" width="14" style="2073" customWidth="1"/>
    <col min="4371" max="4371" width="13.33203125" style="2073" customWidth="1"/>
    <col min="4372" max="4372" width="13.6640625" style="2073" customWidth="1"/>
    <col min="4373" max="4373" width="13.33203125" style="2073" customWidth="1"/>
    <col min="4374" max="4374" width="14.44140625" style="2073" customWidth="1"/>
    <col min="4375" max="4375" width="13.5546875" style="2073" customWidth="1"/>
    <col min="4376" max="4376" width="14.109375" style="2073" customWidth="1"/>
    <col min="4377" max="4377" width="0" style="2073" hidden="1" customWidth="1"/>
    <col min="4378" max="4378" width="10" style="2073" customWidth="1"/>
    <col min="4379" max="4379" width="11.44140625" style="2073" customWidth="1"/>
    <col min="4380" max="4380" width="13.44140625" style="2073" customWidth="1"/>
    <col min="4381" max="4612" width="9.109375" style="2073"/>
    <col min="4613" max="4613" width="36.88671875" style="2073" customWidth="1"/>
    <col min="4614" max="4614" width="8.109375" style="2073" customWidth="1"/>
    <col min="4615" max="4621" width="0" style="2073" hidden="1" customWidth="1"/>
    <col min="4622" max="4622" width="14.44140625" style="2073" customWidth="1"/>
    <col min="4623" max="4623" width="13.5546875" style="2073" customWidth="1"/>
    <col min="4624" max="4624" width="13.88671875" style="2073" customWidth="1"/>
    <col min="4625" max="4625" width="14.44140625" style="2073" customWidth="1"/>
    <col min="4626" max="4626" width="14" style="2073" customWidth="1"/>
    <col min="4627" max="4627" width="13.33203125" style="2073" customWidth="1"/>
    <col min="4628" max="4628" width="13.6640625" style="2073" customWidth="1"/>
    <col min="4629" max="4629" width="13.33203125" style="2073" customWidth="1"/>
    <col min="4630" max="4630" width="14.44140625" style="2073" customWidth="1"/>
    <col min="4631" max="4631" width="13.5546875" style="2073" customWidth="1"/>
    <col min="4632" max="4632" width="14.109375" style="2073" customWidth="1"/>
    <col min="4633" max="4633" width="0" style="2073" hidden="1" customWidth="1"/>
    <col min="4634" max="4634" width="10" style="2073" customWidth="1"/>
    <col min="4635" max="4635" width="11.44140625" style="2073" customWidth="1"/>
    <col min="4636" max="4636" width="13.44140625" style="2073" customWidth="1"/>
    <col min="4637" max="4868" width="9.109375" style="2073"/>
    <col min="4869" max="4869" width="36.88671875" style="2073" customWidth="1"/>
    <col min="4870" max="4870" width="8.109375" style="2073" customWidth="1"/>
    <col min="4871" max="4877" width="0" style="2073" hidden="1" customWidth="1"/>
    <col min="4878" max="4878" width="14.44140625" style="2073" customWidth="1"/>
    <col min="4879" max="4879" width="13.5546875" style="2073" customWidth="1"/>
    <col min="4880" max="4880" width="13.88671875" style="2073" customWidth="1"/>
    <col min="4881" max="4881" width="14.44140625" style="2073" customWidth="1"/>
    <col min="4882" max="4882" width="14" style="2073" customWidth="1"/>
    <col min="4883" max="4883" width="13.33203125" style="2073" customWidth="1"/>
    <col min="4884" max="4884" width="13.6640625" style="2073" customWidth="1"/>
    <col min="4885" max="4885" width="13.33203125" style="2073" customWidth="1"/>
    <col min="4886" max="4886" width="14.44140625" style="2073" customWidth="1"/>
    <col min="4887" max="4887" width="13.5546875" style="2073" customWidth="1"/>
    <col min="4888" max="4888" width="14.109375" style="2073" customWidth="1"/>
    <col min="4889" max="4889" width="0" style="2073" hidden="1" customWidth="1"/>
    <col min="4890" max="4890" width="10" style="2073" customWidth="1"/>
    <col min="4891" max="4891" width="11.44140625" style="2073" customWidth="1"/>
    <col min="4892" max="4892" width="13.44140625" style="2073" customWidth="1"/>
    <col min="4893" max="5124" width="9.109375" style="2073"/>
    <col min="5125" max="5125" width="36.88671875" style="2073" customWidth="1"/>
    <col min="5126" max="5126" width="8.109375" style="2073" customWidth="1"/>
    <col min="5127" max="5133" width="0" style="2073" hidden="1" customWidth="1"/>
    <col min="5134" max="5134" width="14.44140625" style="2073" customWidth="1"/>
    <col min="5135" max="5135" width="13.5546875" style="2073" customWidth="1"/>
    <col min="5136" max="5136" width="13.88671875" style="2073" customWidth="1"/>
    <col min="5137" max="5137" width="14.44140625" style="2073" customWidth="1"/>
    <col min="5138" max="5138" width="14" style="2073" customWidth="1"/>
    <col min="5139" max="5139" width="13.33203125" style="2073" customWidth="1"/>
    <col min="5140" max="5140" width="13.6640625" style="2073" customWidth="1"/>
    <col min="5141" max="5141" width="13.33203125" style="2073" customWidth="1"/>
    <col min="5142" max="5142" width="14.44140625" style="2073" customWidth="1"/>
    <col min="5143" max="5143" width="13.5546875" style="2073" customWidth="1"/>
    <col min="5144" max="5144" width="14.109375" style="2073" customWidth="1"/>
    <col min="5145" max="5145" width="0" style="2073" hidden="1" customWidth="1"/>
    <col min="5146" max="5146" width="10" style="2073" customWidth="1"/>
    <col min="5147" max="5147" width="11.44140625" style="2073" customWidth="1"/>
    <col min="5148" max="5148" width="13.44140625" style="2073" customWidth="1"/>
    <col min="5149" max="5380" width="9.109375" style="2073"/>
    <col min="5381" max="5381" width="36.88671875" style="2073" customWidth="1"/>
    <col min="5382" max="5382" width="8.109375" style="2073" customWidth="1"/>
    <col min="5383" max="5389" width="0" style="2073" hidden="1" customWidth="1"/>
    <col min="5390" max="5390" width="14.44140625" style="2073" customWidth="1"/>
    <col min="5391" max="5391" width="13.5546875" style="2073" customWidth="1"/>
    <col min="5392" max="5392" width="13.88671875" style="2073" customWidth="1"/>
    <col min="5393" max="5393" width="14.44140625" style="2073" customWidth="1"/>
    <col min="5394" max="5394" width="14" style="2073" customWidth="1"/>
    <col min="5395" max="5395" width="13.33203125" style="2073" customWidth="1"/>
    <col min="5396" max="5396" width="13.6640625" style="2073" customWidth="1"/>
    <col min="5397" max="5397" width="13.33203125" style="2073" customWidth="1"/>
    <col min="5398" max="5398" width="14.44140625" style="2073" customWidth="1"/>
    <col min="5399" max="5399" width="13.5546875" style="2073" customWidth="1"/>
    <col min="5400" max="5400" width="14.109375" style="2073" customWidth="1"/>
    <col min="5401" max="5401" width="0" style="2073" hidden="1" customWidth="1"/>
    <col min="5402" max="5402" width="10" style="2073" customWidth="1"/>
    <col min="5403" max="5403" width="11.44140625" style="2073" customWidth="1"/>
    <col min="5404" max="5404" width="13.44140625" style="2073" customWidth="1"/>
    <col min="5405" max="5636" width="9.109375" style="2073"/>
    <col min="5637" max="5637" width="36.88671875" style="2073" customWidth="1"/>
    <col min="5638" max="5638" width="8.109375" style="2073" customWidth="1"/>
    <col min="5639" max="5645" width="0" style="2073" hidden="1" customWidth="1"/>
    <col min="5646" max="5646" width="14.44140625" style="2073" customWidth="1"/>
    <col min="5647" max="5647" width="13.5546875" style="2073" customWidth="1"/>
    <col min="5648" max="5648" width="13.88671875" style="2073" customWidth="1"/>
    <col min="5649" max="5649" width="14.44140625" style="2073" customWidth="1"/>
    <col min="5650" max="5650" width="14" style="2073" customWidth="1"/>
    <col min="5651" max="5651" width="13.33203125" style="2073" customWidth="1"/>
    <col min="5652" max="5652" width="13.6640625" style="2073" customWidth="1"/>
    <col min="5653" max="5653" width="13.33203125" style="2073" customWidth="1"/>
    <col min="5654" max="5654" width="14.44140625" style="2073" customWidth="1"/>
    <col min="5655" max="5655" width="13.5546875" style="2073" customWidth="1"/>
    <col min="5656" max="5656" width="14.109375" style="2073" customWidth="1"/>
    <col min="5657" max="5657" width="0" style="2073" hidden="1" customWidth="1"/>
    <col min="5658" max="5658" width="10" style="2073" customWidth="1"/>
    <col min="5659" max="5659" width="11.44140625" style="2073" customWidth="1"/>
    <col min="5660" max="5660" width="13.44140625" style="2073" customWidth="1"/>
    <col min="5661" max="5892" width="9.109375" style="2073"/>
    <col min="5893" max="5893" width="36.88671875" style="2073" customWidth="1"/>
    <col min="5894" max="5894" width="8.109375" style="2073" customWidth="1"/>
    <col min="5895" max="5901" width="0" style="2073" hidden="1" customWidth="1"/>
    <col min="5902" max="5902" width="14.44140625" style="2073" customWidth="1"/>
    <col min="5903" max="5903" width="13.5546875" style="2073" customWidth="1"/>
    <col min="5904" max="5904" width="13.88671875" style="2073" customWidth="1"/>
    <col min="5905" max="5905" width="14.44140625" style="2073" customWidth="1"/>
    <col min="5906" max="5906" width="14" style="2073" customWidth="1"/>
    <col min="5907" max="5907" width="13.33203125" style="2073" customWidth="1"/>
    <col min="5908" max="5908" width="13.6640625" style="2073" customWidth="1"/>
    <col min="5909" max="5909" width="13.33203125" style="2073" customWidth="1"/>
    <col min="5910" max="5910" width="14.44140625" style="2073" customWidth="1"/>
    <col min="5911" max="5911" width="13.5546875" style="2073" customWidth="1"/>
    <col min="5912" max="5912" width="14.109375" style="2073" customWidth="1"/>
    <col min="5913" max="5913" width="0" style="2073" hidden="1" customWidth="1"/>
    <col min="5914" max="5914" width="10" style="2073" customWidth="1"/>
    <col min="5915" max="5915" width="11.44140625" style="2073" customWidth="1"/>
    <col min="5916" max="5916" width="13.44140625" style="2073" customWidth="1"/>
    <col min="5917" max="6148" width="9.109375" style="2073"/>
    <col min="6149" max="6149" width="36.88671875" style="2073" customWidth="1"/>
    <col min="6150" max="6150" width="8.109375" style="2073" customWidth="1"/>
    <col min="6151" max="6157" width="0" style="2073" hidden="1" customWidth="1"/>
    <col min="6158" max="6158" width="14.44140625" style="2073" customWidth="1"/>
    <col min="6159" max="6159" width="13.5546875" style="2073" customWidth="1"/>
    <col min="6160" max="6160" width="13.88671875" style="2073" customWidth="1"/>
    <col min="6161" max="6161" width="14.44140625" style="2073" customWidth="1"/>
    <col min="6162" max="6162" width="14" style="2073" customWidth="1"/>
    <col min="6163" max="6163" width="13.33203125" style="2073" customWidth="1"/>
    <col min="6164" max="6164" width="13.6640625" style="2073" customWidth="1"/>
    <col min="6165" max="6165" width="13.33203125" style="2073" customWidth="1"/>
    <col min="6166" max="6166" width="14.44140625" style="2073" customWidth="1"/>
    <col min="6167" max="6167" width="13.5546875" style="2073" customWidth="1"/>
    <col min="6168" max="6168" width="14.109375" style="2073" customWidth="1"/>
    <col min="6169" max="6169" width="0" style="2073" hidden="1" customWidth="1"/>
    <col min="6170" max="6170" width="10" style="2073" customWidth="1"/>
    <col min="6171" max="6171" width="11.44140625" style="2073" customWidth="1"/>
    <col min="6172" max="6172" width="13.44140625" style="2073" customWidth="1"/>
    <col min="6173" max="6404" width="9.109375" style="2073"/>
    <col min="6405" max="6405" width="36.88671875" style="2073" customWidth="1"/>
    <col min="6406" max="6406" width="8.109375" style="2073" customWidth="1"/>
    <col min="6407" max="6413" width="0" style="2073" hidden="1" customWidth="1"/>
    <col min="6414" max="6414" width="14.44140625" style="2073" customWidth="1"/>
    <col min="6415" max="6415" width="13.5546875" style="2073" customWidth="1"/>
    <col min="6416" max="6416" width="13.88671875" style="2073" customWidth="1"/>
    <col min="6417" max="6417" width="14.44140625" style="2073" customWidth="1"/>
    <col min="6418" max="6418" width="14" style="2073" customWidth="1"/>
    <col min="6419" max="6419" width="13.33203125" style="2073" customWidth="1"/>
    <col min="6420" max="6420" width="13.6640625" style="2073" customWidth="1"/>
    <col min="6421" max="6421" width="13.33203125" style="2073" customWidth="1"/>
    <col min="6422" max="6422" width="14.44140625" style="2073" customWidth="1"/>
    <col min="6423" max="6423" width="13.5546875" style="2073" customWidth="1"/>
    <col min="6424" max="6424" width="14.109375" style="2073" customWidth="1"/>
    <col min="6425" max="6425" width="0" style="2073" hidden="1" customWidth="1"/>
    <col min="6426" max="6426" width="10" style="2073" customWidth="1"/>
    <col min="6427" max="6427" width="11.44140625" style="2073" customWidth="1"/>
    <col min="6428" max="6428" width="13.44140625" style="2073" customWidth="1"/>
    <col min="6429" max="6660" width="9.109375" style="2073"/>
    <col min="6661" max="6661" width="36.88671875" style="2073" customWidth="1"/>
    <col min="6662" max="6662" width="8.109375" style="2073" customWidth="1"/>
    <col min="6663" max="6669" width="0" style="2073" hidden="1" customWidth="1"/>
    <col min="6670" max="6670" width="14.44140625" style="2073" customWidth="1"/>
    <col min="6671" max="6671" width="13.5546875" style="2073" customWidth="1"/>
    <col min="6672" max="6672" width="13.88671875" style="2073" customWidth="1"/>
    <col min="6673" max="6673" width="14.44140625" style="2073" customWidth="1"/>
    <col min="6674" max="6674" width="14" style="2073" customWidth="1"/>
    <col min="6675" max="6675" width="13.33203125" style="2073" customWidth="1"/>
    <col min="6676" max="6676" width="13.6640625" style="2073" customWidth="1"/>
    <col min="6677" max="6677" width="13.33203125" style="2073" customWidth="1"/>
    <col min="6678" max="6678" width="14.44140625" style="2073" customWidth="1"/>
    <col min="6679" max="6679" width="13.5546875" style="2073" customWidth="1"/>
    <col min="6680" max="6680" width="14.109375" style="2073" customWidth="1"/>
    <col min="6681" max="6681" width="0" style="2073" hidden="1" customWidth="1"/>
    <col min="6682" max="6682" width="10" style="2073" customWidth="1"/>
    <col min="6683" max="6683" width="11.44140625" style="2073" customWidth="1"/>
    <col min="6684" max="6684" width="13.44140625" style="2073" customWidth="1"/>
    <col min="6685" max="6916" width="9.109375" style="2073"/>
    <col min="6917" max="6917" width="36.88671875" style="2073" customWidth="1"/>
    <col min="6918" max="6918" width="8.109375" style="2073" customWidth="1"/>
    <col min="6919" max="6925" width="0" style="2073" hidden="1" customWidth="1"/>
    <col min="6926" max="6926" width="14.44140625" style="2073" customWidth="1"/>
    <col min="6927" max="6927" width="13.5546875" style="2073" customWidth="1"/>
    <col min="6928" max="6928" width="13.88671875" style="2073" customWidth="1"/>
    <col min="6929" max="6929" width="14.44140625" style="2073" customWidth="1"/>
    <col min="6930" max="6930" width="14" style="2073" customWidth="1"/>
    <col min="6931" max="6931" width="13.33203125" style="2073" customWidth="1"/>
    <col min="6932" max="6932" width="13.6640625" style="2073" customWidth="1"/>
    <col min="6933" max="6933" width="13.33203125" style="2073" customWidth="1"/>
    <col min="6934" max="6934" width="14.44140625" style="2073" customWidth="1"/>
    <col min="6935" max="6935" width="13.5546875" style="2073" customWidth="1"/>
    <col min="6936" max="6936" width="14.109375" style="2073" customWidth="1"/>
    <col min="6937" max="6937" width="0" style="2073" hidden="1" customWidth="1"/>
    <col min="6938" max="6938" width="10" style="2073" customWidth="1"/>
    <col min="6939" max="6939" width="11.44140625" style="2073" customWidth="1"/>
    <col min="6940" max="6940" width="13.44140625" style="2073" customWidth="1"/>
    <col min="6941" max="7172" width="9.109375" style="2073"/>
    <col min="7173" max="7173" width="36.88671875" style="2073" customWidth="1"/>
    <col min="7174" max="7174" width="8.109375" style="2073" customWidth="1"/>
    <col min="7175" max="7181" width="0" style="2073" hidden="1" customWidth="1"/>
    <col min="7182" max="7182" width="14.44140625" style="2073" customWidth="1"/>
    <col min="7183" max="7183" width="13.5546875" style="2073" customWidth="1"/>
    <col min="7184" max="7184" width="13.88671875" style="2073" customWidth="1"/>
    <col min="7185" max="7185" width="14.44140625" style="2073" customWidth="1"/>
    <col min="7186" max="7186" width="14" style="2073" customWidth="1"/>
    <col min="7187" max="7187" width="13.33203125" style="2073" customWidth="1"/>
    <col min="7188" max="7188" width="13.6640625" style="2073" customWidth="1"/>
    <col min="7189" max="7189" width="13.33203125" style="2073" customWidth="1"/>
    <col min="7190" max="7190" width="14.44140625" style="2073" customWidth="1"/>
    <col min="7191" max="7191" width="13.5546875" style="2073" customWidth="1"/>
    <col min="7192" max="7192" width="14.109375" style="2073" customWidth="1"/>
    <col min="7193" max="7193" width="0" style="2073" hidden="1" customWidth="1"/>
    <col min="7194" max="7194" width="10" style="2073" customWidth="1"/>
    <col min="7195" max="7195" width="11.44140625" style="2073" customWidth="1"/>
    <col min="7196" max="7196" width="13.44140625" style="2073" customWidth="1"/>
    <col min="7197" max="7428" width="9.109375" style="2073"/>
    <col min="7429" max="7429" width="36.88671875" style="2073" customWidth="1"/>
    <col min="7430" max="7430" width="8.109375" style="2073" customWidth="1"/>
    <col min="7431" max="7437" width="0" style="2073" hidden="1" customWidth="1"/>
    <col min="7438" max="7438" width="14.44140625" style="2073" customWidth="1"/>
    <col min="7439" max="7439" width="13.5546875" style="2073" customWidth="1"/>
    <col min="7440" max="7440" width="13.88671875" style="2073" customWidth="1"/>
    <col min="7441" max="7441" width="14.44140625" style="2073" customWidth="1"/>
    <col min="7442" max="7442" width="14" style="2073" customWidth="1"/>
    <col min="7443" max="7443" width="13.33203125" style="2073" customWidth="1"/>
    <col min="7444" max="7444" width="13.6640625" style="2073" customWidth="1"/>
    <col min="7445" max="7445" width="13.33203125" style="2073" customWidth="1"/>
    <col min="7446" max="7446" width="14.44140625" style="2073" customWidth="1"/>
    <col min="7447" max="7447" width="13.5546875" style="2073" customWidth="1"/>
    <col min="7448" max="7448" width="14.109375" style="2073" customWidth="1"/>
    <col min="7449" max="7449" width="0" style="2073" hidden="1" customWidth="1"/>
    <col min="7450" max="7450" width="10" style="2073" customWidth="1"/>
    <col min="7451" max="7451" width="11.44140625" style="2073" customWidth="1"/>
    <col min="7452" max="7452" width="13.44140625" style="2073" customWidth="1"/>
    <col min="7453" max="7684" width="9.109375" style="2073"/>
    <col min="7685" max="7685" width="36.88671875" style="2073" customWidth="1"/>
    <col min="7686" max="7686" width="8.109375" style="2073" customWidth="1"/>
    <col min="7687" max="7693" width="0" style="2073" hidden="1" customWidth="1"/>
    <col min="7694" max="7694" width="14.44140625" style="2073" customWidth="1"/>
    <col min="7695" max="7695" width="13.5546875" style="2073" customWidth="1"/>
    <col min="7696" max="7696" width="13.88671875" style="2073" customWidth="1"/>
    <col min="7697" max="7697" width="14.44140625" style="2073" customWidth="1"/>
    <col min="7698" max="7698" width="14" style="2073" customWidth="1"/>
    <col min="7699" max="7699" width="13.33203125" style="2073" customWidth="1"/>
    <col min="7700" max="7700" width="13.6640625" style="2073" customWidth="1"/>
    <col min="7701" max="7701" width="13.33203125" style="2073" customWidth="1"/>
    <col min="7702" max="7702" width="14.44140625" style="2073" customWidth="1"/>
    <col min="7703" max="7703" width="13.5546875" style="2073" customWidth="1"/>
    <col min="7704" max="7704" width="14.109375" style="2073" customWidth="1"/>
    <col min="7705" max="7705" width="0" style="2073" hidden="1" customWidth="1"/>
    <col min="7706" max="7706" width="10" style="2073" customWidth="1"/>
    <col min="7707" max="7707" width="11.44140625" style="2073" customWidth="1"/>
    <col min="7708" max="7708" width="13.44140625" style="2073" customWidth="1"/>
    <col min="7709" max="7940" width="9.109375" style="2073"/>
    <col min="7941" max="7941" width="36.88671875" style="2073" customWidth="1"/>
    <col min="7942" max="7942" width="8.109375" style="2073" customWidth="1"/>
    <col min="7943" max="7949" width="0" style="2073" hidden="1" customWidth="1"/>
    <col min="7950" max="7950" width="14.44140625" style="2073" customWidth="1"/>
    <col min="7951" max="7951" width="13.5546875" style="2073" customWidth="1"/>
    <col min="7952" max="7952" width="13.88671875" style="2073" customWidth="1"/>
    <col min="7953" max="7953" width="14.44140625" style="2073" customWidth="1"/>
    <col min="7954" max="7954" width="14" style="2073" customWidth="1"/>
    <col min="7955" max="7955" width="13.33203125" style="2073" customWidth="1"/>
    <col min="7956" max="7956" width="13.6640625" style="2073" customWidth="1"/>
    <col min="7957" max="7957" width="13.33203125" style="2073" customWidth="1"/>
    <col min="7958" max="7958" width="14.44140625" style="2073" customWidth="1"/>
    <col min="7959" max="7959" width="13.5546875" style="2073" customWidth="1"/>
    <col min="7960" max="7960" width="14.109375" style="2073" customWidth="1"/>
    <col min="7961" max="7961" width="0" style="2073" hidden="1" customWidth="1"/>
    <col min="7962" max="7962" width="10" style="2073" customWidth="1"/>
    <col min="7963" max="7963" width="11.44140625" style="2073" customWidth="1"/>
    <col min="7964" max="7964" width="13.44140625" style="2073" customWidth="1"/>
    <col min="7965" max="8196" width="9.109375" style="2073"/>
    <col min="8197" max="8197" width="36.88671875" style="2073" customWidth="1"/>
    <col min="8198" max="8198" width="8.109375" style="2073" customWidth="1"/>
    <col min="8199" max="8205" width="0" style="2073" hidden="1" customWidth="1"/>
    <col min="8206" max="8206" width="14.44140625" style="2073" customWidth="1"/>
    <col min="8207" max="8207" width="13.5546875" style="2073" customWidth="1"/>
    <col min="8208" max="8208" width="13.88671875" style="2073" customWidth="1"/>
    <col min="8209" max="8209" width="14.44140625" style="2073" customWidth="1"/>
    <col min="8210" max="8210" width="14" style="2073" customWidth="1"/>
    <col min="8211" max="8211" width="13.33203125" style="2073" customWidth="1"/>
    <col min="8212" max="8212" width="13.6640625" style="2073" customWidth="1"/>
    <col min="8213" max="8213" width="13.33203125" style="2073" customWidth="1"/>
    <col min="8214" max="8214" width="14.44140625" style="2073" customWidth="1"/>
    <col min="8215" max="8215" width="13.5546875" style="2073" customWidth="1"/>
    <col min="8216" max="8216" width="14.109375" style="2073" customWidth="1"/>
    <col min="8217" max="8217" width="0" style="2073" hidden="1" customWidth="1"/>
    <col min="8218" max="8218" width="10" style="2073" customWidth="1"/>
    <col min="8219" max="8219" width="11.44140625" style="2073" customWidth="1"/>
    <col min="8220" max="8220" width="13.44140625" style="2073" customWidth="1"/>
    <col min="8221" max="8452" width="9.109375" style="2073"/>
    <col min="8453" max="8453" width="36.88671875" style="2073" customWidth="1"/>
    <col min="8454" max="8454" width="8.109375" style="2073" customWidth="1"/>
    <col min="8455" max="8461" width="0" style="2073" hidden="1" customWidth="1"/>
    <col min="8462" max="8462" width="14.44140625" style="2073" customWidth="1"/>
    <col min="8463" max="8463" width="13.5546875" style="2073" customWidth="1"/>
    <col min="8464" max="8464" width="13.88671875" style="2073" customWidth="1"/>
    <col min="8465" max="8465" width="14.44140625" style="2073" customWidth="1"/>
    <col min="8466" max="8466" width="14" style="2073" customWidth="1"/>
    <col min="8467" max="8467" width="13.33203125" style="2073" customWidth="1"/>
    <col min="8468" max="8468" width="13.6640625" style="2073" customWidth="1"/>
    <col min="8469" max="8469" width="13.33203125" style="2073" customWidth="1"/>
    <col min="8470" max="8470" width="14.44140625" style="2073" customWidth="1"/>
    <col min="8471" max="8471" width="13.5546875" style="2073" customWidth="1"/>
    <col min="8472" max="8472" width="14.109375" style="2073" customWidth="1"/>
    <col min="8473" max="8473" width="0" style="2073" hidden="1" customWidth="1"/>
    <col min="8474" max="8474" width="10" style="2073" customWidth="1"/>
    <col min="8475" max="8475" width="11.44140625" style="2073" customWidth="1"/>
    <col min="8476" max="8476" width="13.44140625" style="2073" customWidth="1"/>
    <col min="8477" max="8708" width="9.109375" style="2073"/>
    <col min="8709" max="8709" width="36.88671875" style="2073" customWidth="1"/>
    <col min="8710" max="8710" width="8.109375" style="2073" customWidth="1"/>
    <col min="8711" max="8717" width="0" style="2073" hidden="1" customWidth="1"/>
    <col min="8718" max="8718" width="14.44140625" style="2073" customWidth="1"/>
    <col min="8719" max="8719" width="13.5546875" style="2073" customWidth="1"/>
    <col min="8720" max="8720" width="13.88671875" style="2073" customWidth="1"/>
    <col min="8721" max="8721" width="14.44140625" style="2073" customWidth="1"/>
    <col min="8722" max="8722" width="14" style="2073" customWidth="1"/>
    <col min="8723" max="8723" width="13.33203125" style="2073" customWidth="1"/>
    <col min="8724" max="8724" width="13.6640625" style="2073" customWidth="1"/>
    <col min="8725" max="8725" width="13.33203125" style="2073" customWidth="1"/>
    <col min="8726" max="8726" width="14.44140625" style="2073" customWidth="1"/>
    <col min="8727" max="8727" width="13.5546875" style="2073" customWidth="1"/>
    <col min="8728" max="8728" width="14.109375" style="2073" customWidth="1"/>
    <col min="8729" max="8729" width="0" style="2073" hidden="1" customWidth="1"/>
    <col min="8730" max="8730" width="10" style="2073" customWidth="1"/>
    <col min="8731" max="8731" width="11.44140625" style="2073" customWidth="1"/>
    <col min="8732" max="8732" width="13.44140625" style="2073" customWidth="1"/>
    <col min="8733" max="8964" width="9.109375" style="2073"/>
    <col min="8965" max="8965" width="36.88671875" style="2073" customWidth="1"/>
    <col min="8966" max="8966" width="8.109375" style="2073" customWidth="1"/>
    <col min="8967" max="8973" width="0" style="2073" hidden="1" customWidth="1"/>
    <col min="8974" max="8974" width="14.44140625" style="2073" customWidth="1"/>
    <col min="8975" max="8975" width="13.5546875" style="2073" customWidth="1"/>
    <col min="8976" max="8976" width="13.88671875" style="2073" customWidth="1"/>
    <col min="8977" max="8977" width="14.44140625" style="2073" customWidth="1"/>
    <col min="8978" max="8978" width="14" style="2073" customWidth="1"/>
    <col min="8979" max="8979" width="13.33203125" style="2073" customWidth="1"/>
    <col min="8980" max="8980" width="13.6640625" style="2073" customWidth="1"/>
    <col min="8981" max="8981" width="13.33203125" style="2073" customWidth="1"/>
    <col min="8982" max="8982" width="14.44140625" style="2073" customWidth="1"/>
    <col min="8983" max="8983" width="13.5546875" style="2073" customWidth="1"/>
    <col min="8984" max="8984" width="14.109375" style="2073" customWidth="1"/>
    <col min="8985" max="8985" width="0" style="2073" hidden="1" customWidth="1"/>
    <col min="8986" max="8986" width="10" style="2073" customWidth="1"/>
    <col min="8987" max="8987" width="11.44140625" style="2073" customWidth="1"/>
    <col min="8988" max="8988" width="13.44140625" style="2073" customWidth="1"/>
    <col min="8989" max="9220" width="9.109375" style="2073"/>
    <col min="9221" max="9221" width="36.88671875" style="2073" customWidth="1"/>
    <col min="9222" max="9222" width="8.109375" style="2073" customWidth="1"/>
    <col min="9223" max="9229" width="0" style="2073" hidden="1" customWidth="1"/>
    <col min="9230" max="9230" width="14.44140625" style="2073" customWidth="1"/>
    <col min="9231" max="9231" width="13.5546875" style="2073" customWidth="1"/>
    <col min="9232" max="9232" width="13.88671875" style="2073" customWidth="1"/>
    <col min="9233" max="9233" width="14.44140625" style="2073" customWidth="1"/>
    <col min="9234" max="9234" width="14" style="2073" customWidth="1"/>
    <col min="9235" max="9235" width="13.33203125" style="2073" customWidth="1"/>
    <col min="9236" max="9236" width="13.6640625" style="2073" customWidth="1"/>
    <col min="9237" max="9237" width="13.33203125" style="2073" customWidth="1"/>
    <col min="9238" max="9238" width="14.44140625" style="2073" customWidth="1"/>
    <col min="9239" max="9239" width="13.5546875" style="2073" customWidth="1"/>
    <col min="9240" max="9240" width="14.109375" style="2073" customWidth="1"/>
    <col min="9241" max="9241" width="0" style="2073" hidden="1" customWidth="1"/>
    <col min="9242" max="9242" width="10" style="2073" customWidth="1"/>
    <col min="9243" max="9243" width="11.44140625" style="2073" customWidth="1"/>
    <col min="9244" max="9244" width="13.44140625" style="2073" customWidth="1"/>
    <col min="9245" max="9476" width="9.109375" style="2073"/>
    <col min="9477" max="9477" width="36.88671875" style="2073" customWidth="1"/>
    <col min="9478" max="9478" width="8.109375" style="2073" customWidth="1"/>
    <col min="9479" max="9485" width="0" style="2073" hidden="1" customWidth="1"/>
    <col min="9486" max="9486" width="14.44140625" style="2073" customWidth="1"/>
    <col min="9487" max="9487" width="13.5546875" style="2073" customWidth="1"/>
    <col min="9488" max="9488" width="13.88671875" style="2073" customWidth="1"/>
    <col min="9489" max="9489" width="14.44140625" style="2073" customWidth="1"/>
    <col min="9490" max="9490" width="14" style="2073" customWidth="1"/>
    <col min="9491" max="9491" width="13.33203125" style="2073" customWidth="1"/>
    <col min="9492" max="9492" width="13.6640625" style="2073" customWidth="1"/>
    <col min="9493" max="9493" width="13.33203125" style="2073" customWidth="1"/>
    <col min="9494" max="9494" width="14.44140625" style="2073" customWidth="1"/>
    <col min="9495" max="9495" width="13.5546875" style="2073" customWidth="1"/>
    <col min="9496" max="9496" width="14.109375" style="2073" customWidth="1"/>
    <col min="9497" max="9497" width="0" style="2073" hidden="1" customWidth="1"/>
    <col min="9498" max="9498" width="10" style="2073" customWidth="1"/>
    <col min="9499" max="9499" width="11.44140625" style="2073" customWidth="1"/>
    <col min="9500" max="9500" width="13.44140625" style="2073" customWidth="1"/>
    <col min="9501" max="9732" width="9.109375" style="2073"/>
    <col min="9733" max="9733" width="36.88671875" style="2073" customWidth="1"/>
    <col min="9734" max="9734" width="8.109375" style="2073" customWidth="1"/>
    <col min="9735" max="9741" width="0" style="2073" hidden="1" customWidth="1"/>
    <col min="9742" max="9742" width="14.44140625" style="2073" customWidth="1"/>
    <col min="9743" max="9743" width="13.5546875" style="2073" customWidth="1"/>
    <col min="9744" max="9744" width="13.88671875" style="2073" customWidth="1"/>
    <col min="9745" max="9745" width="14.44140625" style="2073" customWidth="1"/>
    <col min="9746" max="9746" width="14" style="2073" customWidth="1"/>
    <col min="9747" max="9747" width="13.33203125" style="2073" customWidth="1"/>
    <col min="9748" max="9748" width="13.6640625" style="2073" customWidth="1"/>
    <col min="9749" max="9749" width="13.33203125" style="2073" customWidth="1"/>
    <col min="9750" max="9750" width="14.44140625" style="2073" customWidth="1"/>
    <col min="9751" max="9751" width="13.5546875" style="2073" customWidth="1"/>
    <col min="9752" max="9752" width="14.109375" style="2073" customWidth="1"/>
    <col min="9753" max="9753" width="0" style="2073" hidden="1" customWidth="1"/>
    <col min="9754" max="9754" width="10" style="2073" customWidth="1"/>
    <col min="9755" max="9755" width="11.44140625" style="2073" customWidth="1"/>
    <col min="9756" max="9756" width="13.44140625" style="2073" customWidth="1"/>
    <col min="9757" max="9988" width="9.109375" style="2073"/>
    <col min="9989" max="9989" width="36.88671875" style="2073" customWidth="1"/>
    <col min="9990" max="9990" width="8.109375" style="2073" customWidth="1"/>
    <col min="9991" max="9997" width="0" style="2073" hidden="1" customWidth="1"/>
    <col min="9998" max="9998" width="14.44140625" style="2073" customWidth="1"/>
    <col min="9999" max="9999" width="13.5546875" style="2073" customWidth="1"/>
    <col min="10000" max="10000" width="13.88671875" style="2073" customWidth="1"/>
    <col min="10001" max="10001" width="14.44140625" style="2073" customWidth="1"/>
    <col min="10002" max="10002" width="14" style="2073" customWidth="1"/>
    <col min="10003" max="10003" width="13.33203125" style="2073" customWidth="1"/>
    <col min="10004" max="10004" width="13.6640625" style="2073" customWidth="1"/>
    <col min="10005" max="10005" width="13.33203125" style="2073" customWidth="1"/>
    <col min="10006" max="10006" width="14.44140625" style="2073" customWidth="1"/>
    <col min="10007" max="10007" width="13.5546875" style="2073" customWidth="1"/>
    <col min="10008" max="10008" width="14.109375" style="2073" customWidth="1"/>
    <col min="10009" max="10009" width="0" style="2073" hidden="1" customWidth="1"/>
    <col min="10010" max="10010" width="10" style="2073" customWidth="1"/>
    <col min="10011" max="10011" width="11.44140625" style="2073" customWidth="1"/>
    <col min="10012" max="10012" width="13.44140625" style="2073" customWidth="1"/>
    <col min="10013" max="10244" width="9.109375" style="2073"/>
    <col min="10245" max="10245" width="36.88671875" style="2073" customWidth="1"/>
    <col min="10246" max="10246" width="8.109375" style="2073" customWidth="1"/>
    <col min="10247" max="10253" width="0" style="2073" hidden="1" customWidth="1"/>
    <col min="10254" max="10254" width="14.44140625" style="2073" customWidth="1"/>
    <col min="10255" max="10255" width="13.5546875" style="2073" customWidth="1"/>
    <col min="10256" max="10256" width="13.88671875" style="2073" customWidth="1"/>
    <col min="10257" max="10257" width="14.44140625" style="2073" customWidth="1"/>
    <col min="10258" max="10258" width="14" style="2073" customWidth="1"/>
    <col min="10259" max="10259" width="13.33203125" style="2073" customWidth="1"/>
    <col min="10260" max="10260" width="13.6640625" style="2073" customWidth="1"/>
    <col min="10261" max="10261" width="13.33203125" style="2073" customWidth="1"/>
    <col min="10262" max="10262" width="14.44140625" style="2073" customWidth="1"/>
    <col min="10263" max="10263" width="13.5546875" style="2073" customWidth="1"/>
    <col min="10264" max="10264" width="14.109375" style="2073" customWidth="1"/>
    <col min="10265" max="10265" width="0" style="2073" hidden="1" customWidth="1"/>
    <col min="10266" max="10266" width="10" style="2073" customWidth="1"/>
    <col min="10267" max="10267" width="11.44140625" style="2073" customWidth="1"/>
    <col min="10268" max="10268" width="13.44140625" style="2073" customWidth="1"/>
    <col min="10269" max="10500" width="9.109375" style="2073"/>
    <col min="10501" max="10501" width="36.88671875" style="2073" customWidth="1"/>
    <col min="10502" max="10502" width="8.109375" style="2073" customWidth="1"/>
    <col min="10503" max="10509" width="0" style="2073" hidden="1" customWidth="1"/>
    <col min="10510" max="10510" width="14.44140625" style="2073" customWidth="1"/>
    <col min="10511" max="10511" width="13.5546875" style="2073" customWidth="1"/>
    <col min="10512" max="10512" width="13.88671875" style="2073" customWidth="1"/>
    <col min="10513" max="10513" width="14.44140625" style="2073" customWidth="1"/>
    <col min="10514" max="10514" width="14" style="2073" customWidth="1"/>
    <col min="10515" max="10515" width="13.33203125" style="2073" customWidth="1"/>
    <col min="10516" max="10516" width="13.6640625" style="2073" customWidth="1"/>
    <col min="10517" max="10517" width="13.33203125" style="2073" customWidth="1"/>
    <col min="10518" max="10518" width="14.44140625" style="2073" customWidth="1"/>
    <col min="10519" max="10519" width="13.5546875" style="2073" customWidth="1"/>
    <col min="10520" max="10520" width="14.109375" style="2073" customWidth="1"/>
    <col min="10521" max="10521" width="0" style="2073" hidden="1" customWidth="1"/>
    <col min="10522" max="10522" width="10" style="2073" customWidth="1"/>
    <col min="10523" max="10523" width="11.44140625" style="2073" customWidth="1"/>
    <col min="10524" max="10524" width="13.44140625" style="2073" customWidth="1"/>
    <col min="10525" max="10756" width="9.109375" style="2073"/>
    <col min="10757" max="10757" width="36.88671875" style="2073" customWidth="1"/>
    <col min="10758" max="10758" width="8.109375" style="2073" customWidth="1"/>
    <col min="10759" max="10765" width="0" style="2073" hidden="1" customWidth="1"/>
    <col min="10766" max="10766" width="14.44140625" style="2073" customWidth="1"/>
    <col min="10767" max="10767" width="13.5546875" style="2073" customWidth="1"/>
    <col min="10768" max="10768" width="13.88671875" style="2073" customWidth="1"/>
    <col min="10769" max="10769" width="14.44140625" style="2073" customWidth="1"/>
    <col min="10770" max="10770" width="14" style="2073" customWidth="1"/>
    <col min="10771" max="10771" width="13.33203125" style="2073" customWidth="1"/>
    <col min="10772" max="10772" width="13.6640625" style="2073" customWidth="1"/>
    <col min="10773" max="10773" width="13.33203125" style="2073" customWidth="1"/>
    <col min="10774" max="10774" width="14.44140625" style="2073" customWidth="1"/>
    <col min="10775" max="10775" width="13.5546875" style="2073" customWidth="1"/>
    <col min="10776" max="10776" width="14.109375" style="2073" customWidth="1"/>
    <col min="10777" max="10777" width="0" style="2073" hidden="1" customWidth="1"/>
    <col min="10778" max="10778" width="10" style="2073" customWidth="1"/>
    <col min="10779" max="10779" width="11.44140625" style="2073" customWidth="1"/>
    <col min="10780" max="10780" width="13.44140625" style="2073" customWidth="1"/>
    <col min="10781" max="11012" width="9.109375" style="2073"/>
    <col min="11013" max="11013" width="36.88671875" style="2073" customWidth="1"/>
    <col min="11014" max="11014" width="8.109375" style="2073" customWidth="1"/>
    <col min="11015" max="11021" width="0" style="2073" hidden="1" customWidth="1"/>
    <col min="11022" max="11022" width="14.44140625" style="2073" customWidth="1"/>
    <col min="11023" max="11023" width="13.5546875" style="2073" customWidth="1"/>
    <col min="11024" max="11024" width="13.88671875" style="2073" customWidth="1"/>
    <col min="11025" max="11025" width="14.44140625" style="2073" customWidth="1"/>
    <col min="11026" max="11026" width="14" style="2073" customWidth="1"/>
    <col min="11027" max="11027" width="13.33203125" style="2073" customWidth="1"/>
    <col min="11028" max="11028" width="13.6640625" style="2073" customWidth="1"/>
    <col min="11029" max="11029" width="13.33203125" style="2073" customWidth="1"/>
    <col min="11030" max="11030" width="14.44140625" style="2073" customWidth="1"/>
    <col min="11031" max="11031" width="13.5546875" style="2073" customWidth="1"/>
    <col min="11032" max="11032" width="14.109375" style="2073" customWidth="1"/>
    <col min="11033" max="11033" width="0" style="2073" hidden="1" customWidth="1"/>
    <col min="11034" max="11034" width="10" style="2073" customWidth="1"/>
    <col min="11035" max="11035" width="11.44140625" style="2073" customWidth="1"/>
    <col min="11036" max="11036" width="13.44140625" style="2073" customWidth="1"/>
    <col min="11037" max="11268" width="9.109375" style="2073"/>
    <col min="11269" max="11269" width="36.88671875" style="2073" customWidth="1"/>
    <col min="11270" max="11270" width="8.109375" style="2073" customWidth="1"/>
    <col min="11271" max="11277" width="0" style="2073" hidden="1" customWidth="1"/>
    <col min="11278" max="11278" width="14.44140625" style="2073" customWidth="1"/>
    <col min="11279" max="11279" width="13.5546875" style="2073" customWidth="1"/>
    <col min="11280" max="11280" width="13.88671875" style="2073" customWidth="1"/>
    <col min="11281" max="11281" width="14.44140625" style="2073" customWidth="1"/>
    <col min="11282" max="11282" width="14" style="2073" customWidth="1"/>
    <col min="11283" max="11283" width="13.33203125" style="2073" customWidth="1"/>
    <col min="11284" max="11284" width="13.6640625" style="2073" customWidth="1"/>
    <col min="11285" max="11285" width="13.33203125" style="2073" customWidth="1"/>
    <col min="11286" max="11286" width="14.44140625" style="2073" customWidth="1"/>
    <col min="11287" max="11287" width="13.5546875" style="2073" customWidth="1"/>
    <col min="11288" max="11288" width="14.109375" style="2073" customWidth="1"/>
    <col min="11289" max="11289" width="0" style="2073" hidden="1" customWidth="1"/>
    <col min="11290" max="11290" width="10" style="2073" customWidth="1"/>
    <col min="11291" max="11291" width="11.44140625" style="2073" customWidth="1"/>
    <col min="11292" max="11292" width="13.44140625" style="2073" customWidth="1"/>
    <col min="11293" max="11524" width="9.109375" style="2073"/>
    <col min="11525" max="11525" width="36.88671875" style="2073" customWidth="1"/>
    <col min="11526" max="11526" width="8.109375" style="2073" customWidth="1"/>
    <col min="11527" max="11533" width="0" style="2073" hidden="1" customWidth="1"/>
    <col min="11534" max="11534" width="14.44140625" style="2073" customWidth="1"/>
    <col min="11535" max="11535" width="13.5546875" style="2073" customWidth="1"/>
    <col min="11536" max="11536" width="13.88671875" style="2073" customWidth="1"/>
    <col min="11537" max="11537" width="14.44140625" style="2073" customWidth="1"/>
    <col min="11538" max="11538" width="14" style="2073" customWidth="1"/>
    <col min="11539" max="11539" width="13.33203125" style="2073" customWidth="1"/>
    <col min="11540" max="11540" width="13.6640625" style="2073" customWidth="1"/>
    <col min="11541" max="11541" width="13.33203125" style="2073" customWidth="1"/>
    <col min="11542" max="11542" width="14.44140625" style="2073" customWidth="1"/>
    <col min="11543" max="11543" width="13.5546875" style="2073" customWidth="1"/>
    <col min="11544" max="11544" width="14.109375" style="2073" customWidth="1"/>
    <col min="11545" max="11545" width="0" style="2073" hidden="1" customWidth="1"/>
    <col min="11546" max="11546" width="10" style="2073" customWidth="1"/>
    <col min="11547" max="11547" width="11.44140625" style="2073" customWidth="1"/>
    <col min="11548" max="11548" width="13.44140625" style="2073" customWidth="1"/>
    <col min="11549" max="11780" width="9.109375" style="2073"/>
    <col min="11781" max="11781" width="36.88671875" style="2073" customWidth="1"/>
    <col min="11782" max="11782" width="8.109375" style="2073" customWidth="1"/>
    <col min="11783" max="11789" width="0" style="2073" hidden="1" customWidth="1"/>
    <col min="11790" max="11790" width="14.44140625" style="2073" customWidth="1"/>
    <col min="11791" max="11791" width="13.5546875" style="2073" customWidth="1"/>
    <col min="11792" max="11792" width="13.88671875" style="2073" customWidth="1"/>
    <col min="11793" max="11793" width="14.44140625" style="2073" customWidth="1"/>
    <col min="11794" max="11794" width="14" style="2073" customWidth="1"/>
    <col min="11795" max="11795" width="13.33203125" style="2073" customWidth="1"/>
    <col min="11796" max="11796" width="13.6640625" style="2073" customWidth="1"/>
    <col min="11797" max="11797" width="13.33203125" style="2073" customWidth="1"/>
    <col min="11798" max="11798" width="14.44140625" style="2073" customWidth="1"/>
    <col min="11799" max="11799" width="13.5546875" style="2073" customWidth="1"/>
    <col min="11800" max="11800" width="14.109375" style="2073" customWidth="1"/>
    <col min="11801" max="11801" width="0" style="2073" hidden="1" customWidth="1"/>
    <col min="11802" max="11802" width="10" style="2073" customWidth="1"/>
    <col min="11803" max="11803" width="11.44140625" style="2073" customWidth="1"/>
    <col min="11804" max="11804" width="13.44140625" style="2073" customWidth="1"/>
    <col min="11805" max="12036" width="9.109375" style="2073"/>
    <col min="12037" max="12037" width="36.88671875" style="2073" customWidth="1"/>
    <col min="12038" max="12038" width="8.109375" style="2073" customWidth="1"/>
    <col min="12039" max="12045" width="0" style="2073" hidden="1" customWidth="1"/>
    <col min="12046" max="12046" width="14.44140625" style="2073" customWidth="1"/>
    <col min="12047" max="12047" width="13.5546875" style="2073" customWidth="1"/>
    <col min="12048" max="12048" width="13.88671875" style="2073" customWidth="1"/>
    <col min="12049" max="12049" width="14.44140625" style="2073" customWidth="1"/>
    <col min="12050" max="12050" width="14" style="2073" customWidth="1"/>
    <col min="12051" max="12051" width="13.33203125" style="2073" customWidth="1"/>
    <col min="12052" max="12052" width="13.6640625" style="2073" customWidth="1"/>
    <col min="12053" max="12053" width="13.33203125" style="2073" customWidth="1"/>
    <col min="12054" max="12054" width="14.44140625" style="2073" customWidth="1"/>
    <col min="12055" max="12055" width="13.5546875" style="2073" customWidth="1"/>
    <col min="12056" max="12056" width="14.109375" style="2073" customWidth="1"/>
    <col min="12057" max="12057" width="0" style="2073" hidden="1" customWidth="1"/>
    <col min="12058" max="12058" width="10" style="2073" customWidth="1"/>
    <col min="12059" max="12059" width="11.44140625" style="2073" customWidth="1"/>
    <col min="12060" max="12060" width="13.44140625" style="2073" customWidth="1"/>
    <col min="12061" max="12292" width="9.109375" style="2073"/>
    <col min="12293" max="12293" width="36.88671875" style="2073" customWidth="1"/>
    <col min="12294" max="12294" width="8.109375" style="2073" customWidth="1"/>
    <col min="12295" max="12301" width="0" style="2073" hidden="1" customWidth="1"/>
    <col min="12302" max="12302" width="14.44140625" style="2073" customWidth="1"/>
    <col min="12303" max="12303" width="13.5546875" style="2073" customWidth="1"/>
    <col min="12304" max="12304" width="13.88671875" style="2073" customWidth="1"/>
    <col min="12305" max="12305" width="14.44140625" style="2073" customWidth="1"/>
    <col min="12306" max="12306" width="14" style="2073" customWidth="1"/>
    <col min="12307" max="12307" width="13.33203125" style="2073" customWidth="1"/>
    <col min="12308" max="12308" width="13.6640625" style="2073" customWidth="1"/>
    <col min="12309" max="12309" width="13.33203125" style="2073" customWidth="1"/>
    <col min="12310" max="12310" width="14.44140625" style="2073" customWidth="1"/>
    <col min="12311" max="12311" width="13.5546875" style="2073" customWidth="1"/>
    <col min="12312" max="12312" width="14.109375" style="2073" customWidth="1"/>
    <col min="12313" max="12313" width="0" style="2073" hidden="1" customWidth="1"/>
    <col min="12314" max="12314" width="10" style="2073" customWidth="1"/>
    <col min="12315" max="12315" width="11.44140625" style="2073" customWidth="1"/>
    <col min="12316" max="12316" width="13.44140625" style="2073" customWidth="1"/>
    <col min="12317" max="12548" width="9.109375" style="2073"/>
    <col min="12549" max="12549" width="36.88671875" style="2073" customWidth="1"/>
    <col min="12550" max="12550" width="8.109375" style="2073" customWidth="1"/>
    <col min="12551" max="12557" width="0" style="2073" hidden="1" customWidth="1"/>
    <col min="12558" max="12558" width="14.44140625" style="2073" customWidth="1"/>
    <col min="12559" max="12559" width="13.5546875" style="2073" customWidth="1"/>
    <col min="12560" max="12560" width="13.88671875" style="2073" customWidth="1"/>
    <col min="12561" max="12561" width="14.44140625" style="2073" customWidth="1"/>
    <col min="12562" max="12562" width="14" style="2073" customWidth="1"/>
    <col min="12563" max="12563" width="13.33203125" style="2073" customWidth="1"/>
    <col min="12564" max="12564" width="13.6640625" style="2073" customWidth="1"/>
    <col min="12565" max="12565" width="13.33203125" style="2073" customWidth="1"/>
    <col min="12566" max="12566" width="14.44140625" style="2073" customWidth="1"/>
    <col min="12567" max="12567" width="13.5546875" style="2073" customWidth="1"/>
    <col min="12568" max="12568" width="14.109375" style="2073" customWidth="1"/>
    <col min="12569" max="12569" width="0" style="2073" hidden="1" customWidth="1"/>
    <col min="12570" max="12570" width="10" style="2073" customWidth="1"/>
    <col min="12571" max="12571" width="11.44140625" style="2073" customWidth="1"/>
    <col min="12572" max="12572" width="13.44140625" style="2073" customWidth="1"/>
    <col min="12573" max="12804" width="9.109375" style="2073"/>
    <col min="12805" max="12805" width="36.88671875" style="2073" customWidth="1"/>
    <col min="12806" max="12806" width="8.109375" style="2073" customWidth="1"/>
    <col min="12807" max="12813" width="0" style="2073" hidden="1" customWidth="1"/>
    <col min="12814" max="12814" width="14.44140625" style="2073" customWidth="1"/>
    <col min="12815" max="12815" width="13.5546875" style="2073" customWidth="1"/>
    <col min="12816" max="12816" width="13.88671875" style="2073" customWidth="1"/>
    <col min="12817" max="12817" width="14.44140625" style="2073" customWidth="1"/>
    <col min="12818" max="12818" width="14" style="2073" customWidth="1"/>
    <col min="12819" max="12819" width="13.33203125" style="2073" customWidth="1"/>
    <col min="12820" max="12820" width="13.6640625" style="2073" customWidth="1"/>
    <col min="12821" max="12821" width="13.33203125" style="2073" customWidth="1"/>
    <col min="12822" max="12822" width="14.44140625" style="2073" customWidth="1"/>
    <col min="12823" max="12823" width="13.5546875" style="2073" customWidth="1"/>
    <col min="12824" max="12824" width="14.109375" style="2073" customWidth="1"/>
    <col min="12825" max="12825" width="0" style="2073" hidden="1" customWidth="1"/>
    <col min="12826" max="12826" width="10" style="2073" customWidth="1"/>
    <col min="12827" max="12827" width="11.44140625" style="2073" customWidth="1"/>
    <col min="12828" max="12828" width="13.44140625" style="2073" customWidth="1"/>
    <col min="12829" max="13060" width="9.109375" style="2073"/>
    <col min="13061" max="13061" width="36.88671875" style="2073" customWidth="1"/>
    <col min="13062" max="13062" width="8.109375" style="2073" customWidth="1"/>
    <col min="13063" max="13069" width="0" style="2073" hidden="1" customWidth="1"/>
    <col min="13070" max="13070" width="14.44140625" style="2073" customWidth="1"/>
    <col min="13071" max="13071" width="13.5546875" style="2073" customWidth="1"/>
    <col min="13072" max="13072" width="13.88671875" style="2073" customWidth="1"/>
    <col min="13073" max="13073" width="14.44140625" style="2073" customWidth="1"/>
    <col min="13074" max="13074" width="14" style="2073" customWidth="1"/>
    <col min="13075" max="13075" width="13.33203125" style="2073" customWidth="1"/>
    <col min="13076" max="13076" width="13.6640625" style="2073" customWidth="1"/>
    <col min="13077" max="13077" width="13.33203125" style="2073" customWidth="1"/>
    <col min="13078" max="13078" width="14.44140625" style="2073" customWidth="1"/>
    <col min="13079" max="13079" width="13.5546875" style="2073" customWidth="1"/>
    <col min="13080" max="13080" width="14.109375" style="2073" customWidth="1"/>
    <col min="13081" max="13081" width="0" style="2073" hidden="1" customWidth="1"/>
    <col min="13082" max="13082" width="10" style="2073" customWidth="1"/>
    <col min="13083" max="13083" width="11.44140625" style="2073" customWidth="1"/>
    <col min="13084" max="13084" width="13.44140625" style="2073" customWidth="1"/>
    <col min="13085" max="13316" width="9.109375" style="2073"/>
    <col min="13317" max="13317" width="36.88671875" style="2073" customWidth="1"/>
    <col min="13318" max="13318" width="8.109375" style="2073" customWidth="1"/>
    <col min="13319" max="13325" width="0" style="2073" hidden="1" customWidth="1"/>
    <col min="13326" max="13326" width="14.44140625" style="2073" customWidth="1"/>
    <col min="13327" max="13327" width="13.5546875" style="2073" customWidth="1"/>
    <col min="13328" max="13328" width="13.88671875" style="2073" customWidth="1"/>
    <col min="13329" max="13329" width="14.44140625" style="2073" customWidth="1"/>
    <col min="13330" max="13330" width="14" style="2073" customWidth="1"/>
    <col min="13331" max="13331" width="13.33203125" style="2073" customWidth="1"/>
    <col min="13332" max="13332" width="13.6640625" style="2073" customWidth="1"/>
    <col min="13333" max="13333" width="13.33203125" style="2073" customWidth="1"/>
    <col min="13334" max="13334" width="14.44140625" style="2073" customWidth="1"/>
    <col min="13335" max="13335" width="13.5546875" style="2073" customWidth="1"/>
    <col min="13336" max="13336" width="14.109375" style="2073" customWidth="1"/>
    <col min="13337" max="13337" width="0" style="2073" hidden="1" customWidth="1"/>
    <col min="13338" max="13338" width="10" style="2073" customWidth="1"/>
    <col min="13339" max="13339" width="11.44140625" style="2073" customWidth="1"/>
    <col min="13340" max="13340" width="13.44140625" style="2073" customWidth="1"/>
    <col min="13341" max="13572" width="9.109375" style="2073"/>
    <col min="13573" max="13573" width="36.88671875" style="2073" customWidth="1"/>
    <col min="13574" max="13574" width="8.109375" style="2073" customWidth="1"/>
    <col min="13575" max="13581" width="0" style="2073" hidden="1" customWidth="1"/>
    <col min="13582" max="13582" width="14.44140625" style="2073" customWidth="1"/>
    <col min="13583" max="13583" width="13.5546875" style="2073" customWidth="1"/>
    <col min="13584" max="13584" width="13.88671875" style="2073" customWidth="1"/>
    <col min="13585" max="13585" width="14.44140625" style="2073" customWidth="1"/>
    <col min="13586" max="13586" width="14" style="2073" customWidth="1"/>
    <col min="13587" max="13587" width="13.33203125" style="2073" customWidth="1"/>
    <col min="13588" max="13588" width="13.6640625" style="2073" customWidth="1"/>
    <col min="13589" max="13589" width="13.33203125" style="2073" customWidth="1"/>
    <col min="13590" max="13590" width="14.44140625" style="2073" customWidth="1"/>
    <col min="13591" max="13591" width="13.5546875" style="2073" customWidth="1"/>
    <col min="13592" max="13592" width="14.109375" style="2073" customWidth="1"/>
    <col min="13593" max="13593" width="0" style="2073" hidden="1" customWidth="1"/>
    <col min="13594" max="13594" width="10" style="2073" customWidth="1"/>
    <col min="13595" max="13595" width="11.44140625" style="2073" customWidth="1"/>
    <col min="13596" max="13596" width="13.44140625" style="2073" customWidth="1"/>
    <col min="13597" max="13828" width="9.109375" style="2073"/>
    <col min="13829" max="13829" width="36.88671875" style="2073" customWidth="1"/>
    <col min="13830" max="13830" width="8.109375" style="2073" customWidth="1"/>
    <col min="13831" max="13837" width="0" style="2073" hidden="1" customWidth="1"/>
    <col min="13838" max="13838" width="14.44140625" style="2073" customWidth="1"/>
    <col min="13839" max="13839" width="13.5546875" style="2073" customWidth="1"/>
    <col min="13840" max="13840" width="13.88671875" style="2073" customWidth="1"/>
    <col min="13841" max="13841" width="14.44140625" style="2073" customWidth="1"/>
    <col min="13842" max="13842" width="14" style="2073" customWidth="1"/>
    <col min="13843" max="13843" width="13.33203125" style="2073" customWidth="1"/>
    <col min="13844" max="13844" width="13.6640625" style="2073" customWidth="1"/>
    <col min="13845" max="13845" width="13.33203125" style="2073" customWidth="1"/>
    <col min="13846" max="13846" width="14.44140625" style="2073" customWidth="1"/>
    <col min="13847" max="13847" width="13.5546875" style="2073" customWidth="1"/>
    <col min="13848" max="13848" width="14.109375" style="2073" customWidth="1"/>
    <col min="13849" max="13849" width="0" style="2073" hidden="1" customWidth="1"/>
    <col min="13850" max="13850" width="10" style="2073" customWidth="1"/>
    <col min="13851" max="13851" width="11.44140625" style="2073" customWidth="1"/>
    <col min="13852" max="13852" width="13.44140625" style="2073" customWidth="1"/>
    <col min="13853" max="14084" width="9.109375" style="2073"/>
    <col min="14085" max="14085" width="36.88671875" style="2073" customWidth="1"/>
    <col min="14086" max="14086" width="8.109375" style="2073" customWidth="1"/>
    <col min="14087" max="14093" width="0" style="2073" hidden="1" customWidth="1"/>
    <col min="14094" max="14094" width="14.44140625" style="2073" customWidth="1"/>
    <col min="14095" max="14095" width="13.5546875" style="2073" customWidth="1"/>
    <col min="14096" max="14096" width="13.88671875" style="2073" customWidth="1"/>
    <col min="14097" max="14097" width="14.44140625" style="2073" customWidth="1"/>
    <col min="14098" max="14098" width="14" style="2073" customWidth="1"/>
    <col min="14099" max="14099" width="13.33203125" style="2073" customWidth="1"/>
    <col min="14100" max="14100" width="13.6640625" style="2073" customWidth="1"/>
    <col min="14101" max="14101" width="13.33203125" style="2073" customWidth="1"/>
    <col min="14102" max="14102" width="14.44140625" style="2073" customWidth="1"/>
    <col min="14103" max="14103" width="13.5546875" style="2073" customWidth="1"/>
    <col min="14104" max="14104" width="14.109375" style="2073" customWidth="1"/>
    <col min="14105" max="14105" width="0" style="2073" hidden="1" customWidth="1"/>
    <col min="14106" max="14106" width="10" style="2073" customWidth="1"/>
    <col min="14107" max="14107" width="11.44140625" style="2073" customWidth="1"/>
    <col min="14108" max="14108" width="13.44140625" style="2073" customWidth="1"/>
    <col min="14109" max="14340" width="9.109375" style="2073"/>
    <col min="14341" max="14341" width="36.88671875" style="2073" customWidth="1"/>
    <col min="14342" max="14342" width="8.109375" style="2073" customWidth="1"/>
    <col min="14343" max="14349" width="0" style="2073" hidden="1" customWidth="1"/>
    <col min="14350" max="14350" width="14.44140625" style="2073" customWidth="1"/>
    <col min="14351" max="14351" width="13.5546875" style="2073" customWidth="1"/>
    <col min="14352" max="14352" width="13.88671875" style="2073" customWidth="1"/>
    <col min="14353" max="14353" width="14.44140625" style="2073" customWidth="1"/>
    <col min="14354" max="14354" width="14" style="2073" customWidth="1"/>
    <col min="14355" max="14355" width="13.33203125" style="2073" customWidth="1"/>
    <col min="14356" max="14356" width="13.6640625" style="2073" customWidth="1"/>
    <col min="14357" max="14357" width="13.33203125" style="2073" customWidth="1"/>
    <col min="14358" max="14358" width="14.44140625" style="2073" customWidth="1"/>
    <col min="14359" max="14359" width="13.5546875" style="2073" customWidth="1"/>
    <col min="14360" max="14360" width="14.109375" style="2073" customWidth="1"/>
    <col min="14361" max="14361" width="0" style="2073" hidden="1" customWidth="1"/>
    <col min="14362" max="14362" width="10" style="2073" customWidth="1"/>
    <col min="14363" max="14363" width="11.44140625" style="2073" customWidth="1"/>
    <col min="14364" max="14364" width="13.44140625" style="2073" customWidth="1"/>
    <col min="14365" max="14596" width="9.109375" style="2073"/>
    <col min="14597" max="14597" width="36.88671875" style="2073" customWidth="1"/>
    <col min="14598" max="14598" width="8.109375" style="2073" customWidth="1"/>
    <col min="14599" max="14605" width="0" style="2073" hidden="1" customWidth="1"/>
    <col min="14606" max="14606" width="14.44140625" style="2073" customWidth="1"/>
    <col min="14607" max="14607" width="13.5546875" style="2073" customWidth="1"/>
    <col min="14608" max="14608" width="13.88671875" style="2073" customWidth="1"/>
    <col min="14609" max="14609" width="14.44140625" style="2073" customWidth="1"/>
    <col min="14610" max="14610" width="14" style="2073" customWidth="1"/>
    <col min="14611" max="14611" width="13.33203125" style="2073" customWidth="1"/>
    <col min="14612" max="14612" width="13.6640625" style="2073" customWidth="1"/>
    <col min="14613" max="14613" width="13.33203125" style="2073" customWidth="1"/>
    <col min="14614" max="14614" width="14.44140625" style="2073" customWidth="1"/>
    <col min="14615" max="14615" width="13.5546875" style="2073" customWidth="1"/>
    <col min="14616" max="14616" width="14.109375" style="2073" customWidth="1"/>
    <col min="14617" max="14617" width="0" style="2073" hidden="1" customWidth="1"/>
    <col min="14618" max="14618" width="10" style="2073" customWidth="1"/>
    <col min="14619" max="14619" width="11.44140625" style="2073" customWidth="1"/>
    <col min="14620" max="14620" width="13.44140625" style="2073" customWidth="1"/>
    <col min="14621" max="14852" width="9.109375" style="2073"/>
    <col min="14853" max="14853" width="36.88671875" style="2073" customWidth="1"/>
    <col min="14854" max="14854" width="8.109375" style="2073" customWidth="1"/>
    <col min="14855" max="14861" width="0" style="2073" hidden="1" customWidth="1"/>
    <col min="14862" max="14862" width="14.44140625" style="2073" customWidth="1"/>
    <col min="14863" max="14863" width="13.5546875" style="2073" customWidth="1"/>
    <col min="14864" max="14864" width="13.88671875" style="2073" customWidth="1"/>
    <col min="14865" max="14865" width="14.44140625" style="2073" customWidth="1"/>
    <col min="14866" max="14866" width="14" style="2073" customWidth="1"/>
    <col min="14867" max="14867" width="13.33203125" style="2073" customWidth="1"/>
    <col min="14868" max="14868" width="13.6640625" style="2073" customWidth="1"/>
    <col min="14869" max="14869" width="13.33203125" style="2073" customWidth="1"/>
    <col min="14870" max="14870" width="14.44140625" style="2073" customWidth="1"/>
    <col min="14871" max="14871" width="13.5546875" style="2073" customWidth="1"/>
    <col min="14872" max="14872" width="14.109375" style="2073" customWidth="1"/>
    <col min="14873" max="14873" width="0" style="2073" hidden="1" customWidth="1"/>
    <col min="14874" max="14874" width="10" style="2073" customWidth="1"/>
    <col min="14875" max="14875" width="11.44140625" style="2073" customWidth="1"/>
    <col min="14876" max="14876" width="13.44140625" style="2073" customWidth="1"/>
    <col min="14877" max="15108" width="9.109375" style="2073"/>
    <col min="15109" max="15109" width="36.88671875" style="2073" customWidth="1"/>
    <col min="15110" max="15110" width="8.109375" style="2073" customWidth="1"/>
    <col min="15111" max="15117" width="0" style="2073" hidden="1" customWidth="1"/>
    <col min="15118" max="15118" width="14.44140625" style="2073" customWidth="1"/>
    <col min="15119" max="15119" width="13.5546875" style="2073" customWidth="1"/>
    <col min="15120" max="15120" width="13.88671875" style="2073" customWidth="1"/>
    <col min="15121" max="15121" width="14.44140625" style="2073" customWidth="1"/>
    <col min="15122" max="15122" width="14" style="2073" customWidth="1"/>
    <col min="15123" max="15123" width="13.33203125" style="2073" customWidth="1"/>
    <col min="15124" max="15124" width="13.6640625" style="2073" customWidth="1"/>
    <col min="15125" max="15125" width="13.33203125" style="2073" customWidth="1"/>
    <col min="15126" max="15126" width="14.44140625" style="2073" customWidth="1"/>
    <col min="15127" max="15127" width="13.5546875" style="2073" customWidth="1"/>
    <col min="15128" max="15128" width="14.109375" style="2073" customWidth="1"/>
    <col min="15129" max="15129" width="0" style="2073" hidden="1" customWidth="1"/>
    <col min="15130" max="15130" width="10" style="2073" customWidth="1"/>
    <col min="15131" max="15131" width="11.44140625" style="2073" customWidth="1"/>
    <col min="15132" max="15132" width="13.44140625" style="2073" customWidth="1"/>
    <col min="15133" max="15364" width="9.109375" style="2073"/>
    <col min="15365" max="15365" width="36.88671875" style="2073" customWidth="1"/>
    <col min="15366" max="15366" width="8.109375" style="2073" customWidth="1"/>
    <col min="15367" max="15373" width="0" style="2073" hidden="1" customWidth="1"/>
    <col min="15374" max="15374" width="14.44140625" style="2073" customWidth="1"/>
    <col min="15375" max="15375" width="13.5546875" style="2073" customWidth="1"/>
    <col min="15376" max="15376" width="13.88671875" style="2073" customWidth="1"/>
    <col min="15377" max="15377" width="14.44140625" style="2073" customWidth="1"/>
    <col min="15378" max="15378" width="14" style="2073" customWidth="1"/>
    <col min="15379" max="15379" width="13.33203125" style="2073" customWidth="1"/>
    <col min="15380" max="15380" width="13.6640625" style="2073" customWidth="1"/>
    <col min="15381" max="15381" width="13.33203125" style="2073" customWidth="1"/>
    <col min="15382" max="15382" width="14.44140625" style="2073" customWidth="1"/>
    <col min="15383" max="15383" width="13.5546875" style="2073" customWidth="1"/>
    <col min="15384" max="15384" width="14.109375" style="2073" customWidth="1"/>
    <col min="15385" max="15385" width="0" style="2073" hidden="1" customWidth="1"/>
    <col min="15386" max="15386" width="10" style="2073" customWidth="1"/>
    <col min="15387" max="15387" width="11.44140625" style="2073" customWidth="1"/>
    <col min="15388" max="15388" width="13.44140625" style="2073" customWidth="1"/>
    <col min="15389" max="15620" width="9.109375" style="2073"/>
    <col min="15621" max="15621" width="36.88671875" style="2073" customWidth="1"/>
    <col min="15622" max="15622" width="8.109375" style="2073" customWidth="1"/>
    <col min="15623" max="15629" width="0" style="2073" hidden="1" customWidth="1"/>
    <col min="15630" max="15630" width="14.44140625" style="2073" customWidth="1"/>
    <col min="15631" max="15631" width="13.5546875" style="2073" customWidth="1"/>
    <col min="15632" max="15632" width="13.88671875" style="2073" customWidth="1"/>
    <col min="15633" max="15633" width="14.44140625" style="2073" customWidth="1"/>
    <col min="15634" max="15634" width="14" style="2073" customWidth="1"/>
    <col min="15635" max="15635" width="13.33203125" style="2073" customWidth="1"/>
    <col min="15636" max="15636" width="13.6640625" style="2073" customWidth="1"/>
    <col min="15637" max="15637" width="13.33203125" style="2073" customWidth="1"/>
    <col min="15638" max="15638" width="14.44140625" style="2073" customWidth="1"/>
    <col min="15639" max="15639" width="13.5546875" style="2073" customWidth="1"/>
    <col min="15640" max="15640" width="14.109375" style="2073" customWidth="1"/>
    <col min="15641" max="15641" width="0" style="2073" hidden="1" customWidth="1"/>
    <col min="15642" max="15642" width="10" style="2073" customWidth="1"/>
    <col min="15643" max="15643" width="11.44140625" style="2073" customWidth="1"/>
    <col min="15644" max="15644" width="13.44140625" style="2073" customWidth="1"/>
    <col min="15645" max="15876" width="9.109375" style="2073"/>
    <col min="15877" max="15877" width="36.88671875" style="2073" customWidth="1"/>
    <col min="15878" max="15878" width="8.109375" style="2073" customWidth="1"/>
    <col min="15879" max="15885" width="0" style="2073" hidden="1" customWidth="1"/>
    <col min="15886" max="15886" width="14.44140625" style="2073" customWidth="1"/>
    <col min="15887" max="15887" width="13.5546875" style="2073" customWidth="1"/>
    <col min="15888" max="15888" width="13.88671875" style="2073" customWidth="1"/>
    <col min="15889" max="15889" width="14.44140625" style="2073" customWidth="1"/>
    <col min="15890" max="15890" width="14" style="2073" customWidth="1"/>
    <col min="15891" max="15891" width="13.33203125" style="2073" customWidth="1"/>
    <col min="15892" max="15892" width="13.6640625" style="2073" customWidth="1"/>
    <col min="15893" max="15893" width="13.33203125" style="2073" customWidth="1"/>
    <col min="15894" max="15894" width="14.44140625" style="2073" customWidth="1"/>
    <col min="15895" max="15895" width="13.5546875" style="2073" customWidth="1"/>
    <col min="15896" max="15896" width="14.109375" style="2073" customWidth="1"/>
    <col min="15897" max="15897" width="0" style="2073" hidden="1" customWidth="1"/>
    <col min="15898" max="15898" width="10" style="2073" customWidth="1"/>
    <col min="15899" max="15899" width="11.44140625" style="2073" customWidth="1"/>
    <col min="15900" max="15900" width="13.44140625" style="2073" customWidth="1"/>
    <col min="15901" max="16132" width="9.109375" style="2073"/>
    <col min="16133" max="16133" width="36.88671875" style="2073" customWidth="1"/>
    <col min="16134" max="16134" width="8.109375" style="2073" customWidth="1"/>
    <col min="16135" max="16141" width="0" style="2073" hidden="1" customWidth="1"/>
    <col min="16142" max="16142" width="14.44140625" style="2073" customWidth="1"/>
    <col min="16143" max="16143" width="13.5546875" style="2073" customWidth="1"/>
    <col min="16144" max="16144" width="13.88671875" style="2073" customWidth="1"/>
    <col min="16145" max="16145" width="14.44140625" style="2073" customWidth="1"/>
    <col min="16146" max="16146" width="14" style="2073" customWidth="1"/>
    <col min="16147" max="16147" width="13.33203125" style="2073" customWidth="1"/>
    <col min="16148" max="16148" width="13.6640625" style="2073" customWidth="1"/>
    <col min="16149" max="16149" width="13.33203125" style="2073" customWidth="1"/>
    <col min="16150" max="16150" width="14.44140625" style="2073" customWidth="1"/>
    <col min="16151" max="16151" width="13.5546875" style="2073" customWidth="1"/>
    <col min="16152" max="16152" width="14.109375" style="2073" customWidth="1"/>
    <col min="16153" max="16153" width="0" style="2073" hidden="1" customWidth="1"/>
    <col min="16154" max="16154" width="10" style="2073" customWidth="1"/>
    <col min="16155" max="16155" width="11.44140625" style="2073" customWidth="1"/>
    <col min="16156" max="16156" width="13.44140625" style="2073" customWidth="1"/>
    <col min="16157" max="16384" width="9.109375" style="2073"/>
  </cols>
  <sheetData>
    <row r="1" spans="1:29" ht="18">
      <c r="A1" s="3041" t="s">
        <v>633</v>
      </c>
      <c r="B1" s="2998"/>
      <c r="C1" s="2998"/>
      <c r="D1" s="2998"/>
      <c r="E1" s="2998"/>
      <c r="F1" s="2998"/>
      <c r="G1" s="2998"/>
      <c r="H1" s="2998"/>
      <c r="I1" s="2998"/>
      <c r="J1" s="2998"/>
      <c r="K1" s="2998"/>
      <c r="L1" s="3006"/>
      <c r="M1" s="3006"/>
      <c r="N1" s="3006"/>
      <c r="O1" s="2998"/>
      <c r="P1" s="2998"/>
      <c r="Q1" s="2998"/>
      <c r="R1" s="2998"/>
      <c r="S1" s="2998"/>
      <c r="T1" s="2998"/>
      <c r="U1" s="2998"/>
      <c r="V1" s="2998"/>
      <c r="W1" s="2998"/>
      <c r="X1" s="2981"/>
      <c r="Y1" s="2341"/>
      <c r="Z1" s="2341"/>
      <c r="AA1" s="2341"/>
    </row>
    <row r="2" spans="1:29" ht="18">
      <c r="A2" s="3041" t="s">
        <v>2530</v>
      </c>
      <c r="B2" s="2998"/>
      <c r="C2" s="2998"/>
      <c r="D2" s="2998"/>
      <c r="E2" s="2998"/>
      <c r="F2" s="2998"/>
      <c r="G2" s="2998"/>
      <c r="H2" s="2998"/>
      <c r="I2" s="2998"/>
      <c r="J2" s="2998"/>
      <c r="K2" s="2998"/>
      <c r="L2" s="3006"/>
      <c r="M2" s="3006"/>
      <c r="N2" s="3006"/>
      <c r="O2" s="2998"/>
      <c r="P2" s="2998"/>
      <c r="Q2" s="2998"/>
      <c r="R2" s="2998"/>
      <c r="S2" s="2998"/>
      <c r="T2" s="2998"/>
      <c r="U2" s="2998"/>
      <c r="V2" s="2998"/>
      <c r="W2" s="2998"/>
      <c r="X2" s="2981"/>
      <c r="Y2" s="2341"/>
    </row>
    <row r="3" spans="1:29" ht="18">
      <c r="A3" s="3041" t="s">
        <v>2957</v>
      </c>
      <c r="B3" s="2998"/>
      <c r="C3" s="2998"/>
      <c r="D3" s="2998"/>
      <c r="E3" s="2998"/>
      <c r="F3" s="2998"/>
      <c r="G3" s="2998"/>
      <c r="H3" s="2998"/>
      <c r="I3" s="2998"/>
      <c r="J3" s="2998"/>
      <c r="K3" s="2998"/>
      <c r="L3" s="3006"/>
      <c r="M3" s="3006"/>
      <c r="N3" s="3006"/>
      <c r="O3" s="2998"/>
      <c r="P3" s="2998"/>
      <c r="Q3" s="2998"/>
      <c r="R3" s="2998"/>
      <c r="S3" s="2998"/>
      <c r="T3" s="2998"/>
      <c r="U3" s="2998"/>
      <c r="V3" s="2998"/>
      <c r="W3" s="2998"/>
      <c r="X3" s="2981"/>
      <c r="Y3" s="2341"/>
    </row>
    <row r="4" spans="1:29" ht="18">
      <c r="A4" s="3041"/>
      <c r="B4" s="2998"/>
      <c r="C4" s="2998"/>
      <c r="D4" s="2998"/>
      <c r="E4" s="2998"/>
      <c r="F4" s="2998"/>
      <c r="G4" s="2998"/>
      <c r="H4" s="2998"/>
      <c r="I4" s="2998"/>
      <c r="J4" s="2998"/>
      <c r="K4" s="2998"/>
      <c r="L4" s="3006"/>
      <c r="M4" s="3006"/>
      <c r="N4" s="3006"/>
      <c r="O4" s="2998"/>
      <c r="P4" s="2998"/>
      <c r="Q4" s="2998"/>
      <c r="R4" s="2998"/>
      <c r="S4" s="2998"/>
      <c r="T4" s="2998"/>
      <c r="U4" s="2998"/>
      <c r="V4" s="2998"/>
      <c r="W4" s="2998"/>
      <c r="X4" s="2981"/>
      <c r="Y4" s="2341"/>
    </row>
    <row r="5" spans="1:29" s="2953" customFormat="1">
      <c r="D5" s="2975"/>
      <c r="E5" s="2975"/>
      <c r="F5" s="2975"/>
      <c r="G5" s="2975"/>
      <c r="H5" s="3883"/>
      <c r="I5" s="2975"/>
      <c r="J5" s="2975"/>
      <c r="K5" s="2975"/>
      <c r="M5" s="2953" t="s">
        <v>1164</v>
      </c>
      <c r="O5" s="2975"/>
      <c r="P5" s="3023"/>
      <c r="Q5" s="3023"/>
      <c r="R5" s="2975"/>
      <c r="S5" s="3023"/>
      <c r="T5" s="2975"/>
      <c r="U5" s="2975"/>
      <c r="V5" s="3024" t="s">
        <v>2750</v>
      </c>
      <c r="W5" s="3023" t="s">
        <v>601</v>
      </c>
      <c r="X5" s="3024"/>
      <c r="AA5" s="2953" t="s">
        <v>1164</v>
      </c>
      <c r="AB5" s="2953" t="s">
        <v>1164</v>
      </c>
    </row>
    <row r="6" spans="1:29" s="3660" customFormat="1" ht="126" customHeight="1">
      <c r="A6" s="2909" t="s">
        <v>1162</v>
      </c>
      <c r="B6" s="2909" t="s">
        <v>658</v>
      </c>
      <c r="C6" s="2909" t="s">
        <v>1161</v>
      </c>
      <c r="D6" s="2909" t="s">
        <v>2006</v>
      </c>
      <c r="E6" s="2909" t="s">
        <v>1677</v>
      </c>
      <c r="F6" s="2909" t="s">
        <v>1163</v>
      </c>
      <c r="G6" s="2909" t="s">
        <v>2007</v>
      </c>
      <c r="H6" s="2909" t="s">
        <v>1207</v>
      </c>
      <c r="I6" s="2909" t="s">
        <v>2008</v>
      </c>
      <c r="J6" s="2909" t="s">
        <v>2777</v>
      </c>
      <c r="K6" s="2909" t="s">
        <v>2780</v>
      </c>
      <c r="L6" s="2909" t="s">
        <v>3025</v>
      </c>
      <c r="M6" s="2909" t="s">
        <v>3026</v>
      </c>
      <c r="N6" s="2909" t="s">
        <v>2794</v>
      </c>
      <c r="O6" s="2909" t="s">
        <v>2958</v>
      </c>
      <c r="P6" s="2909" t="s">
        <v>2751</v>
      </c>
      <c r="Q6" s="2909" t="s">
        <v>2768</v>
      </c>
      <c r="R6" s="2909" t="s">
        <v>2959</v>
      </c>
      <c r="S6" s="2909" t="s">
        <v>2770</v>
      </c>
      <c r="T6" s="2909" t="s">
        <v>2960</v>
      </c>
      <c r="U6" s="2909" t="s">
        <v>2769</v>
      </c>
      <c r="V6" s="2909" t="s">
        <v>2891</v>
      </c>
      <c r="W6" s="2909" t="s">
        <v>2892</v>
      </c>
      <c r="X6" s="2909" t="s">
        <v>2961</v>
      </c>
      <c r="Y6" s="2909" t="s">
        <v>2962</v>
      </c>
      <c r="Z6" s="2909" t="s">
        <v>2752</v>
      </c>
      <c r="AA6" s="2909" t="s">
        <v>2753</v>
      </c>
      <c r="AB6" s="2909" t="s">
        <v>2963</v>
      </c>
    </row>
    <row r="7" spans="1:29" s="3660" customFormat="1" ht="27.6">
      <c r="A7" s="3884" t="s">
        <v>2754</v>
      </c>
      <c r="B7" s="3885">
        <v>550157</v>
      </c>
      <c r="C7" s="3886">
        <v>1984</v>
      </c>
      <c r="D7" s="3887"/>
      <c r="E7" s="2984"/>
      <c r="F7" s="2985"/>
      <c r="G7" s="2984"/>
      <c r="H7" s="2984">
        <v>0</v>
      </c>
      <c r="I7" s="2984">
        <v>0</v>
      </c>
      <c r="J7" s="3888" t="s">
        <v>2776</v>
      </c>
      <c r="K7" s="3888" t="s">
        <v>2781</v>
      </c>
      <c r="L7" s="2990">
        <v>420</v>
      </c>
      <c r="M7" s="2990">
        <v>408</v>
      </c>
      <c r="N7" s="2990">
        <v>240</v>
      </c>
      <c r="O7" s="2984">
        <v>1185436</v>
      </c>
      <c r="P7" s="2984">
        <v>367095</v>
      </c>
      <c r="Q7" s="2984">
        <v>169344</v>
      </c>
      <c r="R7" s="3887">
        <v>1185436</v>
      </c>
      <c r="S7" s="2984">
        <v>197751</v>
      </c>
      <c r="T7" s="2984">
        <v>14112</v>
      </c>
      <c r="U7" s="2984">
        <v>127008</v>
      </c>
      <c r="V7" s="2984">
        <v>169344</v>
      </c>
      <c r="W7" s="2984">
        <v>28407</v>
      </c>
      <c r="X7" s="2984">
        <v>28407</v>
      </c>
      <c r="Y7" s="2985">
        <v>0</v>
      </c>
      <c r="Z7" s="2984">
        <v>2.396333500922867</v>
      </c>
      <c r="AA7" s="2990">
        <v>500.76502270567119</v>
      </c>
      <c r="AB7" s="2984">
        <v>28407</v>
      </c>
      <c r="AC7" s="3889">
        <v>59271.8</v>
      </c>
    </row>
    <row r="8" spans="1:29" s="3660" customFormat="1" ht="27.6">
      <c r="A8" s="3884" t="s">
        <v>2755</v>
      </c>
      <c r="B8" s="3885">
        <v>550089</v>
      </c>
      <c r="C8" s="3886">
        <v>1966</v>
      </c>
      <c r="D8" s="3887"/>
      <c r="E8" s="2984"/>
      <c r="F8" s="2985"/>
      <c r="G8" s="2984"/>
      <c r="H8" s="2984">
        <v>0</v>
      </c>
      <c r="I8" s="2984">
        <v>0</v>
      </c>
      <c r="J8" s="3888" t="s">
        <v>2778</v>
      </c>
      <c r="K8" s="3888" t="s">
        <v>2782</v>
      </c>
      <c r="L8" s="2990">
        <v>580</v>
      </c>
      <c r="M8" s="2990">
        <v>568</v>
      </c>
      <c r="N8" s="2990">
        <v>180</v>
      </c>
      <c r="O8" s="2984">
        <v>417288</v>
      </c>
      <c r="P8" s="2984">
        <v>188352</v>
      </c>
      <c r="Q8" s="2984">
        <v>41724</v>
      </c>
      <c r="R8" s="3887">
        <v>417288</v>
      </c>
      <c r="S8" s="2984">
        <v>146628</v>
      </c>
      <c r="T8" s="2984">
        <v>3477</v>
      </c>
      <c r="U8" s="2984">
        <v>31293</v>
      </c>
      <c r="V8" s="2984">
        <v>41724</v>
      </c>
      <c r="W8" s="2984">
        <v>104904</v>
      </c>
      <c r="X8" s="2984">
        <v>41724</v>
      </c>
      <c r="Y8" s="2984">
        <v>63180</v>
      </c>
      <c r="Z8" s="2984">
        <v>9.9988497153045373</v>
      </c>
      <c r="AA8" s="2990">
        <v>120.01380500431407</v>
      </c>
      <c r="AB8" s="2984">
        <v>41724</v>
      </c>
      <c r="AC8" s="3889">
        <v>27819.200000000004</v>
      </c>
    </row>
    <row r="9" spans="1:29" s="3660" customFormat="1" ht="27.6">
      <c r="A9" s="3884" t="s">
        <v>2756</v>
      </c>
      <c r="B9" s="3885">
        <v>550090</v>
      </c>
      <c r="C9" s="3886">
        <v>1967</v>
      </c>
      <c r="D9" s="3887"/>
      <c r="E9" s="2984"/>
      <c r="F9" s="2985"/>
      <c r="G9" s="2984"/>
      <c r="H9" s="2984">
        <v>0</v>
      </c>
      <c r="I9" s="2984">
        <v>0</v>
      </c>
      <c r="J9" s="3888" t="s">
        <v>2779</v>
      </c>
      <c r="K9" s="3888" t="s">
        <v>2783</v>
      </c>
      <c r="L9" s="2990">
        <v>580</v>
      </c>
      <c r="M9" s="2990">
        <v>568</v>
      </c>
      <c r="N9" s="2990">
        <v>180</v>
      </c>
      <c r="O9" s="2984">
        <v>1146485</v>
      </c>
      <c r="P9" s="2984">
        <v>729017</v>
      </c>
      <c r="Q9" s="2984">
        <v>104220</v>
      </c>
      <c r="R9" s="3887">
        <v>1146485</v>
      </c>
      <c r="S9" s="2984">
        <v>624797</v>
      </c>
      <c r="T9" s="2984">
        <v>8685</v>
      </c>
      <c r="U9" s="2984">
        <v>78165</v>
      </c>
      <c r="V9" s="2984">
        <v>104220</v>
      </c>
      <c r="W9" s="2984">
        <v>520577</v>
      </c>
      <c r="X9" s="2984">
        <v>104220</v>
      </c>
      <c r="Y9" s="2984">
        <v>416357</v>
      </c>
      <c r="Z9" s="2984">
        <v>9.0903936815571065</v>
      </c>
      <c r="AA9" s="2990">
        <v>132.00748416810592</v>
      </c>
      <c r="AB9" s="2984">
        <v>104220</v>
      </c>
      <c r="AC9" s="3889">
        <v>76432.333333333343</v>
      </c>
    </row>
    <row r="10" spans="1:29" s="3660" customFormat="1" ht="27.6" hidden="1">
      <c r="A10" s="3884" t="s">
        <v>2771</v>
      </c>
      <c r="B10" s="3885">
        <v>550148</v>
      </c>
      <c r="C10" s="3886"/>
      <c r="D10" s="3887"/>
      <c r="E10" s="2984"/>
      <c r="F10" s="2985"/>
      <c r="G10" s="2984"/>
      <c r="H10" s="2984"/>
      <c r="I10" s="2984"/>
      <c r="J10" s="3890" t="s">
        <v>2784</v>
      </c>
      <c r="K10" s="3890"/>
      <c r="L10" s="2990">
        <v>480</v>
      </c>
      <c r="M10" s="3891">
        <v>468</v>
      </c>
      <c r="N10" s="2990">
        <v>180</v>
      </c>
      <c r="O10" s="2985">
        <v>0</v>
      </c>
      <c r="P10" s="2984"/>
      <c r="Q10" s="2984"/>
      <c r="R10" s="3887"/>
      <c r="S10" s="2985">
        <v>0</v>
      </c>
      <c r="T10" s="2984"/>
      <c r="U10" s="2985">
        <v>0</v>
      </c>
      <c r="V10" s="2985">
        <v>0</v>
      </c>
      <c r="W10" s="2985">
        <v>0</v>
      </c>
      <c r="X10" s="2985">
        <v>0</v>
      </c>
      <c r="Y10" s="2985">
        <v>0</v>
      </c>
      <c r="Z10" s="2985">
        <v>0</v>
      </c>
      <c r="AA10" s="2985">
        <v>0</v>
      </c>
      <c r="AB10" s="2985">
        <v>0</v>
      </c>
      <c r="AC10" s="3889"/>
    </row>
    <row r="11" spans="1:29" s="3660" customFormat="1" ht="13.8" hidden="1">
      <c r="A11" s="3884" t="s">
        <v>2775</v>
      </c>
      <c r="B11" s="3885">
        <v>550140</v>
      </c>
      <c r="C11" s="3886"/>
      <c r="D11" s="3887"/>
      <c r="E11" s="2984"/>
      <c r="F11" s="2985"/>
      <c r="G11" s="2984"/>
      <c r="H11" s="2984"/>
      <c r="I11" s="2984"/>
      <c r="J11" s="3890" t="s">
        <v>2785</v>
      </c>
      <c r="K11" s="3890" t="s">
        <v>2786</v>
      </c>
      <c r="L11" s="2990">
        <v>492</v>
      </c>
      <c r="M11" s="3891">
        <v>480</v>
      </c>
      <c r="N11" s="2990">
        <v>13</v>
      </c>
      <c r="O11" s="2985">
        <v>0</v>
      </c>
      <c r="P11" s="2984"/>
      <c r="Q11" s="2984"/>
      <c r="R11" s="3887"/>
      <c r="S11" s="2985">
        <v>0</v>
      </c>
      <c r="T11" s="2984"/>
      <c r="U11" s="2985">
        <v>0</v>
      </c>
      <c r="V11" s="2985">
        <v>0</v>
      </c>
      <c r="W11" s="2985">
        <v>0</v>
      </c>
      <c r="X11" s="2985">
        <v>0</v>
      </c>
      <c r="Y11" s="2985">
        <v>0</v>
      </c>
      <c r="Z11" s="2985">
        <v>0</v>
      </c>
      <c r="AA11" s="2985">
        <v>0</v>
      </c>
      <c r="AB11" s="2985">
        <v>0</v>
      </c>
      <c r="AC11" s="3889"/>
    </row>
    <row r="12" spans="1:29" s="3660" customFormat="1" ht="27.6" hidden="1">
      <c r="A12" s="3884" t="s">
        <v>2772</v>
      </c>
      <c r="B12" s="3885">
        <v>550139</v>
      </c>
      <c r="C12" s="3886"/>
      <c r="D12" s="3887"/>
      <c r="E12" s="2984"/>
      <c r="F12" s="2985"/>
      <c r="G12" s="2984"/>
      <c r="H12" s="2984"/>
      <c r="I12" s="2984"/>
      <c r="J12" s="3890" t="s">
        <v>2787</v>
      </c>
      <c r="K12" s="3890" t="s">
        <v>2788</v>
      </c>
      <c r="L12" s="2990">
        <v>492</v>
      </c>
      <c r="M12" s="3891">
        <v>480</v>
      </c>
      <c r="N12" s="2990">
        <v>180</v>
      </c>
      <c r="O12" s="2985">
        <v>0</v>
      </c>
      <c r="P12" s="2984"/>
      <c r="Q12" s="2984"/>
      <c r="R12" s="3887"/>
      <c r="S12" s="2985">
        <v>0</v>
      </c>
      <c r="T12" s="2984"/>
      <c r="U12" s="2985">
        <v>0</v>
      </c>
      <c r="V12" s="2985">
        <v>0</v>
      </c>
      <c r="W12" s="2985">
        <v>0</v>
      </c>
      <c r="X12" s="2985">
        <v>0</v>
      </c>
      <c r="Y12" s="2985">
        <v>0</v>
      </c>
      <c r="Z12" s="2985">
        <v>0</v>
      </c>
      <c r="AA12" s="2985">
        <v>0</v>
      </c>
      <c r="AB12" s="2985">
        <v>0</v>
      </c>
      <c r="AC12" s="3889"/>
    </row>
    <row r="13" spans="1:29" s="3660" customFormat="1" ht="27.6" hidden="1">
      <c r="A13" s="3884" t="s">
        <v>2773</v>
      </c>
      <c r="B13" s="3885">
        <v>550010</v>
      </c>
      <c r="C13" s="3886"/>
      <c r="D13" s="3887"/>
      <c r="E13" s="2984"/>
      <c r="F13" s="2985"/>
      <c r="G13" s="2984"/>
      <c r="H13" s="2984"/>
      <c r="I13" s="2984"/>
      <c r="J13" s="3890" t="s">
        <v>2789</v>
      </c>
      <c r="K13" s="3890" t="s">
        <v>2790</v>
      </c>
      <c r="L13" s="2990">
        <v>540</v>
      </c>
      <c r="M13" s="3891">
        <v>528</v>
      </c>
      <c r="N13" s="2990">
        <v>180</v>
      </c>
      <c r="O13" s="2985">
        <v>0</v>
      </c>
      <c r="P13" s="2984"/>
      <c r="Q13" s="2984"/>
      <c r="R13" s="3887"/>
      <c r="S13" s="2985">
        <v>0</v>
      </c>
      <c r="T13" s="2984"/>
      <c r="U13" s="2985">
        <v>0</v>
      </c>
      <c r="V13" s="2985">
        <v>0</v>
      </c>
      <c r="W13" s="2985">
        <v>0</v>
      </c>
      <c r="X13" s="2985">
        <v>0</v>
      </c>
      <c r="Y13" s="2985">
        <v>0</v>
      </c>
      <c r="Z13" s="2985">
        <v>0</v>
      </c>
      <c r="AA13" s="2985">
        <v>0</v>
      </c>
      <c r="AB13" s="2985">
        <v>0</v>
      </c>
      <c r="AC13" s="3889"/>
    </row>
    <row r="14" spans="1:29" s="3660" customFormat="1" ht="13.8" hidden="1">
      <c r="A14" s="3884" t="s">
        <v>2774</v>
      </c>
      <c r="B14" s="3885">
        <v>550166</v>
      </c>
      <c r="C14" s="3886"/>
      <c r="D14" s="3887"/>
      <c r="E14" s="2984"/>
      <c r="F14" s="2985"/>
      <c r="G14" s="2984"/>
      <c r="H14" s="2984"/>
      <c r="I14" s="2984"/>
      <c r="J14" s="3890" t="s">
        <v>2791</v>
      </c>
      <c r="K14" s="3890" t="s">
        <v>2790</v>
      </c>
      <c r="L14" s="2990">
        <v>416</v>
      </c>
      <c r="M14" s="3891">
        <v>404</v>
      </c>
      <c r="N14" s="2990">
        <v>180</v>
      </c>
      <c r="O14" s="2985">
        <v>0</v>
      </c>
      <c r="P14" s="2984"/>
      <c r="Q14" s="2984"/>
      <c r="R14" s="3887"/>
      <c r="S14" s="2985">
        <v>0</v>
      </c>
      <c r="T14" s="2984"/>
      <c r="U14" s="2985">
        <v>0</v>
      </c>
      <c r="V14" s="2985">
        <v>0</v>
      </c>
      <c r="W14" s="2985">
        <v>0</v>
      </c>
      <c r="X14" s="2985">
        <v>0</v>
      </c>
      <c r="Y14" s="2985">
        <v>0</v>
      </c>
      <c r="Z14" s="2985">
        <v>0</v>
      </c>
      <c r="AA14" s="2985">
        <v>0</v>
      </c>
      <c r="AB14" s="2985">
        <v>0</v>
      </c>
      <c r="AC14" s="3889"/>
    </row>
    <row r="15" spans="1:29" s="3660" customFormat="1" ht="13.8">
      <c r="A15" s="3884" t="s">
        <v>2757</v>
      </c>
      <c r="B15" s="3885">
        <v>550165</v>
      </c>
      <c r="C15" s="3886"/>
      <c r="D15" s="3887"/>
      <c r="E15" s="2984"/>
      <c r="F15" s="2985"/>
      <c r="G15" s="2984"/>
      <c r="H15" s="2984"/>
      <c r="I15" s="2984"/>
      <c r="J15" s="3888" t="s">
        <v>2791</v>
      </c>
      <c r="K15" s="3888" t="s">
        <v>2792</v>
      </c>
      <c r="L15" s="2990">
        <v>416</v>
      </c>
      <c r="M15" s="2990">
        <v>404</v>
      </c>
      <c r="N15" s="2990">
        <v>180</v>
      </c>
      <c r="O15" s="2984">
        <v>2698456</v>
      </c>
      <c r="P15" s="2984">
        <v>2203753</v>
      </c>
      <c r="Q15" s="2984">
        <v>179892</v>
      </c>
      <c r="R15" s="3887">
        <v>2698456</v>
      </c>
      <c r="S15" s="2984">
        <v>2023861</v>
      </c>
      <c r="T15" s="2984">
        <v>14991</v>
      </c>
      <c r="U15" s="2984">
        <v>134919</v>
      </c>
      <c r="V15" s="2984">
        <v>179892</v>
      </c>
      <c r="W15" s="2984">
        <v>1843969</v>
      </c>
      <c r="X15" s="2984">
        <v>179892</v>
      </c>
      <c r="Y15" s="2984">
        <v>1664077</v>
      </c>
      <c r="Z15" s="2984">
        <v>6.6664789049738076</v>
      </c>
      <c r="AA15" s="2990">
        <v>180.00506970849176</v>
      </c>
      <c r="AB15" s="2985">
        <v>179892</v>
      </c>
      <c r="AC15" s="3889">
        <v>179897.06666666665</v>
      </c>
    </row>
    <row r="16" spans="1:29" s="3660" customFormat="1" ht="27.6">
      <c r="A16" s="3884" t="s">
        <v>2758</v>
      </c>
      <c r="B16" s="3885">
        <v>910139</v>
      </c>
      <c r="C16" s="3886">
        <v>1982</v>
      </c>
      <c r="D16" s="3887"/>
      <c r="E16" s="2984"/>
      <c r="F16" s="2985"/>
      <c r="G16" s="2984"/>
      <c r="H16" s="2984">
        <v>0</v>
      </c>
      <c r="I16" s="2984">
        <v>0</v>
      </c>
      <c r="J16" s="3888" t="s">
        <v>2793</v>
      </c>
      <c r="K16" s="3888"/>
      <c r="L16" s="2990">
        <v>453</v>
      </c>
      <c r="M16" s="2990">
        <v>441</v>
      </c>
      <c r="N16" s="2990">
        <v>180</v>
      </c>
      <c r="O16" s="2984">
        <v>34310</v>
      </c>
      <c r="P16" s="2984">
        <v>31088</v>
      </c>
      <c r="Q16" s="2984">
        <v>600</v>
      </c>
      <c r="R16" s="3887">
        <v>34310</v>
      </c>
      <c r="S16" s="2984">
        <v>30488</v>
      </c>
      <c r="T16" s="2984">
        <v>50</v>
      </c>
      <c r="U16" s="2984">
        <v>450</v>
      </c>
      <c r="V16" s="2984">
        <v>600</v>
      </c>
      <c r="W16" s="2984">
        <v>29888</v>
      </c>
      <c r="X16" s="2984">
        <v>600</v>
      </c>
      <c r="Y16" s="2984">
        <v>29288</v>
      </c>
      <c r="Z16" s="2984">
        <v>1.7487612940833577</v>
      </c>
      <c r="AA16" s="2990">
        <v>686.19999999999993</v>
      </c>
      <c r="AB16" s="2985">
        <v>600</v>
      </c>
      <c r="AC16" s="3889">
        <v>2287.3333333333335</v>
      </c>
    </row>
    <row r="17" spans="1:30" s="3660" customFormat="1" ht="27.6" hidden="1">
      <c r="A17" s="3884" t="s">
        <v>2756</v>
      </c>
      <c r="B17" s="3885">
        <v>550091</v>
      </c>
      <c r="C17" s="3886">
        <v>1967</v>
      </c>
      <c r="D17" s="3887"/>
      <c r="E17" s="2984"/>
      <c r="F17" s="2985"/>
      <c r="G17" s="2984"/>
      <c r="H17" s="2984">
        <v>0</v>
      </c>
      <c r="I17" s="2984">
        <v>0</v>
      </c>
      <c r="J17" s="3890" t="s">
        <v>2795</v>
      </c>
      <c r="K17" s="3890" t="s">
        <v>2796</v>
      </c>
      <c r="L17" s="2990">
        <v>580</v>
      </c>
      <c r="M17" s="3891">
        <v>568</v>
      </c>
      <c r="N17" s="2990">
        <v>180</v>
      </c>
      <c r="O17" s="2985">
        <v>0</v>
      </c>
      <c r="P17" s="2984"/>
      <c r="Q17" s="2984"/>
      <c r="R17" s="3887"/>
      <c r="S17" s="2985">
        <v>0</v>
      </c>
      <c r="T17" s="2984"/>
      <c r="U17" s="2985">
        <v>0</v>
      </c>
      <c r="V17" s="2985">
        <v>0</v>
      </c>
      <c r="W17" s="2985">
        <v>0</v>
      </c>
      <c r="X17" s="2985">
        <v>0</v>
      </c>
      <c r="Y17" s="2985">
        <v>0</v>
      </c>
      <c r="Z17" s="2985">
        <v>0</v>
      </c>
      <c r="AA17" s="2985">
        <v>0</v>
      </c>
      <c r="AB17" s="2985">
        <v>0</v>
      </c>
      <c r="AC17" s="3889"/>
    </row>
    <row r="18" spans="1:30" s="3660" customFormat="1" ht="13.8">
      <c r="A18" s="3884" t="s">
        <v>2759</v>
      </c>
      <c r="B18" s="3885">
        <v>910175</v>
      </c>
      <c r="C18" s="3886"/>
      <c r="D18" s="3887"/>
      <c r="E18" s="2984"/>
      <c r="F18" s="2985"/>
      <c r="G18" s="2984"/>
      <c r="H18" s="2984">
        <v>0</v>
      </c>
      <c r="I18" s="2984">
        <v>0</v>
      </c>
      <c r="J18" s="3888" t="s">
        <v>2797</v>
      </c>
      <c r="K18" s="3888" t="s">
        <v>2798</v>
      </c>
      <c r="L18" s="2990">
        <v>348</v>
      </c>
      <c r="M18" s="2990">
        <v>336</v>
      </c>
      <c r="N18" s="2990">
        <v>180</v>
      </c>
      <c r="O18" s="2984">
        <v>100110</v>
      </c>
      <c r="P18" s="2984">
        <v>91665</v>
      </c>
      <c r="Q18" s="2984">
        <v>1500</v>
      </c>
      <c r="R18" s="3887">
        <v>100110</v>
      </c>
      <c r="S18" s="2984">
        <v>90165</v>
      </c>
      <c r="T18" s="2984">
        <v>125</v>
      </c>
      <c r="U18" s="2984">
        <v>1125</v>
      </c>
      <c r="V18" s="2984">
        <v>1500</v>
      </c>
      <c r="W18" s="2984">
        <v>88665</v>
      </c>
      <c r="X18" s="2984">
        <v>1500</v>
      </c>
      <c r="Y18" s="2984">
        <v>87165</v>
      </c>
      <c r="Z18" s="2984">
        <v>1.4983518130056936</v>
      </c>
      <c r="AA18" s="2990">
        <v>800.87999999999988</v>
      </c>
      <c r="AB18" s="2985">
        <v>1500</v>
      </c>
      <c r="AC18" s="3889">
        <v>6674</v>
      </c>
    </row>
    <row r="19" spans="1:30" s="3660" customFormat="1" ht="27.6">
      <c r="A19" s="3884" t="s">
        <v>2760</v>
      </c>
      <c r="B19" s="3885">
        <v>900187</v>
      </c>
      <c r="C19" s="3886"/>
      <c r="D19" s="2985"/>
      <c r="E19" s="2985"/>
      <c r="F19" s="2984"/>
      <c r="G19" s="2985"/>
      <c r="H19" s="2984">
        <v>0</v>
      </c>
      <c r="I19" s="2984">
        <v>0</v>
      </c>
      <c r="J19" s="3888" t="s">
        <v>2799</v>
      </c>
      <c r="K19" s="3888" t="s">
        <v>2800</v>
      </c>
      <c r="L19" s="2990">
        <v>552</v>
      </c>
      <c r="M19" s="2990">
        <v>540</v>
      </c>
      <c r="N19" s="2990">
        <v>180</v>
      </c>
      <c r="O19" s="2984">
        <v>190581</v>
      </c>
      <c r="P19" s="2984">
        <v>122478</v>
      </c>
      <c r="Q19" s="2984">
        <v>12432</v>
      </c>
      <c r="R19" s="3887">
        <v>190581</v>
      </c>
      <c r="S19" s="2984">
        <v>110046</v>
      </c>
      <c r="T19" s="2985">
        <v>1036</v>
      </c>
      <c r="U19" s="2984">
        <v>9324</v>
      </c>
      <c r="V19" s="2984">
        <v>12432</v>
      </c>
      <c r="W19" s="2984">
        <v>97614</v>
      </c>
      <c r="X19" s="2984">
        <v>12432</v>
      </c>
      <c r="Y19" s="2984">
        <v>85182</v>
      </c>
      <c r="Z19" s="2984">
        <v>6.5232106033654977</v>
      </c>
      <c r="AA19" s="2990">
        <v>183.95849420849419</v>
      </c>
      <c r="AB19" s="2985">
        <v>12432</v>
      </c>
      <c r="AC19" s="3889">
        <v>12705.4</v>
      </c>
    </row>
    <row r="20" spans="1:30" s="3660" customFormat="1" ht="27.6">
      <c r="A20" s="3884" t="s">
        <v>2761</v>
      </c>
      <c r="B20" s="3885">
        <v>550177</v>
      </c>
      <c r="C20" s="3886"/>
      <c r="D20" s="2985"/>
      <c r="E20" s="2985"/>
      <c r="F20" s="2984"/>
      <c r="G20" s="2985"/>
      <c r="H20" s="2984">
        <v>0</v>
      </c>
      <c r="I20" s="2984">
        <v>0</v>
      </c>
      <c r="J20" s="3888" t="s">
        <v>2801</v>
      </c>
      <c r="K20" s="3888" t="s">
        <v>2802</v>
      </c>
      <c r="L20" s="2990">
        <v>295</v>
      </c>
      <c r="M20" s="2990">
        <v>283</v>
      </c>
      <c r="N20" s="2990">
        <v>84</v>
      </c>
      <c r="O20" s="2984">
        <v>38317</v>
      </c>
      <c r="P20" s="2984">
        <v>0</v>
      </c>
      <c r="Q20" s="2984">
        <v>0</v>
      </c>
      <c r="R20" s="3887">
        <v>38317</v>
      </c>
      <c r="S20" s="2985">
        <v>0</v>
      </c>
      <c r="T20" s="2985">
        <v>0</v>
      </c>
      <c r="U20" s="2984">
        <v>0</v>
      </c>
      <c r="V20" s="2985">
        <v>0</v>
      </c>
      <c r="W20" s="2985">
        <v>0</v>
      </c>
      <c r="X20" s="2985">
        <v>0</v>
      </c>
      <c r="Y20" s="2985">
        <v>0</v>
      </c>
      <c r="Z20" s="2985">
        <v>0</v>
      </c>
      <c r="AA20" s="2985">
        <v>0</v>
      </c>
      <c r="AB20" s="2985">
        <v>0</v>
      </c>
      <c r="AC20" s="3889">
        <v>5473.8571428571431</v>
      </c>
    </row>
    <row r="21" spans="1:30" s="3660" customFormat="1" ht="33.75" hidden="1" customHeight="1">
      <c r="A21" s="3884" t="s">
        <v>1660</v>
      </c>
      <c r="B21" s="3885"/>
      <c r="C21" s="3886"/>
      <c r="D21" s="2985">
        <v>0</v>
      </c>
      <c r="E21" s="2985">
        <v>0</v>
      </c>
      <c r="F21" s="2985"/>
      <c r="G21" s="2985">
        <v>0</v>
      </c>
      <c r="H21" s="2984">
        <v>0</v>
      </c>
      <c r="I21" s="2985">
        <v>0</v>
      </c>
      <c r="J21" s="3888"/>
      <c r="K21" s="3888"/>
      <c r="L21" s="2990">
        <v>12</v>
      </c>
      <c r="M21" s="2990"/>
      <c r="N21" s="2990" t="e">
        <v>#DIV/0!</v>
      </c>
      <c r="O21" s="2985"/>
      <c r="P21" s="2985">
        <v>0</v>
      </c>
      <c r="Q21" s="2984">
        <v>0</v>
      </c>
      <c r="R21" s="2985">
        <v>0</v>
      </c>
      <c r="S21" s="2984">
        <v>0</v>
      </c>
      <c r="T21" s="2985">
        <v>0</v>
      </c>
      <c r="U21" s="2985">
        <v>0</v>
      </c>
      <c r="V21" s="2985">
        <v>0</v>
      </c>
      <c r="W21" s="2984">
        <v>0</v>
      </c>
      <c r="X21" s="2984">
        <v>0</v>
      </c>
      <c r="Y21" s="2984">
        <v>0</v>
      </c>
      <c r="Z21" s="2984" t="e">
        <v>#DIV/0!</v>
      </c>
      <c r="AA21" s="2990" t="e">
        <v>#DIV/0!</v>
      </c>
      <c r="AB21" s="2985"/>
      <c r="AC21" s="3889">
        <v>0</v>
      </c>
    </row>
    <row r="22" spans="1:30" s="3660" customFormat="1" ht="33.75" customHeight="1">
      <c r="A22" s="3884" t="s">
        <v>2762</v>
      </c>
      <c r="B22" s="3885">
        <v>971029</v>
      </c>
      <c r="C22" s="3886">
        <v>1961</v>
      </c>
      <c r="D22" s="3892">
        <v>1556773</v>
      </c>
      <c r="E22" s="2985">
        <v>1175070</v>
      </c>
      <c r="F22" s="2985"/>
      <c r="G22" s="2985">
        <v>4238</v>
      </c>
      <c r="H22" s="2984">
        <v>0</v>
      </c>
      <c r="I22" s="2985">
        <v>50856</v>
      </c>
      <c r="J22" s="3888"/>
      <c r="K22" s="3888"/>
      <c r="L22" s="2990"/>
      <c r="M22" s="2990"/>
      <c r="N22" s="2990">
        <v>180</v>
      </c>
      <c r="O22" s="2985">
        <v>22802</v>
      </c>
      <c r="P22" s="3892">
        <v>12093.833333333332</v>
      </c>
      <c r="Q22" s="2984">
        <v>1754</v>
      </c>
      <c r="R22" s="2984">
        <v>22802</v>
      </c>
      <c r="S22" s="3893">
        <v>6831.8333333333321</v>
      </c>
      <c r="T22" s="3892">
        <v>146.16666666666666</v>
      </c>
      <c r="U22" s="2985">
        <v>1315.5</v>
      </c>
      <c r="V22" s="2985">
        <v>1754</v>
      </c>
      <c r="W22" s="2984">
        <v>5077.8333333333321</v>
      </c>
      <c r="X22" s="2984">
        <v>1754</v>
      </c>
      <c r="Y22" s="2984">
        <v>3323.8333333333321</v>
      </c>
      <c r="Z22" s="2984">
        <v>7.6923076923076925</v>
      </c>
      <c r="AA22" s="2990">
        <v>156</v>
      </c>
      <c r="AB22" s="2985">
        <v>1520.1333333333332</v>
      </c>
      <c r="AC22" s="3889">
        <v>1520.1333333333332</v>
      </c>
    </row>
    <row r="23" spans="1:30" s="3660" customFormat="1" ht="33.75" customHeight="1">
      <c r="A23" s="3884" t="s">
        <v>2763</v>
      </c>
      <c r="B23" s="3885">
        <v>970004</v>
      </c>
      <c r="C23" s="3886">
        <v>1991</v>
      </c>
      <c r="D23" s="3892">
        <v>1556773</v>
      </c>
      <c r="E23" s="2985">
        <v>1175070</v>
      </c>
      <c r="F23" s="2985"/>
      <c r="G23" s="2985">
        <v>4238</v>
      </c>
      <c r="H23" s="2984">
        <v>0</v>
      </c>
      <c r="I23" s="2985">
        <v>50856</v>
      </c>
      <c r="J23" s="3888"/>
      <c r="K23" s="3888"/>
      <c r="L23" s="2990"/>
      <c r="M23" s="2990"/>
      <c r="N23" s="2990">
        <v>263</v>
      </c>
      <c r="O23" s="3892">
        <v>1538471</v>
      </c>
      <c r="P23" s="3892">
        <v>1005650.0912547528</v>
      </c>
      <c r="Q23" s="2984">
        <v>70196.395437262356</v>
      </c>
      <c r="R23" s="3892">
        <v>1538471</v>
      </c>
      <c r="S23" s="3893">
        <v>795060.90494296572</v>
      </c>
      <c r="T23" s="3892">
        <v>5849.6996197718627</v>
      </c>
      <c r="U23" s="3892">
        <v>52647.296577946763</v>
      </c>
      <c r="V23" s="2985">
        <v>70196.395437262356</v>
      </c>
      <c r="W23" s="2984">
        <v>724864.50950570335</v>
      </c>
      <c r="X23" s="2984">
        <v>70196.395437262356</v>
      </c>
      <c r="Y23" s="2984">
        <v>654668.11406844098</v>
      </c>
      <c r="Z23" s="2984">
        <v>4.5627376425855513</v>
      </c>
      <c r="AA23" s="2990">
        <v>263</v>
      </c>
      <c r="AB23" s="2985">
        <v>70196.395437262356</v>
      </c>
      <c r="AC23" s="3889">
        <v>70196.395437262356</v>
      </c>
    </row>
    <row r="24" spans="1:30" s="3664" customFormat="1" ht="32.25" customHeight="1">
      <c r="A24" s="3894" t="s">
        <v>1661</v>
      </c>
      <c r="B24" s="3895"/>
      <c r="C24" s="3896"/>
      <c r="D24" s="2986">
        <v>1556773</v>
      </c>
      <c r="E24" s="2986">
        <v>1175070</v>
      </c>
      <c r="F24" s="2986">
        <v>0</v>
      </c>
      <c r="G24" s="2986">
        <v>4238</v>
      </c>
      <c r="H24" s="2986">
        <v>0</v>
      </c>
      <c r="I24" s="2986">
        <v>50856</v>
      </c>
      <c r="J24" s="3888"/>
      <c r="K24" s="3888"/>
      <c r="L24" s="2990"/>
      <c r="M24" s="2990"/>
      <c r="N24" s="2988"/>
      <c r="O24" s="2986">
        <v>7372256</v>
      </c>
      <c r="P24" s="2986">
        <v>4751191.9245880861</v>
      </c>
      <c r="Q24" s="2986">
        <v>581662.39543726237</v>
      </c>
      <c r="R24" s="2986">
        <v>7372256</v>
      </c>
      <c r="S24" s="2986">
        <v>4025628.7382762991</v>
      </c>
      <c r="T24" s="2986">
        <v>48471.866286438526</v>
      </c>
      <c r="U24" s="2986">
        <v>436246.79657794675</v>
      </c>
      <c r="V24" s="2986">
        <v>581662.39543726237</v>
      </c>
      <c r="W24" s="2986">
        <v>3443966.3428390371</v>
      </c>
      <c r="X24" s="2986">
        <v>440725.39543726237</v>
      </c>
      <c r="Y24" s="2986">
        <v>3003240.9474017746</v>
      </c>
      <c r="Z24" s="2988">
        <v>5.9781618467571169</v>
      </c>
      <c r="AA24" s="2990"/>
      <c r="AB24" s="2986">
        <v>440491.52877059573</v>
      </c>
      <c r="AC24" s="3897">
        <v>442277.51924678625</v>
      </c>
      <c r="AD24" s="3889">
        <v>442277.51924678625</v>
      </c>
    </row>
    <row r="25" spans="1:30" s="3660" customFormat="1" ht="27" customHeight="1">
      <c r="A25" s="3898" t="s">
        <v>2764</v>
      </c>
      <c r="B25" s="3898">
        <v>900535</v>
      </c>
      <c r="C25" s="3898"/>
      <c r="D25" s="2984">
        <v>14648680</v>
      </c>
      <c r="E25" s="2984">
        <v>4924684</v>
      </c>
      <c r="F25" s="2984">
        <v>0</v>
      </c>
      <c r="G25" s="2984">
        <v>29374</v>
      </c>
      <c r="H25" s="2984"/>
      <c r="I25" s="2984">
        <v>352488</v>
      </c>
      <c r="J25" s="3888" t="s">
        <v>2803</v>
      </c>
      <c r="K25" s="3888" t="s">
        <v>2804</v>
      </c>
      <c r="L25" s="2990">
        <v>288</v>
      </c>
      <c r="M25" s="2990">
        <v>276</v>
      </c>
      <c r="N25" s="2990">
        <v>180</v>
      </c>
      <c r="O25" s="2984">
        <v>283645</v>
      </c>
      <c r="P25" s="2985">
        <v>0</v>
      </c>
      <c r="Q25" s="2985">
        <v>0</v>
      </c>
      <c r="R25" s="2984">
        <v>283645</v>
      </c>
      <c r="S25" s="2985">
        <v>0</v>
      </c>
      <c r="T25" s="2985">
        <v>0</v>
      </c>
      <c r="U25" s="2985">
        <v>0</v>
      </c>
      <c r="V25" s="2985">
        <v>0</v>
      </c>
      <c r="W25" s="2985">
        <v>0</v>
      </c>
      <c r="X25" s="2985">
        <v>0</v>
      </c>
      <c r="Y25" s="2985">
        <v>0</v>
      </c>
      <c r="Z25" s="2985">
        <v>0</v>
      </c>
      <c r="AA25" s="2985">
        <v>0</v>
      </c>
      <c r="AB25" s="2985">
        <v>0</v>
      </c>
      <c r="AC25" s="3889">
        <v>0</v>
      </c>
    </row>
    <row r="26" spans="1:30" s="3660" customFormat="1" ht="27" customHeight="1">
      <c r="A26" s="3898" t="s">
        <v>2765</v>
      </c>
      <c r="B26" s="3898">
        <v>900473</v>
      </c>
      <c r="C26" s="3898"/>
      <c r="D26" s="2984">
        <v>14648680</v>
      </c>
      <c r="E26" s="2984">
        <v>4924684</v>
      </c>
      <c r="F26" s="2984">
        <v>0</v>
      </c>
      <c r="G26" s="2984">
        <v>29374</v>
      </c>
      <c r="H26" s="2984"/>
      <c r="I26" s="2984">
        <v>352488</v>
      </c>
      <c r="J26" s="3888" t="s">
        <v>2784</v>
      </c>
      <c r="K26" s="3888"/>
      <c r="L26" s="2990">
        <v>489</v>
      </c>
      <c r="M26" s="2990">
        <v>477</v>
      </c>
      <c r="N26" s="2990">
        <v>180</v>
      </c>
      <c r="O26" s="2984">
        <v>740504</v>
      </c>
      <c r="P26" s="2984">
        <v>0</v>
      </c>
      <c r="Q26" s="2984">
        <v>0</v>
      </c>
      <c r="R26" s="2984">
        <v>740504</v>
      </c>
      <c r="S26" s="2985">
        <v>0</v>
      </c>
      <c r="T26" s="2985">
        <v>0</v>
      </c>
      <c r="U26" s="2984">
        <v>0</v>
      </c>
      <c r="V26" s="2985">
        <v>0</v>
      </c>
      <c r="W26" s="2985">
        <v>0</v>
      </c>
      <c r="X26" s="2985">
        <v>0</v>
      </c>
      <c r="Y26" s="2985">
        <v>0</v>
      </c>
      <c r="Z26" s="2985">
        <v>0</v>
      </c>
      <c r="AA26" s="2985">
        <v>0</v>
      </c>
      <c r="AB26" s="2985">
        <v>0</v>
      </c>
      <c r="AC26" s="3889">
        <v>49366.933333333334</v>
      </c>
    </row>
    <row r="27" spans="1:30" s="3660" customFormat="1" ht="62.25" customHeight="1">
      <c r="A27" s="3884" t="s">
        <v>2766</v>
      </c>
      <c r="B27" s="3898">
        <v>900403</v>
      </c>
      <c r="C27" s="3898"/>
      <c r="D27" s="2984">
        <v>14648680</v>
      </c>
      <c r="E27" s="2984">
        <v>4924684</v>
      </c>
      <c r="F27" s="2984">
        <v>0</v>
      </c>
      <c r="G27" s="2984">
        <v>29374</v>
      </c>
      <c r="H27" s="2984"/>
      <c r="I27" s="2984">
        <v>352488</v>
      </c>
      <c r="J27" s="3888" t="s">
        <v>2805</v>
      </c>
      <c r="K27" s="3888" t="s">
        <v>2806</v>
      </c>
      <c r="L27" s="2990">
        <v>943</v>
      </c>
      <c r="M27" s="2990">
        <v>931</v>
      </c>
      <c r="N27" s="2990">
        <v>180</v>
      </c>
      <c r="O27" s="2984">
        <v>3371803</v>
      </c>
      <c r="P27" s="2984">
        <v>2151073</v>
      </c>
      <c r="Q27" s="2984">
        <v>221100</v>
      </c>
      <c r="R27" s="2984">
        <v>3371803</v>
      </c>
      <c r="S27" s="2984">
        <v>1929973</v>
      </c>
      <c r="T27" s="2984">
        <v>18425</v>
      </c>
      <c r="U27" s="2984">
        <v>165825</v>
      </c>
      <c r="V27" s="2984">
        <v>221100</v>
      </c>
      <c r="W27" s="2984">
        <v>1708873</v>
      </c>
      <c r="X27" s="2984">
        <v>221100</v>
      </c>
      <c r="Y27" s="2984">
        <v>1487773</v>
      </c>
      <c r="Z27" s="2984">
        <v>6.5573225956557959</v>
      </c>
      <c r="AA27" s="2990">
        <v>183.00151967435548</v>
      </c>
      <c r="AB27" s="2985">
        <v>221100</v>
      </c>
      <c r="AC27" s="3889">
        <v>224786.86666666667</v>
      </c>
    </row>
    <row r="28" spans="1:30" s="3660" customFormat="1" ht="31.5" hidden="1" customHeight="1">
      <c r="A28" s="3898" t="s">
        <v>1675</v>
      </c>
      <c r="B28" s="3898"/>
      <c r="C28" s="3898"/>
      <c r="D28" s="2984">
        <v>301659</v>
      </c>
      <c r="E28" s="2984">
        <v>71286</v>
      </c>
      <c r="F28" s="2984">
        <v>0</v>
      </c>
      <c r="G28" s="2984">
        <v>611</v>
      </c>
      <c r="H28" s="2984"/>
      <c r="I28" s="2984">
        <v>7332</v>
      </c>
      <c r="J28" s="3888"/>
      <c r="K28" s="3888"/>
      <c r="L28" s="2990"/>
      <c r="M28" s="2990"/>
      <c r="N28" s="2990" t="e">
        <v>#DIV/0!</v>
      </c>
      <c r="O28" s="2984"/>
      <c r="P28" s="2984"/>
      <c r="Q28" s="2984"/>
      <c r="R28" s="2984"/>
      <c r="S28" s="2984"/>
      <c r="T28" s="2984"/>
      <c r="U28" s="2984"/>
      <c r="V28" s="2984"/>
      <c r="W28" s="2984">
        <v>0</v>
      </c>
      <c r="X28" s="2984">
        <v>0</v>
      </c>
      <c r="Y28" s="2984">
        <v>0</v>
      </c>
      <c r="Z28" s="2984" t="e">
        <v>#DIV/0!</v>
      </c>
      <c r="AA28" s="2990" t="e">
        <v>#DIV/0!</v>
      </c>
      <c r="AB28" s="2984">
        <v>0</v>
      </c>
      <c r="AC28" s="3889">
        <v>0</v>
      </c>
    </row>
    <row r="29" spans="1:30" s="3664" customFormat="1" ht="32.25" customHeight="1">
      <c r="A29" s="3899" t="s">
        <v>1676</v>
      </c>
      <c r="B29" s="3896"/>
      <c r="C29" s="3896"/>
      <c r="D29" s="2991">
        <v>14950339</v>
      </c>
      <c r="E29" s="2991">
        <v>4995970</v>
      </c>
      <c r="F29" s="2987">
        <v>0</v>
      </c>
      <c r="G29" s="2991">
        <v>29985</v>
      </c>
      <c r="H29" s="2987">
        <v>0</v>
      </c>
      <c r="I29" s="2986">
        <v>359820</v>
      </c>
      <c r="J29" s="3900"/>
      <c r="K29" s="3900"/>
      <c r="L29" s="2991"/>
      <c r="M29" s="2991"/>
      <c r="N29" s="2991"/>
      <c r="O29" s="2987">
        <v>4395952</v>
      </c>
      <c r="P29" s="2987">
        <v>2151073</v>
      </c>
      <c r="Q29" s="2987">
        <v>221100</v>
      </c>
      <c r="R29" s="2987">
        <v>4395952</v>
      </c>
      <c r="S29" s="2987">
        <v>1929973</v>
      </c>
      <c r="T29" s="2987">
        <v>18425</v>
      </c>
      <c r="U29" s="2987">
        <v>165825</v>
      </c>
      <c r="V29" s="2987">
        <v>221100</v>
      </c>
      <c r="W29" s="2987">
        <v>1708873</v>
      </c>
      <c r="X29" s="2987">
        <v>221100</v>
      </c>
      <c r="Y29" s="2987">
        <v>1487773</v>
      </c>
      <c r="Z29" s="2988">
        <v>5.0296272570765108</v>
      </c>
      <c r="AA29" s="2991"/>
      <c r="AB29" s="2987">
        <v>221100</v>
      </c>
      <c r="AC29" s="3889">
        <v>274153.8</v>
      </c>
    </row>
    <row r="30" spans="1:30" s="3660" customFormat="1" ht="32.25" hidden="1" customHeight="1">
      <c r="A30" s="3898" t="s">
        <v>370</v>
      </c>
      <c r="B30" s="3886"/>
      <c r="C30" s="3886"/>
      <c r="D30" s="3887"/>
      <c r="E30" s="2985">
        <v>0</v>
      </c>
      <c r="F30" s="2985">
        <v>0</v>
      </c>
      <c r="G30" s="2985">
        <v>0</v>
      </c>
      <c r="H30" s="2985">
        <v>0</v>
      </c>
      <c r="I30" s="2985">
        <v>0</v>
      </c>
      <c r="J30" s="3888"/>
      <c r="K30" s="3888"/>
      <c r="L30" s="2984"/>
      <c r="M30" s="2984"/>
      <c r="N30" s="2984"/>
      <c r="O30" s="3887"/>
      <c r="P30" s="2985">
        <v>0</v>
      </c>
      <c r="Q30" s="2985">
        <v>0</v>
      </c>
      <c r="R30" s="3887"/>
      <c r="S30" s="2985">
        <v>0</v>
      </c>
      <c r="T30" s="2985">
        <v>0</v>
      </c>
      <c r="U30" s="2985">
        <v>0</v>
      </c>
      <c r="V30" s="2985">
        <v>0</v>
      </c>
      <c r="W30" s="2985">
        <v>0</v>
      </c>
      <c r="X30" s="2985">
        <v>0</v>
      </c>
      <c r="Y30" s="2985">
        <v>0</v>
      </c>
      <c r="Z30" s="2988" t="e">
        <v>#DIV/0!</v>
      </c>
      <c r="AA30" s="2984"/>
      <c r="AB30" s="2985">
        <v>0</v>
      </c>
      <c r="AC30" s="3889">
        <v>0</v>
      </c>
    </row>
    <row r="31" spans="1:30" s="3660" customFormat="1" ht="21" hidden="1" customHeight="1">
      <c r="A31" s="3898" t="s">
        <v>370</v>
      </c>
      <c r="B31" s="3886"/>
      <c r="C31" s="3886"/>
      <c r="D31" s="2985">
        <v>0</v>
      </c>
      <c r="E31" s="2985">
        <v>0</v>
      </c>
      <c r="F31" s="2985">
        <v>0</v>
      </c>
      <c r="G31" s="2985">
        <v>0</v>
      </c>
      <c r="H31" s="2985">
        <v>0</v>
      </c>
      <c r="I31" s="2985">
        <v>0</v>
      </c>
      <c r="J31" s="3890"/>
      <c r="K31" s="3890"/>
      <c r="L31" s="2985"/>
      <c r="M31" s="2985"/>
      <c r="N31" s="2985"/>
      <c r="O31" s="2985">
        <v>0</v>
      </c>
      <c r="P31" s="2985">
        <v>0</v>
      </c>
      <c r="Q31" s="2985">
        <v>0</v>
      </c>
      <c r="R31" s="2985">
        <v>0</v>
      </c>
      <c r="S31" s="2985">
        <v>0</v>
      </c>
      <c r="T31" s="2985">
        <v>0</v>
      </c>
      <c r="U31" s="2985">
        <v>0</v>
      </c>
      <c r="V31" s="2985">
        <v>0</v>
      </c>
      <c r="W31" s="2985">
        <v>0</v>
      </c>
      <c r="X31" s="2985">
        <v>0</v>
      </c>
      <c r="Y31" s="2985">
        <v>0</v>
      </c>
      <c r="Z31" s="2988" t="e">
        <v>#DIV/0!</v>
      </c>
      <c r="AA31" s="2985"/>
      <c r="AB31" s="2985">
        <v>0</v>
      </c>
      <c r="AC31" s="3889">
        <v>0</v>
      </c>
    </row>
    <row r="32" spans="1:30" s="3664" customFormat="1" ht="31.5" customHeight="1">
      <c r="A32" s="3901" t="s">
        <v>419</v>
      </c>
      <c r="B32" s="3901"/>
      <c r="C32" s="3901"/>
      <c r="D32" s="2988">
        <v>16507112</v>
      </c>
      <c r="E32" s="2988">
        <v>6171040</v>
      </c>
      <c r="F32" s="2988">
        <v>0</v>
      </c>
      <c r="G32" s="2988">
        <v>34223</v>
      </c>
      <c r="H32" s="2988">
        <v>0</v>
      </c>
      <c r="I32" s="2988">
        <v>410676</v>
      </c>
      <c r="J32" s="3902"/>
      <c r="K32" s="3902"/>
      <c r="L32" s="2988"/>
      <c r="M32" s="2988"/>
      <c r="N32" s="2988"/>
      <c r="O32" s="2988">
        <v>11768208</v>
      </c>
      <c r="P32" s="2988">
        <v>6902264.9245880861</v>
      </c>
      <c r="Q32" s="2988">
        <v>802762.39543726237</v>
      </c>
      <c r="R32" s="2988">
        <v>11768208</v>
      </c>
      <c r="S32" s="2988">
        <v>5955601.7382762991</v>
      </c>
      <c r="T32" s="2988">
        <v>66896.866286438526</v>
      </c>
      <c r="U32" s="2988">
        <v>602071.79657794675</v>
      </c>
      <c r="V32" s="2988">
        <v>802762.39543726237</v>
      </c>
      <c r="W32" s="2988">
        <v>5152839.3428390371</v>
      </c>
      <c r="X32" s="2988">
        <v>661825.39543726237</v>
      </c>
      <c r="Y32" s="2988">
        <v>4491013.947401775</v>
      </c>
      <c r="Z32" s="2988">
        <v>5.621854480908187</v>
      </c>
      <c r="AA32" s="2988"/>
      <c r="AB32" s="2988">
        <v>661591.52877059579</v>
      </c>
      <c r="AC32" s="3889">
        <v>716431.31924678618</v>
      </c>
    </row>
    <row r="33" spans="1:31" ht="17.25" hidden="1" customHeight="1">
      <c r="A33" s="2072" t="s">
        <v>1672</v>
      </c>
      <c r="D33" s="3903"/>
      <c r="E33" s="3904"/>
      <c r="F33" s="2073"/>
      <c r="G33" s="2073"/>
      <c r="H33" s="3771"/>
      <c r="I33" s="2073"/>
      <c r="J33" s="2073"/>
      <c r="K33" s="2073"/>
      <c r="L33" s="3880"/>
      <c r="M33" s="3880"/>
      <c r="N33" s="3880"/>
      <c r="O33" s="2073"/>
      <c r="T33" s="2073"/>
      <c r="U33" s="2073"/>
      <c r="Y33" s="3812"/>
      <c r="Z33" s="2984" t="e">
        <v>#DIV/0!</v>
      </c>
      <c r="AA33" s="3880"/>
    </row>
    <row r="34" spans="1:31" ht="17.25" customHeight="1">
      <c r="A34" s="2072"/>
      <c r="D34" s="3903"/>
      <c r="E34" s="3904"/>
      <c r="F34" s="2073"/>
      <c r="G34" s="2073"/>
      <c r="H34" s="3771"/>
      <c r="I34" s="2073"/>
      <c r="J34" s="2073"/>
      <c r="K34" s="2073"/>
      <c r="L34" s="3880"/>
      <c r="M34" s="3880"/>
      <c r="N34" s="3880"/>
      <c r="O34" s="2073"/>
      <c r="T34" s="2073"/>
      <c r="U34" s="2073"/>
      <c r="Y34" s="3812"/>
      <c r="Z34" s="3880"/>
      <c r="AA34" s="3880"/>
    </row>
    <row r="35" spans="1:31">
      <c r="D35" s="3771"/>
      <c r="E35" s="3771"/>
      <c r="F35" s="3771"/>
      <c r="G35" s="3771"/>
      <c r="T35" s="3771"/>
      <c r="U35" s="3771"/>
    </row>
    <row r="36" spans="1:31" s="2006" customFormat="1">
      <c r="A36" s="2393" t="s">
        <v>2964</v>
      </c>
      <c r="B36" s="2393"/>
      <c r="C36" s="2393"/>
      <c r="D36" s="2393"/>
      <c r="E36" s="2999"/>
      <c r="F36" s="2999"/>
      <c r="G36" s="2999"/>
      <c r="H36" s="2999"/>
      <c r="I36" s="2999"/>
      <c r="J36" s="2393"/>
      <c r="K36" s="2999"/>
      <c r="L36" s="2999"/>
      <c r="M36" s="2999"/>
      <c r="N36" s="2326"/>
      <c r="O36" s="2326"/>
      <c r="P36" s="2326"/>
      <c r="U36" s="3905"/>
      <c r="V36" s="2077"/>
    </row>
    <row r="37" spans="1:31" s="2006" customFormat="1">
      <c r="A37" s="2393" t="s">
        <v>1428</v>
      </c>
      <c r="B37" s="2393"/>
      <c r="C37" s="2393"/>
      <c r="D37" s="2393"/>
      <c r="E37" s="2999"/>
      <c r="F37" s="2999"/>
      <c r="G37" s="2999"/>
      <c r="H37" s="2999"/>
      <c r="I37" s="2999"/>
      <c r="J37" s="2393"/>
      <c r="K37" s="2999"/>
      <c r="L37" s="2999"/>
      <c r="M37" s="2999"/>
      <c r="N37" s="2326"/>
      <c r="O37" s="2326"/>
      <c r="P37" s="2326"/>
      <c r="AB37" s="3002"/>
      <c r="AC37" s="3905"/>
      <c r="AD37" s="2077"/>
    </row>
    <row r="38" spans="1:31" s="2006" customFormat="1">
      <c r="A38" s="2393"/>
      <c r="B38" s="2393"/>
      <c r="C38" s="2393"/>
      <c r="D38" s="2393"/>
      <c r="E38" s="2999"/>
      <c r="F38" s="2999"/>
      <c r="G38" s="2999"/>
      <c r="H38" s="2999"/>
      <c r="I38" s="2999"/>
      <c r="J38" s="2393"/>
      <c r="K38" s="2999"/>
      <c r="L38" s="2999"/>
      <c r="M38" s="2999"/>
      <c r="N38" s="2326"/>
      <c r="O38" s="2326"/>
      <c r="P38" s="2326"/>
      <c r="AB38" s="3002"/>
      <c r="AC38" s="3905"/>
      <c r="AD38" s="2077"/>
    </row>
    <row r="39" spans="1:31" s="2006" customFormat="1">
      <c r="A39" s="4266" t="s">
        <v>902</v>
      </c>
      <c r="B39" s="4267"/>
      <c r="C39" s="3906"/>
      <c r="D39" s="3906"/>
      <c r="E39" s="3906"/>
      <c r="F39" s="3906"/>
      <c r="G39" s="3906"/>
      <c r="H39" s="3906"/>
      <c r="I39" s="3906"/>
      <c r="J39" s="3907" t="s">
        <v>2421</v>
      </c>
      <c r="K39" s="3908"/>
      <c r="L39" s="3907"/>
      <c r="M39" s="3907"/>
      <c r="N39" s="4260" t="s">
        <v>2010</v>
      </c>
      <c r="O39" s="4263" t="s">
        <v>2972</v>
      </c>
      <c r="P39" s="2073"/>
      <c r="Q39" s="2073"/>
      <c r="R39" s="2393"/>
      <c r="S39" s="2327"/>
      <c r="X39" s="2326"/>
      <c r="Z39" s="3909"/>
      <c r="AA39" s="2077"/>
      <c r="AB39" s="2326"/>
      <c r="AC39" s="2326"/>
      <c r="AE39" s="2327"/>
    </row>
    <row r="40" spans="1:31" s="2006" customFormat="1">
      <c r="A40" s="4268"/>
      <c r="B40" s="4269"/>
      <c r="C40" s="3910"/>
      <c r="D40" s="3910"/>
      <c r="E40" s="3910"/>
      <c r="F40" s="3910"/>
      <c r="G40" s="3910"/>
      <c r="H40" s="3910"/>
      <c r="I40" s="3910"/>
      <c r="J40" s="3911" t="s">
        <v>2422</v>
      </c>
      <c r="K40" s="3912"/>
      <c r="L40" s="3913" t="s">
        <v>832</v>
      </c>
      <c r="M40" s="3913" t="s">
        <v>832</v>
      </c>
      <c r="N40" s="4261"/>
      <c r="O40" s="4264"/>
      <c r="P40" s="2073"/>
      <c r="Q40" s="2393"/>
      <c r="R40" s="2327"/>
      <c r="S40" s="2326"/>
      <c r="Y40" s="3909"/>
      <c r="Z40" s="2077"/>
      <c r="AB40" s="2326"/>
      <c r="AD40" s="2327"/>
      <c r="AE40" s="2326"/>
    </row>
    <row r="41" spans="1:31" s="2006" customFormat="1" ht="27">
      <c r="A41" s="4270"/>
      <c r="B41" s="4271"/>
      <c r="C41" s="3910"/>
      <c r="D41" s="3910"/>
      <c r="E41" s="3910"/>
      <c r="F41" s="3910"/>
      <c r="G41" s="3910"/>
      <c r="H41" s="3910"/>
      <c r="I41" s="3910"/>
      <c r="J41" s="3914" t="s">
        <v>1134</v>
      </c>
      <c r="K41" s="3914" t="s">
        <v>2423</v>
      </c>
      <c r="L41" s="3915" t="s">
        <v>640</v>
      </c>
      <c r="M41" s="3915" t="s">
        <v>640</v>
      </c>
      <c r="N41" s="4262"/>
      <c r="O41" s="4265"/>
      <c r="P41" s="2073"/>
      <c r="Q41" s="2393"/>
      <c r="R41" s="2327"/>
      <c r="S41" s="2326"/>
      <c r="Y41" s="3909"/>
      <c r="Z41" s="2077"/>
      <c r="AB41" s="2326"/>
      <c r="AD41" s="2327"/>
      <c r="AE41" s="2326"/>
    </row>
    <row r="42" spans="1:31" s="2006" customFormat="1">
      <c r="A42" s="4258" t="s">
        <v>1673</v>
      </c>
      <c r="B42" s="4259"/>
      <c r="C42" s="3910"/>
      <c r="D42" s="3910"/>
      <c r="E42" s="3910"/>
      <c r="F42" s="3910"/>
      <c r="G42" s="3910"/>
      <c r="H42" s="3910"/>
      <c r="I42" s="3910"/>
      <c r="J42" s="3916">
        <v>24827.262999999999</v>
      </c>
      <c r="K42" s="3916">
        <v>52.505391400000001</v>
      </c>
      <c r="L42" s="3916">
        <v>24879.768391399997</v>
      </c>
      <c r="M42" s="3916">
        <v>24879.768391399997</v>
      </c>
      <c r="N42" s="3917">
        <v>16.769818745732007</v>
      </c>
      <c r="O42" s="3918">
        <v>110.986919228053</v>
      </c>
      <c r="P42" s="2073"/>
      <c r="Q42" s="2073"/>
      <c r="Y42" s="3919"/>
      <c r="Z42" s="2077"/>
      <c r="AD42" s="2006">
        <v>23157.851999999999</v>
      </c>
      <c r="AE42" s="3920" t="e">
        <v>#DIV/0!</v>
      </c>
    </row>
    <row r="43" spans="1:31" s="2006" customFormat="1" ht="29.25" customHeight="1">
      <c r="A43" s="4272" t="s">
        <v>2808</v>
      </c>
      <c r="B43" s="4273"/>
      <c r="C43" s="3910"/>
      <c r="D43" s="3910"/>
      <c r="E43" s="3910"/>
      <c r="F43" s="3910"/>
      <c r="G43" s="3910"/>
      <c r="H43" s="3910"/>
      <c r="I43" s="3910"/>
      <c r="J43" s="3916">
        <v>122064.49100000001</v>
      </c>
      <c r="K43" s="3916">
        <v>1416.13</v>
      </c>
      <c r="L43" s="3916">
        <v>123480.62100000001</v>
      </c>
      <c r="M43" s="3916">
        <v>123480.62100000001</v>
      </c>
      <c r="N43" s="3917">
        <v>83.230181254268004</v>
      </c>
      <c r="O43" s="3745">
        <v>550.83847620920938</v>
      </c>
      <c r="Q43" s="2073"/>
      <c r="Y43" s="3919"/>
      <c r="Z43" s="2077"/>
      <c r="AD43" s="2006">
        <v>133980</v>
      </c>
      <c r="AE43" s="3920" t="e">
        <v>#DIV/0!</v>
      </c>
    </row>
    <row r="44" spans="1:31" s="2006" customFormat="1">
      <c r="A44" s="4258" t="s">
        <v>419</v>
      </c>
      <c r="B44" s="4259"/>
      <c r="C44" s="3910"/>
      <c r="D44" s="3910"/>
      <c r="E44" s="3910"/>
      <c r="F44" s="3910"/>
      <c r="G44" s="3910"/>
      <c r="H44" s="3910"/>
      <c r="I44" s="3910"/>
      <c r="J44" s="3921"/>
      <c r="K44" s="3916"/>
      <c r="L44" s="3916">
        <v>148360.38939140001</v>
      </c>
      <c r="M44" s="3916">
        <v>148360.38939140001</v>
      </c>
      <c r="N44" s="3922">
        <v>100.00000000000001</v>
      </c>
      <c r="O44" s="3745">
        <v>661.82539543726239</v>
      </c>
      <c r="P44" s="2073"/>
      <c r="Q44" s="2073"/>
      <c r="Y44" s="3919"/>
      <c r="Z44" s="2077"/>
      <c r="AD44" s="2006">
        <v>157137.85200000001</v>
      </c>
      <c r="AE44" s="3920" t="e">
        <v>#DIV/0!</v>
      </c>
    </row>
    <row r="45" spans="1:31">
      <c r="B45" s="3410"/>
      <c r="C45" s="3410"/>
    </row>
    <row r="46" spans="1:31">
      <c r="A46" s="3410"/>
      <c r="B46" s="3410"/>
      <c r="C46" s="3410"/>
      <c r="P46" s="2073"/>
    </row>
    <row r="47" spans="1:31">
      <c r="A47" s="2073" t="s">
        <v>1266</v>
      </c>
      <c r="Q47" s="2989"/>
    </row>
    <row r="48" spans="1:31">
      <c r="A48" s="2073" t="s">
        <v>1304</v>
      </c>
      <c r="D48" s="2073"/>
      <c r="E48" s="2073"/>
      <c r="F48" s="2073"/>
      <c r="G48" s="2073"/>
      <c r="H48" s="2073"/>
      <c r="I48" s="2073"/>
      <c r="J48" s="2073"/>
      <c r="K48" s="2073"/>
      <c r="O48" s="2073"/>
      <c r="P48" s="3007"/>
      <c r="Q48" s="3007">
        <v>12533.60456273763</v>
      </c>
      <c r="R48" s="2073"/>
      <c r="S48" s="3007" t="s">
        <v>2876</v>
      </c>
      <c r="T48" s="2073"/>
      <c r="U48" s="2073"/>
      <c r="V48" s="2073"/>
      <c r="W48" s="2073"/>
      <c r="X48" s="2073"/>
    </row>
    <row r="50" spans="1:29" s="3881" customFormat="1">
      <c r="D50" s="3882"/>
      <c r="E50" s="3882"/>
      <c r="F50" s="3882"/>
      <c r="G50" s="3882"/>
      <c r="H50" s="3882"/>
      <c r="I50" s="3882"/>
      <c r="J50" s="3882"/>
      <c r="K50" s="3882"/>
      <c r="O50" s="3882"/>
      <c r="P50" s="3882">
        <v>5793669</v>
      </c>
      <c r="Q50" s="3882">
        <v>815296</v>
      </c>
      <c r="R50" s="3882"/>
      <c r="S50" s="3882">
        <v>7676829</v>
      </c>
      <c r="T50" s="3882">
        <v>71570</v>
      </c>
      <c r="U50" s="3882">
        <v>644130</v>
      </c>
      <c r="V50" s="3882">
        <v>858840</v>
      </c>
      <c r="W50" s="3882">
        <v>5152839.3428390371</v>
      </c>
      <c r="X50" s="3882">
        <v>802762.39543726237</v>
      </c>
      <c r="Y50" s="3881">
        <v>4491013.947401775</v>
      </c>
      <c r="AB50" s="3881">
        <v>917028</v>
      </c>
    </row>
    <row r="52" spans="1:29" s="2006" customFormat="1">
      <c r="A52" s="2073"/>
      <c r="B52" s="2073"/>
      <c r="C52" s="2073" t="s">
        <v>659</v>
      </c>
      <c r="L52" s="2073"/>
      <c r="M52" s="2073"/>
      <c r="N52" s="2073"/>
      <c r="O52" s="3418">
        <v>134.62179867372532</v>
      </c>
      <c r="Y52" s="2073"/>
      <c r="Z52" s="2073"/>
      <c r="AA52" s="2073"/>
      <c r="AB52" s="2073"/>
      <c r="AC52" s="2073"/>
    </row>
    <row r="56" spans="1:29" s="2006" customFormat="1">
      <c r="A56" s="2073"/>
      <c r="B56" s="2073"/>
      <c r="C56" s="2073"/>
      <c r="D56" s="2073"/>
      <c r="E56" s="2073"/>
      <c r="F56" s="2073"/>
      <c r="G56" s="2073"/>
      <c r="H56" s="2073"/>
      <c r="I56" s="2073"/>
      <c r="J56" s="2073"/>
      <c r="K56" s="2073"/>
      <c r="L56" s="2073"/>
      <c r="M56" s="2073"/>
      <c r="N56" s="2073"/>
      <c r="O56" s="2073"/>
      <c r="R56" s="2073"/>
      <c r="T56" s="2073"/>
      <c r="U56" s="2073"/>
      <c r="Y56" s="2073"/>
      <c r="Z56" s="2073"/>
      <c r="AA56" s="2073"/>
      <c r="AB56" s="2073"/>
      <c r="AC56" s="2073"/>
    </row>
    <row r="57" spans="1:29" s="2006" customFormat="1">
      <c r="A57" s="2073"/>
      <c r="B57" s="2073"/>
      <c r="C57" s="2073"/>
      <c r="D57" s="2073"/>
      <c r="E57" s="2073"/>
      <c r="F57" s="2073"/>
      <c r="G57" s="2073"/>
      <c r="H57" s="2073"/>
      <c r="I57" s="2073"/>
      <c r="J57" s="2073"/>
      <c r="K57" s="2073"/>
      <c r="L57" s="2073"/>
      <c r="M57" s="2073"/>
      <c r="N57" s="2073"/>
      <c r="O57" s="2073"/>
      <c r="R57" s="2073"/>
      <c r="T57" s="2073"/>
      <c r="U57" s="2073"/>
      <c r="Y57" s="2073"/>
      <c r="Z57" s="2073"/>
      <c r="AA57" s="2073"/>
      <c r="AB57" s="2073"/>
      <c r="AC57" s="2073"/>
    </row>
    <row r="58" spans="1:29" s="2006" customFormat="1">
      <c r="A58" s="2073"/>
      <c r="B58" s="2073"/>
      <c r="C58" s="2073"/>
      <c r="D58" s="2073"/>
      <c r="E58" s="2073"/>
      <c r="F58" s="2073"/>
      <c r="G58" s="2073"/>
      <c r="H58" s="2073"/>
      <c r="I58" s="2073"/>
      <c r="J58" s="2073"/>
      <c r="K58" s="2073"/>
      <c r="L58" s="2073"/>
      <c r="M58" s="2073"/>
      <c r="N58" s="2073"/>
      <c r="O58" s="2073"/>
      <c r="R58" s="2073"/>
      <c r="T58" s="2073"/>
      <c r="U58" s="2073"/>
      <c r="Y58" s="2073"/>
      <c r="Z58" s="2073"/>
      <c r="AA58" s="2073"/>
      <c r="AB58" s="2073"/>
      <c r="AC58" s="2073"/>
    </row>
    <row r="59" spans="1:29" s="2006" customFormat="1">
      <c r="A59" s="2073"/>
      <c r="B59" s="2073"/>
      <c r="C59" s="2073"/>
      <c r="D59" s="2073"/>
      <c r="E59" s="2073"/>
      <c r="F59" s="2073"/>
      <c r="G59" s="2073"/>
      <c r="H59" s="2073"/>
      <c r="I59" s="2073"/>
      <c r="J59" s="2073"/>
      <c r="K59" s="2073"/>
      <c r="L59" s="2073"/>
      <c r="M59" s="2073"/>
      <c r="N59" s="2073"/>
      <c r="O59" s="2073"/>
      <c r="R59" s="2073"/>
      <c r="T59" s="2073"/>
      <c r="U59" s="2073"/>
      <c r="Y59" s="2073"/>
      <c r="Z59" s="2073"/>
      <c r="AA59" s="2073"/>
      <c r="AB59" s="2073"/>
      <c r="AC59" s="2073"/>
    </row>
    <row r="66" spans="1:29" s="2006" customFormat="1">
      <c r="A66" s="2073"/>
      <c r="B66" s="2073"/>
      <c r="C66" s="2073"/>
      <c r="D66" s="3923" t="s">
        <v>657</v>
      </c>
      <c r="G66" s="3923" t="s">
        <v>657</v>
      </c>
      <c r="H66" s="3923" t="s">
        <v>657</v>
      </c>
      <c r="I66" s="3923" t="s">
        <v>657</v>
      </c>
      <c r="J66" s="3923"/>
      <c r="K66" s="3923"/>
      <c r="L66" s="2073"/>
      <c r="M66" s="2073"/>
      <c r="N66" s="2073"/>
      <c r="O66" s="3923"/>
      <c r="T66" s="3923" t="s">
        <v>657</v>
      </c>
      <c r="U66" s="3923" t="s">
        <v>657</v>
      </c>
      <c r="Y66" s="2073"/>
      <c r="Z66" s="2073"/>
      <c r="AA66" s="2073"/>
      <c r="AB66" s="2073"/>
      <c r="AC66" s="2073"/>
    </row>
    <row r="67" spans="1:29" s="2006" customFormat="1">
      <c r="A67" s="2073"/>
      <c r="B67" s="2073"/>
      <c r="C67" s="2073"/>
      <c r="D67" s="3882">
        <v>16537416.32</v>
      </c>
      <c r="G67" s="3882">
        <v>34812.85</v>
      </c>
      <c r="H67" s="3882">
        <v>17879.05</v>
      </c>
      <c r="I67" s="3882" t="e">
        <v>#REF!</v>
      </c>
      <c r="J67" s="3882"/>
      <c r="K67" s="3882"/>
      <c r="L67" s="2073"/>
      <c r="M67" s="2073"/>
      <c r="N67" s="2073"/>
      <c r="O67" s="3882"/>
      <c r="T67" s="3882">
        <v>67486.716286438532</v>
      </c>
      <c r="U67" s="3882">
        <v>602661.64657794673</v>
      </c>
      <c r="Y67" s="2073"/>
      <c r="Z67" s="2073"/>
      <c r="AA67" s="2073"/>
      <c r="AB67" s="2073"/>
      <c r="AC67" s="2073"/>
    </row>
    <row r="68" spans="1:29" s="2006" customFormat="1">
      <c r="A68" s="2073"/>
      <c r="B68" s="2073"/>
      <c r="C68" s="2073"/>
      <c r="D68" s="2006">
        <v>113600.61</v>
      </c>
      <c r="L68" s="2073"/>
      <c r="M68" s="2073"/>
      <c r="N68" s="2073"/>
      <c r="Y68" s="2073"/>
      <c r="Z68" s="2073"/>
      <c r="AA68" s="2073"/>
      <c r="AB68" s="2073"/>
      <c r="AC68" s="2073"/>
    </row>
    <row r="69" spans="1:29" s="2006" customFormat="1">
      <c r="A69" s="2073"/>
      <c r="B69" s="2073"/>
      <c r="C69" s="2073"/>
      <c r="D69" s="3924">
        <v>-16423815.710000001</v>
      </c>
      <c r="L69" s="2073"/>
      <c r="M69" s="2073"/>
      <c r="N69" s="2073"/>
      <c r="Y69" s="2073"/>
      <c r="Z69" s="2073"/>
      <c r="AA69" s="2073"/>
      <c r="AB69" s="2073"/>
      <c r="AC69" s="2073"/>
    </row>
  </sheetData>
  <mergeCells count="6">
    <mergeCell ref="A44:B44"/>
    <mergeCell ref="N39:N41"/>
    <mergeCell ref="O39:O41"/>
    <mergeCell ref="A39:B41"/>
    <mergeCell ref="A42:B42"/>
    <mergeCell ref="A43:B43"/>
  </mergeCells>
  <printOptions horizontalCentered="1"/>
  <pageMargins left="0.19685039370078741" right="0.19685039370078741" top="0.78740157480314965" bottom="0.11811023622047245" header="0.51181102362204722" footer="3.937007874015748E-2"/>
  <pageSetup paperSize="9" scale="65" orientation="landscape" r:id="rId1"/>
  <headerFooter alignWithMargins="0"/>
  <rowBreaks count="1" manualBreakCount="1">
    <brk id="35" max="25" man="1"/>
  </rowBreaks>
  <colBreaks count="1" manualBreakCount="1">
    <brk id="28" max="1048575" man="1"/>
  </colBreaks>
  <legacy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33"/>
  </sheetPr>
  <dimension ref="A1:AD71"/>
  <sheetViews>
    <sheetView zoomScale="85" zoomScaleNormal="85" workbookViewId="0">
      <pane xSplit="9" ySplit="8" topLeftCell="R31" activePane="bottomRight" state="frozenSplit"/>
      <selection sqref="A1:XFD1048576"/>
      <selection pane="topRight" sqref="A1:XFD1048576"/>
      <selection pane="bottomLeft" sqref="A1:XFD1048576"/>
      <selection pane="bottomRight" sqref="A1:XFD1048576"/>
    </sheetView>
  </sheetViews>
  <sheetFormatPr defaultRowHeight="15.6"/>
  <cols>
    <col min="1" max="1" width="36.88671875" style="2073" customWidth="1"/>
    <col min="2" max="2" width="8.109375" style="2073" customWidth="1"/>
    <col min="3" max="3" width="7" style="2073" hidden="1" customWidth="1"/>
    <col min="4" max="4" width="17.88671875" style="2006" hidden="1" customWidth="1"/>
    <col min="5" max="5" width="19.6640625" style="2006" hidden="1" customWidth="1"/>
    <col min="6" max="6" width="11.5546875" style="2006" hidden="1" customWidth="1"/>
    <col min="7" max="7" width="13.88671875" style="2006" hidden="1" customWidth="1"/>
    <col min="8" max="8" width="12.33203125" style="2006" hidden="1" customWidth="1"/>
    <col min="9" max="10" width="11.44140625" style="2006" hidden="1" customWidth="1"/>
    <col min="11" max="11" width="12.33203125" style="2006" hidden="1" customWidth="1"/>
    <col min="12" max="12" width="12" style="2073" hidden="1" customWidth="1"/>
    <col min="13" max="13" width="10.88671875" style="2073" hidden="1" customWidth="1"/>
    <col min="14" max="14" width="14.44140625" style="2006" customWidth="1"/>
    <col min="15" max="15" width="13.5546875" style="2006" hidden="1" customWidth="1"/>
    <col min="16" max="16" width="13.88671875" style="2006" hidden="1" customWidth="1"/>
    <col min="17" max="17" width="14.44140625" style="2006" customWidth="1"/>
    <col min="18" max="18" width="14" style="2006" customWidth="1"/>
    <col min="19" max="19" width="13.33203125" style="2006" hidden="1" customWidth="1"/>
    <col min="20" max="20" width="13.6640625" style="2006" hidden="1" customWidth="1"/>
    <col min="21" max="21" width="14" style="2006" customWidth="1"/>
    <col min="22" max="22" width="14.44140625" style="2006" customWidth="1"/>
    <col min="23" max="23" width="14" style="2006" customWidth="1"/>
    <col min="24" max="24" width="14.109375" style="2073" customWidth="1"/>
    <col min="25" max="25" width="8.44140625" style="2073" customWidth="1"/>
    <col min="26" max="27" width="13.44140625" style="2073" customWidth="1"/>
    <col min="28" max="28" width="12" style="2073" hidden="1" customWidth="1"/>
    <col min="29" max="29" width="10" style="2073" hidden="1" customWidth="1"/>
    <col min="30" max="31" width="0" style="2073" hidden="1" customWidth="1"/>
    <col min="32" max="259" width="9.109375" style="2073"/>
    <col min="260" max="260" width="36.88671875" style="2073" customWidth="1"/>
    <col min="261" max="261" width="8.109375" style="2073" customWidth="1"/>
    <col min="262" max="268" width="0" style="2073" hidden="1" customWidth="1"/>
    <col min="269" max="269" width="14.44140625" style="2073" customWidth="1"/>
    <col min="270" max="270" width="13.5546875" style="2073" customWidth="1"/>
    <col min="271" max="271" width="13.88671875" style="2073" customWidth="1"/>
    <col min="272" max="272" width="14.44140625" style="2073" customWidth="1"/>
    <col min="273" max="273" width="14" style="2073" customWidth="1"/>
    <col min="274" max="274" width="13.33203125" style="2073" customWidth="1"/>
    <col min="275" max="275" width="13.6640625" style="2073" customWidth="1"/>
    <col min="276" max="276" width="13.33203125" style="2073" customWidth="1"/>
    <col min="277" max="277" width="14.44140625" style="2073" customWidth="1"/>
    <col min="278" max="278" width="13.5546875" style="2073" customWidth="1"/>
    <col min="279" max="279" width="14.109375" style="2073" customWidth="1"/>
    <col min="280" max="280" width="0" style="2073" hidden="1" customWidth="1"/>
    <col min="281" max="281" width="10" style="2073" customWidth="1"/>
    <col min="282" max="282" width="11.44140625" style="2073" customWidth="1"/>
    <col min="283" max="283" width="13.44140625" style="2073" customWidth="1"/>
    <col min="284" max="515" width="9.109375" style="2073"/>
    <col min="516" max="516" width="36.88671875" style="2073" customWidth="1"/>
    <col min="517" max="517" width="8.109375" style="2073" customWidth="1"/>
    <col min="518" max="524" width="0" style="2073" hidden="1" customWidth="1"/>
    <col min="525" max="525" width="14.44140625" style="2073" customWidth="1"/>
    <col min="526" max="526" width="13.5546875" style="2073" customWidth="1"/>
    <col min="527" max="527" width="13.88671875" style="2073" customWidth="1"/>
    <col min="528" max="528" width="14.44140625" style="2073" customWidth="1"/>
    <col min="529" max="529" width="14" style="2073" customWidth="1"/>
    <col min="530" max="530" width="13.33203125" style="2073" customWidth="1"/>
    <col min="531" max="531" width="13.6640625" style="2073" customWidth="1"/>
    <col min="532" max="532" width="13.33203125" style="2073" customWidth="1"/>
    <col min="533" max="533" width="14.44140625" style="2073" customWidth="1"/>
    <col min="534" max="534" width="13.5546875" style="2073" customWidth="1"/>
    <col min="535" max="535" width="14.109375" style="2073" customWidth="1"/>
    <col min="536" max="536" width="0" style="2073" hidden="1" customWidth="1"/>
    <col min="537" max="537" width="10" style="2073" customWidth="1"/>
    <col min="538" max="538" width="11.44140625" style="2073" customWidth="1"/>
    <col min="539" max="539" width="13.44140625" style="2073" customWidth="1"/>
    <col min="540" max="771" width="9.109375" style="2073"/>
    <col min="772" max="772" width="36.88671875" style="2073" customWidth="1"/>
    <col min="773" max="773" width="8.109375" style="2073" customWidth="1"/>
    <col min="774" max="780" width="0" style="2073" hidden="1" customWidth="1"/>
    <col min="781" max="781" width="14.44140625" style="2073" customWidth="1"/>
    <col min="782" max="782" width="13.5546875" style="2073" customWidth="1"/>
    <col min="783" max="783" width="13.88671875" style="2073" customWidth="1"/>
    <col min="784" max="784" width="14.44140625" style="2073" customWidth="1"/>
    <col min="785" max="785" width="14" style="2073" customWidth="1"/>
    <col min="786" max="786" width="13.33203125" style="2073" customWidth="1"/>
    <col min="787" max="787" width="13.6640625" style="2073" customWidth="1"/>
    <col min="788" max="788" width="13.33203125" style="2073" customWidth="1"/>
    <col min="789" max="789" width="14.44140625" style="2073" customWidth="1"/>
    <col min="790" max="790" width="13.5546875" style="2073" customWidth="1"/>
    <col min="791" max="791" width="14.109375" style="2073" customWidth="1"/>
    <col min="792" max="792" width="0" style="2073" hidden="1" customWidth="1"/>
    <col min="793" max="793" width="10" style="2073" customWidth="1"/>
    <col min="794" max="794" width="11.44140625" style="2073" customWidth="1"/>
    <col min="795" max="795" width="13.44140625" style="2073" customWidth="1"/>
    <col min="796" max="1027" width="9.109375" style="2073"/>
    <col min="1028" max="1028" width="36.88671875" style="2073" customWidth="1"/>
    <col min="1029" max="1029" width="8.109375" style="2073" customWidth="1"/>
    <col min="1030" max="1036" width="0" style="2073" hidden="1" customWidth="1"/>
    <col min="1037" max="1037" width="14.44140625" style="2073" customWidth="1"/>
    <col min="1038" max="1038" width="13.5546875" style="2073" customWidth="1"/>
    <col min="1039" max="1039" width="13.88671875" style="2073" customWidth="1"/>
    <col min="1040" max="1040" width="14.44140625" style="2073" customWidth="1"/>
    <col min="1041" max="1041" width="14" style="2073" customWidth="1"/>
    <col min="1042" max="1042" width="13.33203125" style="2073" customWidth="1"/>
    <col min="1043" max="1043" width="13.6640625" style="2073" customWidth="1"/>
    <col min="1044" max="1044" width="13.33203125" style="2073" customWidth="1"/>
    <col min="1045" max="1045" width="14.44140625" style="2073" customWidth="1"/>
    <col min="1046" max="1046" width="13.5546875" style="2073" customWidth="1"/>
    <col min="1047" max="1047" width="14.109375" style="2073" customWidth="1"/>
    <col min="1048" max="1048" width="0" style="2073" hidden="1" customWidth="1"/>
    <col min="1049" max="1049" width="10" style="2073" customWidth="1"/>
    <col min="1050" max="1050" width="11.44140625" style="2073" customWidth="1"/>
    <col min="1051" max="1051" width="13.44140625" style="2073" customWidth="1"/>
    <col min="1052" max="1283" width="9.109375" style="2073"/>
    <col min="1284" max="1284" width="36.88671875" style="2073" customWidth="1"/>
    <col min="1285" max="1285" width="8.109375" style="2073" customWidth="1"/>
    <col min="1286" max="1292" width="0" style="2073" hidden="1" customWidth="1"/>
    <col min="1293" max="1293" width="14.44140625" style="2073" customWidth="1"/>
    <col min="1294" max="1294" width="13.5546875" style="2073" customWidth="1"/>
    <col min="1295" max="1295" width="13.88671875" style="2073" customWidth="1"/>
    <col min="1296" max="1296" width="14.44140625" style="2073" customWidth="1"/>
    <col min="1297" max="1297" width="14" style="2073" customWidth="1"/>
    <col min="1298" max="1298" width="13.33203125" style="2073" customWidth="1"/>
    <col min="1299" max="1299" width="13.6640625" style="2073" customWidth="1"/>
    <col min="1300" max="1300" width="13.33203125" style="2073" customWidth="1"/>
    <col min="1301" max="1301" width="14.44140625" style="2073" customWidth="1"/>
    <col min="1302" max="1302" width="13.5546875" style="2073" customWidth="1"/>
    <col min="1303" max="1303" width="14.109375" style="2073" customWidth="1"/>
    <col min="1304" max="1304" width="0" style="2073" hidden="1" customWidth="1"/>
    <col min="1305" max="1305" width="10" style="2073" customWidth="1"/>
    <col min="1306" max="1306" width="11.44140625" style="2073" customWidth="1"/>
    <col min="1307" max="1307" width="13.44140625" style="2073" customWidth="1"/>
    <col min="1308" max="1539" width="9.109375" style="2073"/>
    <col min="1540" max="1540" width="36.88671875" style="2073" customWidth="1"/>
    <col min="1541" max="1541" width="8.109375" style="2073" customWidth="1"/>
    <col min="1542" max="1548" width="0" style="2073" hidden="1" customWidth="1"/>
    <col min="1549" max="1549" width="14.44140625" style="2073" customWidth="1"/>
    <col min="1550" max="1550" width="13.5546875" style="2073" customWidth="1"/>
    <col min="1551" max="1551" width="13.88671875" style="2073" customWidth="1"/>
    <col min="1552" max="1552" width="14.44140625" style="2073" customWidth="1"/>
    <col min="1553" max="1553" width="14" style="2073" customWidth="1"/>
    <col min="1554" max="1554" width="13.33203125" style="2073" customWidth="1"/>
    <col min="1555" max="1555" width="13.6640625" style="2073" customWidth="1"/>
    <col min="1556" max="1556" width="13.33203125" style="2073" customWidth="1"/>
    <col min="1557" max="1557" width="14.44140625" style="2073" customWidth="1"/>
    <col min="1558" max="1558" width="13.5546875" style="2073" customWidth="1"/>
    <col min="1559" max="1559" width="14.109375" style="2073" customWidth="1"/>
    <col min="1560" max="1560" width="0" style="2073" hidden="1" customWidth="1"/>
    <col min="1561" max="1561" width="10" style="2073" customWidth="1"/>
    <col min="1562" max="1562" width="11.44140625" style="2073" customWidth="1"/>
    <col min="1563" max="1563" width="13.44140625" style="2073" customWidth="1"/>
    <col min="1564" max="1795" width="9.109375" style="2073"/>
    <col min="1796" max="1796" width="36.88671875" style="2073" customWidth="1"/>
    <col min="1797" max="1797" width="8.109375" style="2073" customWidth="1"/>
    <col min="1798" max="1804" width="0" style="2073" hidden="1" customWidth="1"/>
    <col min="1805" max="1805" width="14.44140625" style="2073" customWidth="1"/>
    <col min="1806" max="1806" width="13.5546875" style="2073" customWidth="1"/>
    <col min="1807" max="1807" width="13.88671875" style="2073" customWidth="1"/>
    <col min="1808" max="1808" width="14.44140625" style="2073" customWidth="1"/>
    <col min="1809" max="1809" width="14" style="2073" customWidth="1"/>
    <col min="1810" max="1810" width="13.33203125" style="2073" customWidth="1"/>
    <col min="1811" max="1811" width="13.6640625" style="2073" customWidth="1"/>
    <col min="1812" max="1812" width="13.33203125" style="2073" customWidth="1"/>
    <col min="1813" max="1813" width="14.44140625" style="2073" customWidth="1"/>
    <col min="1814" max="1814" width="13.5546875" style="2073" customWidth="1"/>
    <col min="1815" max="1815" width="14.109375" style="2073" customWidth="1"/>
    <col min="1816" max="1816" width="0" style="2073" hidden="1" customWidth="1"/>
    <col min="1817" max="1817" width="10" style="2073" customWidth="1"/>
    <col min="1818" max="1818" width="11.44140625" style="2073" customWidth="1"/>
    <col min="1819" max="1819" width="13.44140625" style="2073" customWidth="1"/>
    <col min="1820" max="2051" width="9.109375" style="2073"/>
    <col min="2052" max="2052" width="36.88671875" style="2073" customWidth="1"/>
    <col min="2053" max="2053" width="8.109375" style="2073" customWidth="1"/>
    <col min="2054" max="2060" width="0" style="2073" hidden="1" customWidth="1"/>
    <col min="2061" max="2061" width="14.44140625" style="2073" customWidth="1"/>
    <col min="2062" max="2062" width="13.5546875" style="2073" customWidth="1"/>
    <col min="2063" max="2063" width="13.88671875" style="2073" customWidth="1"/>
    <col min="2064" max="2064" width="14.44140625" style="2073" customWidth="1"/>
    <col min="2065" max="2065" width="14" style="2073" customWidth="1"/>
    <col min="2066" max="2066" width="13.33203125" style="2073" customWidth="1"/>
    <col min="2067" max="2067" width="13.6640625" style="2073" customWidth="1"/>
    <col min="2068" max="2068" width="13.33203125" style="2073" customWidth="1"/>
    <col min="2069" max="2069" width="14.44140625" style="2073" customWidth="1"/>
    <col min="2070" max="2070" width="13.5546875" style="2073" customWidth="1"/>
    <col min="2071" max="2071" width="14.109375" style="2073" customWidth="1"/>
    <col min="2072" max="2072" width="0" style="2073" hidden="1" customWidth="1"/>
    <col min="2073" max="2073" width="10" style="2073" customWidth="1"/>
    <col min="2074" max="2074" width="11.44140625" style="2073" customWidth="1"/>
    <col min="2075" max="2075" width="13.44140625" style="2073" customWidth="1"/>
    <col min="2076" max="2307" width="9.109375" style="2073"/>
    <col min="2308" max="2308" width="36.88671875" style="2073" customWidth="1"/>
    <col min="2309" max="2309" width="8.109375" style="2073" customWidth="1"/>
    <col min="2310" max="2316" width="0" style="2073" hidden="1" customWidth="1"/>
    <col min="2317" max="2317" width="14.44140625" style="2073" customWidth="1"/>
    <col min="2318" max="2318" width="13.5546875" style="2073" customWidth="1"/>
    <col min="2319" max="2319" width="13.88671875" style="2073" customWidth="1"/>
    <col min="2320" max="2320" width="14.44140625" style="2073" customWidth="1"/>
    <col min="2321" max="2321" width="14" style="2073" customWidth="1"/>
    <col min="2322" max="2322" width="13.33203125" style="2073" customWidth="1"/>
    <col min="2323" max="2323" width="13.6640625" style="2073" customWidth="1"/>
    <col min="2324" max="2324" width="13.33203125" style="2073" customWidth="1"/>
    <col min="2325" max="2325" width="14.44140625" style="2073" customWidth="1"/>
    <col min="2326" max="2326" width="13.5546875" style="2073" customWidth="1"/>
    <col min="2327" max="2327" width="14.109375" style="2073" customWidth="1"/>
    <col min="2328" max="2328" width="0" style="2073" hidden="1" customWidth="1"/>
    <col min="2329" max="2329" width="10" style="2073" customWidth="1"/>
    <col min="2330" max="2330" width="11.44140625" style="2073" customWidth="1"/>
    <col min="2331" max="2331" width="13.44140625" style="2073" customWidth="1"/>
    <col min="2332" max="2563" width="9.109375" style="2073"/>
    <col min="2564" max="2564" width="36.88671875" style="2073" customWidth="1"/>
    <col min="2565" max="2565" width="8.109375" style="2073" customWidth="1"/>
    <col min="2566" max="2572" width="0" style="2073" hidden="1" customWidth="1"/>
    <col min="2573" max="2573" width="14.44140625" style="2073" customWidth="1"/>
    <col min="2574" max="2574" width="13.5546875" style="2073" customWidth="1"/>
    <col min="2575" max="2575" width="13.88671875" style="2073" customWidth="1"/>
    <col min="2576" max="2576" width="14.44140625" style="2073" customWidth="1"/>
    <col min="2577" max="2577" width="14" style="2073" customWidth="1"/>
    <col min="2578" max="2578" width="13.33203125" style="2073" customWidth="1"/>
    <col min="2579" max="2579" width="13.6640625" style="2073" customWidth="1"/>
    <col min="2580" max="2580" width="13.33203125" style="2073" customWidth="1"/>
    <col min="2581" max="2581" width="14.44140625" style="2073" customWidth="1"/>
    <col min="2582" max="2582" width="13.5546875" style="2073" customWidth="1"/>
    <col min="2583" max="2583" width="14.109375" style="2073" customWidth="1"/>
    <col min="2584" max="2584" width="0" style="2073" hidden="1" customWidth="1"/>
    <col min="2585" max="2585" width="10" style="2073" customWidth="1"/>
    <col min="2586" max="2586" width="11.44140625" style="2073" customWidth="1"/>
    <col min="2587" max="2587" width="13.44140625" style="2073" customWidth="1"/>
    <col min="2588" max="2819" width="9.109375" style="2073"/>
    <col min="2820" max="2820" width="36.88671875" style="2073" customWidth="1"/>
    <col min="2821" max="2821" width="8.109375" style="2073" customWidth="1"/>
    <col min="2822" max="2828" width="0" style="2073" hidden="1" customWidth="1"/>
    <col min="2829" max="2829" width="14.44140625" style="2073" customWidth="1"/>
    <col min="2830" max="2830" width="13.5546875" style="2073" customWidth="1"/>
    <col min="2831" max="2831" width="13.88671875" style="2073" customWidth="1"/>
    <col min="2832" max="2832" width="14.44140625" style="2073" customWidth="1"/>
    <col min="2833" max="2833" width="14" style="2073" customWidth="1"/>
    <col min="2834" max="2834" width="13.33203125" style="2073" customWidth="1"/>
    <col min="2835" max="2835" width="13.6640625" style="2073" customWidth="1"/>
    <col min="2836" max="2836" width="13.33203125" style="2073" customWidth="1"/>
    <col min="2837" max="2837" width="14.44140625" style="2073" customWidth="1"/>
    <col min="2838" max="2838" width="13.5546875" style="2073" customWidth="1"/>
    <col min="2839" max="2839" width="14.109375" style="2073" customWidth="1"/>
    <col min="2840" max="2840" width="0" style="2073" hidden="1" customWidth="1"/>
    <col min="2841" max="2841" width="10" style="2073" customWidth="1"/>
    <col min="2842" max="2842" width="11.44140625" style="2073" customWidth="1"/>
    <col min="2843" max="2843" width="13.44140625" style="2073" customWidth="1"/>
    <col min="2844" max="3075" width="9.109375" style="2073"/>
    <col min="3076" max="3076" width="36.88671875" style="2073" customWidth="1"/>
    <col min="3077" max="3077" width="8.109375" style="2073" customWidth="1"/>
    <col min="3078" max="3084" width="0" style="2073" hidden="1" customWidth="1"/>
    <col min="3085" max="3085" width="14.44140625" style="2073" customWidth="1"/>
    <col min="3086" max="3086" width="13.5546875" style="2073" customWidth="1"/>
    <col min="3087" max="3087" width="13.88671875" style="2073" customWidth="1"/>
    <col min="3088" max="3088" width="14.44140625" style="2073" customWidth="1"/>
    <col min="3089" max="3089" width="14" style="2073" customWidth="1"/>
    <col min="3090" max="3090" width="13.33203125" style="2073" customWidth="1"/>
    <col min="3091" max="3091" width="13.6640625" style="2073" customWidth="1"/>
    <col min="3092" max="3092" width="13.33203125" style="2073" customWidth="1"/>
    <col min="3093" max="3093" width="14.44140625" style="2073" customWidth="1"/>
    <col min="3094" max="3094" width="13.5546875" style="2073" customWidth="1"/>
    <col min="3095" max="3095" width="14.109375" style="2073" customWidth="1"/>
    <col min="3096" max="3096" width="0" style="2073" hidden="1" customWidth="1"/>
    <col min="3097" max="3097" width="10" style="2073" customWidth="1"/>
    <col min="3098" max="3098" width="11.44140625" style="2073" customWidth="1"/>
    <col min="3099" max="3099" width="13.44140625" style="2073" customWidth="1"/>
    <col min="3100" max="3331" width="9.109375" style="2073"/>
    <col min="3332" max="3332" width="36.88671875" style="2073" customWidth="1"/>
    <col min="3333" max="3333" width="8.109375" style="2073" customWidth="1"/>
    <col min="3334" max="3340" width="0" style="2073" hidden="1" customWidth="1"/>
    <col min="3341" max="3341" width="14.44140625" style="2073" customWidth="1"/>
    <col min="3342" max="3342" width="13.5546875" style="2073" customWidth="1"/>
    <col min="3343" max="3343" width="13.88671875" style="2073" customWidth="1"/>
    <col min="3344" max="3344" width="14.44140625" style="2073" customWidth="1"/>
    <col min="3345" max="3345" width="14" style="2073" customWidth="1"/>
    <col min="3346" max="3346" width="13.33203125" style="2073" customWidth="1"/>
    <col min="3347" max="3347" width="13.6640625" style="2073" customWidth="1"/>
    <col min="3348" max="3348" width="13.33203125" style="2073" customWidth="1"/>
    <col min="3349" max="3349" width="14.44140625" style="2073" customWidth="1"/>
    <col min="3350" max="3350" width="13.5546875" style="2073" customWidth="1"/>
    <col min="3351" max="3351" width="14.109375" style="2073" customWidth="1"/>
    <col min="3352" max="3352" width="0" style="2073" hidden="1" customWidth="1"/>
    <col min="3353" max="3353" width="10" style="2073" customWidth="1"/>
    <col min="3354" max="3354" width="11.44140625" style="2073" customWidth="1"/>
    <col min="3355" max="3355" width="13.44140625" style="2073" customWidth="1"/>
    <col min="3356" max="3587" width="9.109375" style="2073"/>
    <col min="3588" max="3588" width="36.88671875" style="2073" customWidth="1"/>
    <col min="3589" max="3589" width="8.109375" style="2073" customWidth="1"/>
    <col min="3590" max="3596" width="0" style="2073" hidden="1" customWidth="1"/>
    <col min="3597" max="3597" width="14.44140625" style="2073" customWidth="1"/>
    <col min="3598" max="3598" width="13.5546875" style="2073" customWidth="1"/>
    <col min="3599" max="3599" width="13.88671875" style="2073" customWidth="1"/>
    <col min="3600" max="3600" width="14.44140625" style="2073" customWidth="1"/>
    <col min="3601" max="3601" width="14" style="2073" customWidth="1"/>
    <col min="3602" max="3602" width="13.33203125" style="2073" customWidth="1"/>
    <col min="3603" max="3603" width="13.6640625" style="2073" customWidth="1"/>
    <col min="3604" max="3604" width="13.33203125" style="2073" customWidth="1"/>
    <col min="3605" max="3605" width="14.44140625" style="2073" customWidth="1"/>
    <col min="3606" max="3606" width="13.5546875" style="2073" customWidth="1"/>
    <col min="3607" max="3607" width="14.109375" style="2073" customWidth="1"/>
    <col min="3608" max="3608" width="0" style="2073" hidden="1" customWidth="1"/>
    <col min="3609" max="3609" width="10" style="2073" customWidth="1"/>
    <col min="3610" max="3610" width="11.44140625" style="2073" customWidth="1"/>
    <col min="3611" max="3611" width="13.44140625" style="2073" customWidth="1"/>
    <col min="3612" max="3843" width="9.109375" style="2073"/>
    <col min="3844" max="3844" width="36.88671875" style="2073" customWidth="1"/>
    <col min="3845" max="3845" width="8.109375" style="2073" customWidth="1"/>
    <col min="3846" max="3852" width="0" style="2073" hidden="1" customWidth="1"/>
    <col min="3853" max="3853" width="14.44140625" style="2073" customWidth="1"/>
    <col min="3854" max="3854" width="13.5546875" style="2073" customWidth="1"/>
    <col min="3855" max="3855" width="13.88671875" style="2073" customWidth="1"/>
    <col min="3856" max="3856" width="14.44140625" style="2073" customWidth="1"/>
    <col min="3857" max="3857" width="14" style="2073" customWidth="1"/>
    <col min="3858" max="3858" width="13.33203125" style="2073" customWidth="1"/>
    <col min="3859" max="3859" width="13.6640625" style="2073" customWidth="1"/>
    <col min="3860" max="3860" width="13.33203125" style="2073" customWidth="1"/>
    <col min="3861" max="3861" width="14.44140625" style="2073" customWidth="1"/>
    <col min="3862" max="3862" width="13.5546875" style="2073" customWidth="1"/>
    <col min="3863" max="3863" width="14.109375" style="2073" customWidth="1"/>
    <col min="3864" max="3864" width="0" style="2073" hidden="1" customWidth="1"/>
    <col min="3865" max="3865" width="10" style="2073" customWidth="1"/>
    <col min="3866" max="3866" width="11.44140625" style="2073" customWidth="1"/>
    <col min="3867" max="3867" width="13.44140625" style="2073" customWidth="1"/>
    <col min="3868" max="4099" width="9.109375" style="2073"/>
    <col min="4100" max="4100" width="36.88671875" style="2073" customWidth="1"/>
    <col min="4101" max="4101" width="8.109375" style="2073" customWidth="1"/>
    <col min="4102" max="4108" width="0" style="2073" hidden="1" customWidth="1"/>
    <col min="4109" max="4109" width="14.44140625" style="2073" customWidth="1"/>
    <col min="4110" max="4110" width="13.5546875" style="2073" customWidth="1"/>
    <col min="4111" max="4111" width="13.88671875" style="2073" customWidth="1"/>
    <col min="4112" max="4112" width="14.44140625" style="2073" customWidth="1"/>
    <col min="4113" max="4113" width="14" style="2073" customWidth="1"/>
    <col min="4114" max="4114" width="13.33203125" style="2073" customWidth="1"/>
    <col min="4115" max="4115" width="13.6640625" style="2073" customWidth="1"/>
    <col min="4116" max="4116" width="13.33203125" style="2073" customWidth="1"/>
    <col min="4117" max="4117" width="14.44140625" style="2073" customWidth="1"/>
    <col min="4118" max="4118" width="13.5546875" style="2073" customWidth="1"/>
    <col min="4119" max="4119" width="14.109375" style="2073" customWidth="1"/>
    <col min="4120" max="4120" width="0" style="2073" hidden="1" customWidth="1"/>
    <col min="4121" max="4121" width="10" style="2073" customWidth="1"/>
    <col min="4122" max="4122" width="11.44140625" style="2073" customWidth="1"/>
    <col min="4123" max="4123" width="13.44140625" style="2073" customWidth="1"/>
    <col min="4124" max="4355" width="9.109375" style="2073"/>
    <col min="4356" max="4356" width="36.88671875" style="2073" customWidth="1"/>
    <col min="4357" max="4357" width="8.109375" style="2073" customWidth="1"/>
    <col min="4358" max="4364" width="0" style="2073" hidden="1" customWidth="1"/>
    <col min="4365" max="4365" width="14.44140625" style="2073" customWidth="1"/>
    <col min="4366" max="4366" width="13.5546875" style="2073" customWidth="1"/>
    <col min="4367" max="4367" width="13.88671875" style="2073" customWidth="1"/>
    <col min="4368" max="4368" width="14.44140625" style="2073" customWidth="1"/>
    <col min="4369" max="4369" width="14" style="2073" customWidth="1"/>
    <col min="4370" max="4370" width="13.33203125" style="2073" customWidth="1"/>
    <col min="4371" max="4371" width="13.6640625" style="2073" customWidth="1"/>
    <col min="4372" max="4372" width="13.33203125" style="2073" customWidth="1"/>
    <col min="4373" max="4373" width="14.44140625" style="2073" customWidth="1"/>
    <col min="4374" max="4374" width="13.5546875" style="2073" customWidth="1"/>
    <col min="4375" max="4375" width="14.109375" style="2073" customWidth="1"/>
    <col min="4376" max="4376" width="0" style="2073" hidden="1" customWidth="1"/>
    <col min="4377" max="4377" width="10" style="2073" customWidth="1"/>
    <col min="4378" max="4378" width="11.44140625" style="2073" customWidth="1"/>
    <col min="4379" max="4379" width="13.44140625" style="2073" customWidth="1"/>
    <col min="4380" max="4611" width="9.109375" style="2073"/>
    <col min="4612" max="4612" width="36.88671875" style="2073" customWidth="1"/>
    <col min="4613" max="4613" width="8.109375" style="2073" customWidth="1"/>
    <col min="4614" max="4620" width="0" style="2073" hidden="1" customWidth="1"/>
    <col min="4621" max="4621" width="14.44140625" style="2073" customWidth="1"/>
    <col min="4622" max="4622" width="13.5546875" style="2073" customWidth="1"/>
    <col min="4623" max="4623" width="13.88671875" style="2073" customWidth="1"/>
    <col min="4624" max="4624" width="14.44140625" style="2073" customWidth="1"/>
    <col min="4625" max="4625" width="14" style="2073" customWidth="1"/>
    <col min="4626" max="4626" width="13.33203125" style="2073" customWidth="1"/>
    <col min="4627" max="4627" width="13.6640625" style="2073" customWidth="1"/>
    <col min="4628" max="4628" width="13.33203125" style="2073" customWidth="1"/>
    <col min="4629" max="4629" width="14.44140625" style="2073" customWidth="1"/>
    <col min="4630" max="4630" width="13.5546875" style="2073" customWidth="1"/>
    <col min="4631" max="4631" width="14.109375" style="2073" customWidth="1"/>
    <col min="4632" max="4632" width="0" style="2073" hidden="1" customWidth="1"/>
    <col min="4633" max="4633" width="10" style="2073" customWidth="1"/>
    <col min="4634" max="4634" width="11.44140625" style="2073" customWidth="1"/>
    <col min="4635" max="4635" width="13.44140625" style="2073" customWidth="1"/>
    <col min="4636" max="4867" width="9.109375" style="2073"/>
    <col min="4868" max="4868" width="36.88671875" style="2073" customWidth="1"/>
    <col min="4869" max="4869" width="8.109375" style="2073" customWidth="1"/>
    <col min="4870" max="4876" width="0" style="2073" hidden="1" customWidth="1"/>
    <col min="4877" max="4877" width="14.44140625" style="2073" customWidth="1"/>
    <col min="4878" max="4878" width="13.5546875" style="2073" customWidth="1"/>
    <col min="4879" max="4879" width="13.88671875" style="2073" customWidth="1"/>
    <col min="4880" max="4880" width="14.44140625" style="2073" customWidth="1"/>
    <col min="4881" max="4881" width="14" style="2073" customWidth="1"/>
    <col min="4882" max="4882" width="13.33203125" style="2073" customWidth="1"/>
    <col min="4883" max="4883" width="13.6640625" style="2073" customWidth="1"/>
    <col min="4884" max="4884" width="13.33203125" style="2073" customWidth="1"/>
    <col min="4885" max="4885" width="14.44140625" style="2073" customWidth="1"/>
    <col min="4886" max="4886" width="13.5546875" style="2073" customWidth="1"/>
    <col min="4887" max="4887" width="14.109375" style="2073" customWidth="1"/>
    <col min="4888" max="4888" width="0" style="2073" hidden="1" customWidth="1"/>
    <col min="4889" max="4889" width="10" style="2073" customWidth="1"/>
    <col min="4890" max="4890" width="11.44140625" style="2073" customWidth="1"/>
    <col min="4891" max="4891" width="13.44140625" style="2073" customWidth="1"/>
    <col min="4892" max="5123" width="9.109375" style="2073"/>
    <col min="5124" max="5124" width="36.88671875" style="2073" customWidth="1"/>
    <col min="5125" max="5125" width="8.109375" style="2073" customWidth="1"/>
    <col min="5126" max="5132" width="0" style="2073" hidden="1" customWidth="1"/>
    <col min="5133" max="5133" width="14.44140625" style="2073" customWidth="1"/>
    <col min="5134" max="5134" width="13.5546875" style="2073" customWidth="1"/>
    <col min="5135" max="5135" width="13.88671875" style="2073" customWidth="1"/>
    <col min="5136" max="5136" width="14.44140625" style="2073" customWidth="1"/>
    <col min="5137" max="5137" width="14" style="2073" customWidth="1"/>
    <col min="5138" max="5138" width="13.33203125" style="2073" customWidth="1"/>
    <col min="5139" max="5139" width="13.6640625" style="2073" customWidth="1"/>
    <col min="5140" max="5140" width="13.33203125" style="2073" customWidth="1"/>
    <col min="5141" max="5141" width="14.44140625" style="2073" customWidth="1"/>
    <col min="5142" max="5142" width="13.5546875" style="2073" customWidth="1"/>
    <col min="5143" max="5143" width="14.109375" style="2073" customWidth="1"/>
    <col min="5144" max="5144" width="0" style="2073" hidden="1" customWidth="1"/>
    <col min="5145" max="5145" width="10" style="2073" customWidth="1"/>
    <col min="5146" max="5146" width="11.44140625" style="2073" customWidth="1"/>
    <col min="5147" max="5147" width="13.44140625" style="2073" customWidth="1"/>
    <col min="5148" max="5379" width="9.109375" style="2073"/>
    <col min="5380" max="5380" width="36.88671875" style="2073" customWidth="1"/>
    <col min="5381" max="5381" width="8.109375" style="2073" customWidth="1"/>
    <col min="5382" max="5388" width="0" style="2073" hidden="1" customWidth="1"/>
    <col min="5389" max="5389" width="14.44140625" style="2073" customWidth="1"/>
    <col min="5390" max="5390" width="13.5546875" style="2073" customWidth="1"/>
    <col min="5391" max="5391" width="13.88671875" style="2073" customWidth="1"/>
    <col min="5392" max="5392" width="14.44140625" style="2073" customWidth="1"/>
    <col min="5393" max="5393" width="14" style="2073" customWidth="1"/>
    <col min="5394" max="5394" width="13.33203125" style="2073" customWidth="1"/>
    <col min="5395" max="5395" width="13.6640625" style="2073" customWidth="1"/>
    <col min="5396" max="5396" width="13.33203125" style="2073" customWidth="1"/>
    <col min="5397" max="5397" width="14.44140625" style="2073" customWidth="1"/>
    <col min="5398" max="5398" width="13.5546875" style="2073" customWidth="1"/>
    <col min="5399" max="5399" width="14.109375" style="2073" customWidth="1"/>
    <col min="5400" max="5400" width="0" style="2073" hidden="1" customWidth="1"/>
    <col min="5401" max="5401" width="10" style="2073" customWidth="1"/>
    <col min="5402" max="5402" width="11.44140625" style="2073" customWidth="1"/>
    <col min="5403" max="5403" width="13.44140625" style="2073" customWidth="1"/>
    <col min="5404" max="5635" width="9.109375" style="2073"/>
    <col min="5636" max="5636" width="36.88671875" style="2073" customWidth="1"/>
    <col min="5637" max="5637" width="8.109375" style="2073" customWidth="1"/>
    <col min="5638" max="5644" width="0" style="2073" hidden="1" customWidth="1"/>
    <col min="5645" max="5645" width="14.44140625" style="2073" customWidth="1"/>
    <col min="5646" max="5646" width="13.5546875" style="2073" customWidth="1"/>
    <col min="5647" max="5647" width="13.88671875" style="2073" customWidth="1"/>
    <col min="5648" max="5648" width="14.44140625" style="2073" customWidth="1"/>
    <col min="5649" max="5649" width="14" style="2073" customWidth="1"/>
    <col min="5650" max="5650" width="13.33203125" style="2073" customWidth="1"/>
    <col min="5651" max="5651" width="13.6640625" style="2073" customWidth="1"/>
    <col min="5652" max="5652" width="13.33203125" style="2073" customWidth="1"/>
    <col min="5653" max="5653" width="14.44140625" style="2073" customWidth="1"/>
    <col min="5654" max="5654" width="13.5546875" style="2073" customWidth="1"/>
    <col min="5655" max="5655" width="14.109375" style="2073" customWidth="1"/>
    <col min="5656" max="5656" width="0" style="2073" hidden="1" customWidth="1"/>
    <col min="5657" max="5657" width="10" style="2073" customWidth="1"/>
    <col min="5658" max="5658" width="11.44140625" style="2073" customWidth="1"/>
    <col min="5659" max="5659" width="13.44140625" style="2073" customWidth="1"/>
    <col min="5660" max="5891" width="9.109375" style="2073"/>
    <col min="5892" max="5892" width="36.88671875" style="2073" customWidth="1"/>
    <col min="5893" max="5893" width="8.109375" style="2073" customWidth="1"/>
    <col min="5894" max="5900" width="0" style="2073" hidden="1" customWidth="1"/>
    <col min="5901" max="5901" width="14.44140625" style="2073" customWidth="1"/>
    <col min="5902" max="5902" width="13.5546875" style="2073" customWidth="1"/>
    <col min="5903" max="5903" width="13.88671875" style="2073" customWidth="1"/>
    <col min="5904" max="5904" width="14.44140625" style="2073" customWidth="1"/>
    <col min="5905" max="5905" width="14" style="2073" customWidth="1"/>
    <col min="5906" max="5906" width="13.33203125" style="2073" customWidth="1"/>
    <col min="5907" max="5907" width="13.6640625" style="2073" customWidth="1"/>
    <col min="5908" max="5908" width="13.33203125" style="2073" customWidth="1"/>
    <col min="5909" max="5909" width="14.44140625" style="2073" customWidth="1"/>
    <col min="5910" max="5910" width="13.5546875" style="2073" customWidth="1"/>
    <col min="5911" max="5911" width="14.109375" style="2073" customWidth="1"/>
    <col min="5912" max="5912" width="0" style="2073" hidden="1" customWidth="1"/>
    <col min="5913" max="5913" width="10" style="2073" customWidth="1"/>
    <col min="5914" max="5914" width="11.44140625" style="2073" customWidth="1"/>
    <col min="5915" max="5915" width="13.44140625" style="2073" customWidth="1"/>
    <col min="5916" max="6147" width="9.109375" style="2073"/>
    <col min="6148" max="6148" width="36.88671875" style="2073" customWidth="1"/>
    <col min="6149" max="6149" width="8.109375" style="2073" customWidth="1"/>
    <col min="6150" max="6156" width="0" style="2073" hidden="1" customWidth="1"/>
    <col min="6157" max="6157" width="14.44140625" style="2073" customWidth="1"/>
    <col min="6158" max="6158" width="13.5546875" style="2073" customWidth="1"/>
    <col min="6159" max="6159" width="13.88671875" style="2073" customWidth="1"/>
    <col min="6160" max="6160" width="14.44140625" style="2073" customWidth="1"/>
    <col min="6161" max="6161" width="14" style="2073" customWidth="1"/>
    <col min="6162" max="6162" width="13.33203125" style="2073" customWidth="1"/>
    <col min="6163" max="6163" width="13.6640625" style="2073" customWidth="1"/>
    <col min="6164" max="6164" width="13.33203125" style="2073" customWidth="1"/>
    <col min="6165" max="6165" width="14.44140625" style="2073" customWidth="1"/>
    <col min="6166" max="6166" width="13.5546875" style="2073" customWidth="1"/>
    <col min="6167" max="6167" width="14.109375" style="2073" customWidth="1"/>
    <col min="6168" max="6168" width="0" style="2073" hidden="1" customWidth="1"/>
    <col min="6169" max="6169" width="10" style="2073" customWidth="1"/>
    <col min="6170" max="6170" width="11.44140625" style="2073" customWidth="1"/>
    <col min="6171" max="6171" width="13.44140625" style="2073" customWidth="1"/>
    <col min="6172" max="6403" width="9.109375" style="2073"/>
    <col min="6404" max="6404" width="36.88671875" style="2073" customWidth="1"/>
    <col min="6405" max="6405" width="8.109375" style="2073" customWidth="1"/>
    <col min="6406" max="6412" width="0" style="2073" hidden="1" customWidth="1"/>
    <col min="6413" max="6413" width="14.44140625" style="2073" customWidth="1"/>
    <col min="6414" max="6414" width="13.5546875" style="2073" customWidth="1"/>
    <col min="6415" max="6415" width="13.88671875" style="2073" customWidth="1"/>
    <col min="6416" max="6416" width="14.44140625" style="2073" customWidth="1"/>
    <col min="6417" max="6417" width="14" style="2073" customWidth="1"/>
    <col min="6418" max="6418" width="13.33203125" style="2073" customWidth="1"/>
    <col min="6419" max="6419" width="13.6640625" style="2073" customWidth="1"/>
    <col min="6420" max="6420" width="13.33203125" style="2073" customWidth="1"/>
    <col min="6421" max="6421" width="14.44140625" style="2073" customWidth="1"/>
    <col min="6422" max="6422" width="13.5546875" style="2073" customWidth="1"/>
    <col min="6423" max="6423" width="14.109375" style="2073" customWidth="1"/>
    <col min="6424" max="6424" width="0" style="2073" hidden="1" customWidth="1"/>
    <col min="6425" max="6425" width="10" style="2073" customWidth="1"/>
    <col min="6426" max="6426" width="11.44140625" style="2073" customWidth="1"/>
    <col min="6427" max="6427" width="13.44140625" style="2073" customWidth="1"/>
    <col min="6428" max="6659" width="9.109375" style="2073"/>
    <col min="6660" max="6660" width="36.88671875" style="2073" customWidth="1"/>
    <col min="6661" max="6661" width="8.109375" style="2073" customWidth="1"/>
    <col min="6662" max="6668" width="0" style="2073" hidden="1" customWidth="1"/>
    <col min="6669" max="6669" width="14.44140625" style="2073" customWidth="1"/>
    <col min="6670" max="6670" width="13.5546875" style="2073" customWidth="1"/>
    <col min="6671" max="6671" width="13.88671875" style="2073" customWidth="1"/>
    <col min="6672" max="6672" width="14.44140625" style="2073" customWidth="1"/>
    <col min="6673" max="6673" width="14" style="2073" customWidth="1"/>
    <col min="6674" max="6674" width="13.33203125" style="2073" customWidth="1"/>
    <col min="6675" max="6675" width="13.6640625" style="2073" customWidth="1"/>
    <col min="6676" max="6676" width="13.33203125" style="2073" customWidth="1"/>
    <col min="6677" max="6677" width="14.44140625" style="2073" customWidth="1"/>
    <col min="6678" max="6678" width="13.5546875" style="2073" customWidth="1"/>
    <col min="6679" max="6679" width="14.109375" style="2073" customWidth="1"/>
    <col min="6680" max="6680" width="0" style="2073" hidden="1" customWidth="1"/>
    <col min="6681" max="6681" width="10" style="2073" customWidth="1"/>
    <col min="6682" max="6682" width="11.44140625" style="2073" customWidth="1"/>
    <col min="6683" max="6683" width="13.44140625" style="2073" customWidth="1"/>
    <col min="6684" max="6915" width="9.109375" style="2073"/>
    <col min="6916" max="6916" width="36.88671875" style="2073" customWidth="1"/>
    <col min="6917" max="6917" width="8.109375" style="2073" customWidth="1"/>
    <col min="6918" max="6924" width="0" style="2073" hidden="1" customWidth="1"/>
    <col min="6925" max="6925" width="14.44140625" style="2073" customWidth="1"/>
    <col min="6926" max="6926" width="13.5546875" style="2073" customWidth="1"/>
    <col min="6927" max="6927" width="13.88671875" style="2073" customWidth="1"/>
    <col min="6928" max="6928" width="14.44140625" style="2073" customWidth="1"/>
    <col min="6929" max="6929" width="14" style="2073" customWidth="1"/>
    <col min="6930" max="6930" width="13.33203125" style="2073" customWidth="1"/>
    <col min="6931" max="6931" width="13.6640625" style="2073" customWidth="1"/>
    <col min="6932" max="6932" width="13.33203125" style="2073" customWidth="1"/>
    <col min="6933" max="6933" width="14.44140625" style="2073" customWidth="1"/>
    <col min="6934" max="6934" width="13.5546875" style="2073" customWidth="1"/>
    <col min="6935" max="6935" width="14.109375" style="2073" customWidth="1"/>
    <col min="6936" max="6936" width="0" style="2073" hidden="1" customWidth="1"/>
    <col min="6937" max="6937" width="10" style="2073" customWidth="1"/>
    <col min="6938" max="6938" width="11.44140625" style="2073" customWidth="1"/>
    <col min="6939" max="6939" width="13.44140625" style="2073" customWidth="1"/>
    <col min="6940" max="7171" width="9.109375" style="2073"/>
    <col min="7172" max="7172" width="36.88671875" style="2073" customWidth="1"/>
    <col min="7173" max="7173" width="8.109375" style="2073" customWidth="1"/>
    <col min="7174" max="7180" width="0" style="2073" hidden="1" customWidth="1"/>
    <col min="7181" max="7181" width="14.44140625" style="2073" customWidth="1"/>
    <col min="7182" max="7182" width="13.5546875" style="2073" customWidth="1"/>
    <col min="7183" max="7183" width="13.88671875" style="2073" customWidth="1"/>
    <col min="7184" max="7184" width="14.44140625" style="2073" customWidth="1"/>
    <col min="7185" max="7185" width="14" style="2073" customWidth="1"/>
    <col min="7186" max="7186" width="13.33203125" style="2073" customWidth="1"/>
    <col min="7187" max="7187" width="13.6640625" style="2073" customWidth="1"/>
    <col min="7188" max="7188" width="13.33203125" style="2073" customWidth="1"/>
    <col min="7189" max="7189" width="14.44140625" style="2073" customWidth="1"/>
    <col min="7190" max="7190" width="13.5546875" style="2073" customWidth="1"/>
    <col min="7191" max="7191" width="14.109375" style="2073" customWidth="1"/>
    <col min="7192" max="7192" width="0" style="2073" hidden="1" customWidth="1"/>
    <col min="7193" max="7193" width="10" style="2073" customWidth="1"/>
    <col min="7194" max="7194" width="11.44140625" style="2073" customWidth="1"/>
    <col min="7195" max="7195" width="13.44140625" style="2073" customWidth="1"/>
    <col min="7196" max="7427" width="9.109375" style="2073"/>
    <col min="7428" max="7428" width="36.88671875" style="2073" customWidth="1"/>
    <col min="7429" max="7429" width="8.109375" style="2073" customWidth="1"/>
    <col min="7430" max="7436" width="0" style="2073" hidden="1" customWidth="1"/>
    <col min="7437" max="7437" width="14.44140625" style="2073" customWidth="1"/>
    <col min="7438" max="7438" width="13.5546875" style="2073" customWidth="1"/>
    <col min="7439" max="7439" width="13.88671875" style="2073" customWidth="1"/>
    <col min="7440" max="7440" width="14.44140625" style="2073" customWidth="1"/>
    <col min="7441" max="7441" width="14" style="2073" customWidth="1"/>
    <col min="7442" max="7442" width="13.33203125" style="2073" customWidth="1"/>
    <col min="7443" max="7443" width="13.6640625" style="2073" customWidth="1"/>
    <col min="7444" max="7444" width="13.33203125" style="2073" customWidth="1"/>
    <col min="7445" max="7445" width="14.44140625" style="2073" customWidth="1"/>
    <col min="7446" max="7446" width="13.5546875" style="2073" customWidth="1"/>
    <col min="7447" max="7447" width="14.109375" style="2073" customWidth="1"/>
    <col min="7448" max="7448" width="0" style="2073" hidden="1" customWidth="1"/>
    <col min="7449" max="7449" width="10" style="2073" customWidth="1"/>
    <col min="7450" max="7450" width="11.44140625" style="2073" customWidth="1"/>
    <col min="7451" max="7451" width="13.44140625" style="2073" customWidth="1"/>
    <col min="7452" max="7683" width="9.109375" style="2073"/>
    <col min="7684" max="7684" width="36.88671875" style="2073" customWidth="1"/>
    <col min="7685" max="7685" width="8.109375" style="2073" customWidth="1"/>
    <col min="7686" max="7692" width="0" style="2073" hidden="1" customWidth="1"/>
    <col min="7693" max="7693" width="14.44140625" style="2073" customWidth="1"/>
    <col min="7694" max="7694" width="13.5546875" style="2073" customWidth="1"/>
    <col min="7695" max="7695" width="13.88671875" style="2073" customWidth="1"/>
    <col min="7696" max="7696" width="14.44140625" style="2073" customWidth="1"/>
    <col min="7697" max="7697" width="14" style="2073" customWidth="1"/>
    <col min="7698" max="7698" width="13.33203125" style="2073" customWidth="1"/>
    <col min="7699" max="7699" width="13.6640625" style="2073" customWidth="1"/>
    <col min="7700" max="7700" width="13.33203125" style="2073" customWidth="1"/>
    <col min="7701" max="7701" width="14.44140625" style="2073" customWidth="1"/>
    <col min="7702" max="7702" width="13.5546875" style="2073" customWidth="1"/>
    <col min="7703" max="7703" width="14.109375" style="2073" customWidth="1"/>
    <col min="7704" max="7704" width="0" style="2073" hidden="1" customWidth="1"/>
    <col min="7705" max="7705" width="10" style="2073" customWidth="1"/>
    <col min="7706" max="7706" width="11.44140625" style="2073" customWidth="1"/>
    <col min="7707" max="7707" width="13.44140625" style="2073" customWidth="1"/>
    <col min="7708" max="7939" width="9.109375" style="2073"/>
    <col min="7940" max="7940" width="36.88671875" style="2073" customWidth="1"/>
    <col min="7941" max="7941" width="8.109375" style="2073" customWidth="1"/>
    <col min="7942" max="7948" width="0" style="2073" hidden="1" customWidth="1"/>
    <col min="7949" max="7949" width="14.44140625" style="2073" customWidth="1"/>
    <col min="7950" max="7950" width="13.5546875" style="2073" customWidth="1"/>
    <col min="7951" max="7951" width="13.88671875" style="2073" customWidth="1"/>
    <col min="7952" max="7952" width="14.44140625" style="2073" customWidth="1"/>
    <col min="7953" max="7953" width="14" style="2073" customWidth="1"/>
    <col min="7954" max="7954" width="13.33203125" style="2073" customWidth="1"/>
    <col min="7955" max="7955" width="13.6640625" style="2073" customWidth="1"/>
    <col min="7956" max="7956" width="13.33203125" style="2073" customWidth="1"/>
    <col min="7957" max="7957" width="14.44140625" style="2073" customWidth="1"/>
    <col min="7958" max="7958" width="13.5546875" style="2073" customWidth="1"/>
    <col min="7959" max="7959" width="14.109375" style="2073" customWidth="1"/>
    <col min="7960" max="7960" width="0" style="2073" hidden="1" customWidth="1"/>
    <col min="7961" max="7961" width="10" style="2073" customWidth="1"/>
    <col min="7962" max="7962" width="11.44140625" style="2073" customWidth="1"/>
    <col min="7963" max="7963" width="13.44140625" style="2073" customWidth="1"/>
    <col min="7964" max="8195" width="9.109375" style="2073"/>
    <col min="8196" max="8196" width="36.88671875" style="2073" customWidth="1"/>
    <col min="8197" max="8197" width="8.109375" style="2073" customWidth="1"/>
    <col min="8198" max="8204" width="0" style="2073" hidden="1" customWidth="1"/>
    <col min="8205" max="8205" width="14.44140625" style="2073" customWidth="1"/>
    <col min="8206" max="8206" width="13.5546875" style="2073" customWidth="1"/>
    <col min="8207" max="8207" width="13.88671875" style="2073" customWidth="1"/>
    <col min="8208" max="8208" width="14.44140625" style="2073" customWidth="1"/>
    <col min="8209" max="8209" width="14" style="2073" customWidth="1"/>
    <col min="8210" max="8210" width="13.33203125" style="2073" customWidth="1"/>
    <col min="8211" max="8211" width="13.6640625" style="2073" customWidth="1"/>
    <col min="8212" max="8212" width="13.33203125" style="2073" customWidth="1"/>
    <col min="8213" max="8213" width="14.44140625" style="2073" customWidth="1"/>
    <col min="8214" max="8214" width="13.5546875" style="2073" customWidth="1"/>
    <col min="8215" max="8215" width="14.109375" style="2073" customWidth="1"/>
    <col min="8216" max="8216" width="0" style="2073" hidden="1" customWidth="1"/>
    <col min="8217" max="8217" width="10" style="2073" customWidth="1"/>
    <col min="8218" max="8218" width="11.44140625" style="2073" customWidth="1"/>
    <col min="8219" max="8219" width="13.44140625" style="2073" customWidth="1"/>
    <col min="8220" max="8451" width="9.109375" style="2073"/>
    <col min="8452" max="8452" width="36.88671875" style="2073" customWidth="1"/>
    <col min="8453" max="8453" width="8.109375" style="2073" customWidth="1"/>
    <col min="8454" max="8460" width="0" style="2073" hidden="1" customWidth="1"/>
    <col min="8461" max="8461" width="14.44140625" style="2073" customWidth="1"/>
    <col min="8462" max="8462" width="13.5546875" style="2073" customWidth="1"/>
    <col min="8463" max="8463" width="13.88671875" style="2073" customWidth="1"/>
    <col min="8464" max="8464" width="14.44140625" style="2073" customWidth="1"/>
    <col min="8465" max="8465" width="14" style="2073" customWidth="1"/>
    <col min="8466" max="8466" width="13.33203125" style="2073" customWidth="1"/>
    <col min="8467" max="8467" width="13.6640625" style="2073" customWidth="1"/>
    <col min="8468" max="8468" width="13.33203125" style="2073" customWidth="1"/>
    <col min="8469" max="8469" width="14.44140625" style="2073" customWidth="1"/>
    <col min="8470" max="8470" width="13.5546875" style="2073" customWidth="1"/>
    <col min="8471" max="8471" width="14.109375" style="2073" customWidth="1"/>
    <col min="8472" max="8472" width="0" style="2073" hidden="1" customWidth="1"/>
    <col min="8473" max="8473" width="10" style="2073" customWidth="1"/>
    <col min="8474" max="8474" width="11.44140625" style="2073" customWidth="1"/>
    <col min="8475" max="8475" width="13.44140625" style="2073" customWidth="1"/>
    <col min="8476" max="8707" width="9.109375" style="2073"/>
    <col min="8708" max="8708" width="36.88671875" style="2073" customWidth="1"/>
    <col min="8709" max="8709" width="8.109375" style="2073" customWidth="1"/>
    <col min="8710" max="8716" width="0" style="2073" hidden="1" customWidth="1"/>
    <col min="8717" max="8717" width="14.44140625" style="2073" customWidth="1"/>
    <col min="8718" max="8718" width="13.5546875" style="2073" customWidth="1"/>
    <col min="8719" max="8719" width="13.88671875" style="2073" customWidth="1"/>
    <col min="8720" max="8720" width="14.44140625" style="2073" customWidth="1"/>
    <col min="8721" max="8721" width="14" style="2073" customWidth="1"/>
    <col min="8722" max="8722" width="13.33203125" style="2073" customWidth="1"/>
    <col min="8723" max="8723" width="13.6640625" style="2073" customWidth="1"/>
    <col min="8724" max="8724" width="13.33203125" style="2073" customWidth="1"/>
    <col min="8725" max="8725" width="14.44140625" style="2073" customWidth="1"/>
    <col min="8726" max="8726" width="13.5546875" style="2073" customWidth="1"/>
    <col min="8727" max="8727" width="14.109375" style="2073" customWidth="1"/>
    <col min="8728" max="8728" width="0" style="2073" hidden="1" customWidth="1"/>
    <col min="8729" max="8729" width="10" style="2073" customWidth="1"/>
    <col min="8730" max="8730" width="11.44140625" style="2073" customWidth="1"/>
    <col min="8731" max="8731" width="13.44140625" style="2073" customWidth="1"/>
    <col min="8732" max="8963" width="9.109375" style="2073"/>
    <col min="8964" max="8964" width="36.88671875" style="2073" customWidth="1"/>
    <col min="8965" max="8965" width="8.109375" style="2073" customWidth="1"/>
    <col min="8966" max="8972" width="0" style="2073" hidden="1" customWidth="1"/>
    <col min="8973" max="8973" width="14.44140625" style="2073" customWidth="1"/>
    <col min="8974" max="8974" width="13.5546875" style="2073" customWidth="1"/>
    <col min="8975" max="8975" width="13.88671875" style="2073" customWidth="1"/>
    <col min="8976" max="8976" width="14.44140625" style="2073" customWidth="1"/>
    <col min="8977" max="8977" width="14" style="2073" customWidth="1"/>
    <col min="8978" max="8978" width="13.33203125" style="2073" customWidth="1"/>
    <col min="8979" max="8979" width="13.6640625" style="2073" customWidth="1"/>
    <col min="8980" max="8980" width="13.33203125" style="2073" customWidth="1"/>
    <col min="8981" max="8981" width="14.44140625" style="2073" customWidth="1"/>
    <col min="8982" max="8982" width="13.5546875" style="2073" customWidth="1"/>
    <col min="8983" max="8983" width="14.109375" style="2073" customWidth="1"/>
    <col min="8984" max="8984" width="0" style="2073" hidden="1" customWidth="1"/>
    <col min="8985" max="8985" width="10" style="2073" customWidth="1"/>
    <col min="8986" max="8986" width="11.44140625" style="2073" customWidth="1"/>
    <col min="8987" max="8987" width="13.44140625" style="2073" customWidth="1"/>
    <col min="8988" max="9219" width="9.109375" style="2073"/>
    <col min="9220" max="9220" width="36.88671875" style="2073" customWidth="1"/>
    <col min="9221" max="9221" width="8.109375" style="2073" customWidth="1"/>
    <col min="9222" max="9228" width="0" style="2073" hidden="1" customWidth="1"/>
    <col min="9229" max="9229" width="14.44140625" style="2073" customWidth="1"/>
    <col min="9230" max="9230" width="13.5546875" style="2073" customWidth="1"/>
    <col min="9231" max="9231" width="13.88671875" style="2073" customWidth="1"/>
    <col min="9232" max="9232" width="14.44140625" style="2073" customWidth="1"/>
    <col min="9233" max="9233" width="14" style="2073" customWidth="1"/>
    <col min="9234" max="9234" width="13.33203125" style="2073" customWidth="1"/>
    <col min="9235" max="9235" width="13.6640625" style="2073" customWidth="1"/>
    <col min="9236" max="9236" width="13.33203125" style="2073" customWidth="1"/>
    <col min="9237" max="9237" width="14.44140625" style="2073" customWidth="1"/>
    <col min="9238" max="9238" width="13.5546875" style="2073" customWidth="1"/>
    <col min="9239" max="9239" width="14.109375" style="2073" customWidth="1"/>
    <col min="9240" max="9240" width="0" style="2073" hidden="1" customWidth="1"/>
    <col min="9241" max="9241" width="10" style="2073" customWidth="1"/>
    <col min="9242" max="9242" width="11.44140625" style="2073" customWidth="1"/>
    <col min="9243" max="9243" width="13.44140625" style="2073" customWidth="1"/>
    <col min="9244" max="9475" width="9.109375" style="2073"/>
    <col min="9476" max="9476" width="36.88671875" style="2073" customWidth="1"/>
    <col min="9477" max="9477" width="8.109375" style="2073" customWidth="1"/>
    <col min="9478" max="9484" width="0" style="2073" hidden="1" customWidth="1"/>
    <col min="9485" max="9485" width="14.44140625" style="2073" customWidth="1"/>
    <col min="9486" max="9486" width="13.5546875" style="2073" customWidth="1"/>
    <col min="9487" max="9487" width="13.88671875" style="2073" customWidth="1"/>
    <col min="9488" max="9488" width="14.44140625" style="2073" customWidth="1"/>
    <col min="9489" max="9489" width="14" style="2073" customWidth="1"/>
    <col min="9490" max="9490" width="13.33203125" style="2073" customWidth="1"/>
    <col min="9491" max="9491" width="13.6640625" style="2073" customWidth="1"/>
    <col min="9492" max="9492" width="13.33203125" style="2073" customWidth="1"/>
    <col min="9493" max="9493" width="14.44140625" style="2073" customWidth="1"/>
    <col min="9494" max="9494" width="13.5546875" style="2073" customWidth="1"/>
    <col min="9495" max="9495" width="14.109375" style="2073" customWidth="1"/>
    <col min="9496" max="9496" width="0" style="2073" hidden="1" customWidth="1"/>
    <col min="9497" max="9497" width="10" style="2073" customWidth="1"/>
    <col min="9498" max="9498" width="11.44140625" style="2073" customWidth="1"/>
    <col min="9499" max="9499" width="13.44140625" style="2073" customWidth="1"/>
    <col min="9500" max="9731" width="9.109375" style="2073"/>
    <col min="9732" max="9732" width="36.88671875" style="2073" customWidth="1"/>
    <col min="9733" max="9733" width="8.109375" style="2073" customWidth="1"/>
    <col min="9734" max="9740" width="0" style="2073" hidden="1" customWidth="1"/>
    <col min="9741" max="9741" width="14.44140625" style="2073" customWidth="1"/>
    <col min="9742" max="9742" width="13.5546875" style="2073" customWidth="1"/>
    <col min="9743" max="9743" width="13.88671875" style="2073" customWidth="1"/>
    <col min="9744" max="9744" width="14.44140625" style="2073" customWidth="1"/>
    <col min="9745" max="9745" width="14" style="2073" customWidth="1"/>
    <col min="9746" max="9746" width="13.33203125" style="2073" customWidth="1"/>
    <col min="9747" max="9747" width="13.6640625" style="2073" customWidth="1"/>
    <col min="9748" max="9748" width="13.33203125" style="2073" customWidth="1"/>
    <col min="9749" max="9749" width="14.44140625" style="2073" customWidth="1"/>
    <col min="9750" max="9750" width="13.5546875" style="2073" customWidth="1"/>
    <col min="9751" max="9751" width="14.109375" style="2073" customWidth="1"/>
    <col min="9752" max="9752" width="0" style="2073" hidden="1" customWidth="1"/>
    <col min="9753" max="9753" width="10" style="2073" customWidth="1"/>
    <col min="9754" max="9754" width="11.44140625" style="2073" customWidth="1"/>
    <col min="9755" max="9755" width="13.44140625" style="2073" customWidth="1"/>
    <col min="9756" max="9987" width="9.109375" style="2073"/>
    <col min="9988" max="9988" width="36.88671875" style="2073" customWidth="1"/>
    <col min="9989" max="9989" width="8.109375" style="2073" customWidth="1"/>
    <col min="9990" max="9996" width="0" style="2073" hidden="1" customWidth="1"/>
    <col min="9997" max="9997" width="14.44140625" style="2073" customWidth="1"/>
    <col min="9998" max="9998" width="13.5546875" style="2073" customWidth="1"/>
    <col min="9999" max="9999" width="13.88671875" style="2073" customWidth="1"/>
    <col min="10000" max="10000" width="14.44140625" style="2073" customWidth="1"/>
    <col min="10001" max="10001" width="14" style="2073" customWidth="1"/>
    <col min="10002" max="10002" width="13.33203125" style="2073" customWidth="1"/>
    <col min="10003" max="10003" width="13.6640625" style="2073" customWidth="1"/>
    <col min="10004" max="10004" width="13.33203125" style="2073" customWidth="1"/>
    <col min="10005" max="10005" width="14.44140625" style="2073" customWidth="1"/>
    <col min="10006" max="10006" width="13.5546875" style="2073" customWidth="1"/>
    <col min="10007" max="10007" width="14.109375" style="2073" customWidth="1"/>
    <col min="10008" max="10008" width="0" style="2073" hidden="1" customWidth="1"/>
    <col min="10009" max="10009" width="10" style="2073" customWidth="1"/>
    <col min="10010" max="10010" width="11.44140625" style="2073" customWidth="1"/>
    <col min="10011" max="10011" width="13.44140625" style="2073" customWidth="1"/>
    <col min="10012" max="10243" width="9.109375" style="2073"/>
    <col min="10244" max="10244" width="36.88671875" style="2073" customWidth="1"/>
    <col min="10245" max="10245" width="8.109375" style="2073" customWidth="1"/>
    <col min="10246" max="10252" width="0" style="2073" hidden="1" customWidth="1"/>
    <col min="10253" max="10253" width="14.44140625" style="2073" customWidth="1"/>
    <col min="10254" max="10254" width="13.5546875" style="2073" customWidth="1"/>
    <col min="10255" max="10255" width="13.88671875" style="2073" customWidth="1"/>
    <col min="10256" max="10256" width="14.44140625" style="2073" customWidth="1"/>
    <col min="10257" max="10257" width="14" style="2073" customWidth="1"/>
    <col min="10258" max="10258" width="13.33203125" style="2073" customWidth="1"/>
    <col min="10259" max="10259" width="13.6640625" style="2073" customWidth="1"/>
    <col min="10260" max="10260" width="13.33203125" style="2073" customWidth="1"/>
    <col min="10261" max="10261" width="14.44140625" style="2073" customWidth="1"/>
    <col min="10262" max="10262" width="13.5546875" style="2073" customWidth="1"/>
    <col min="10263" max="10263" width="14.109375" style="2073" customWidth="1"/>
    <col min="10264" max="10264" width="0" style="2073" hidden="1" customWidth="1"/>
    <col min="10265" max="10265" width="10" style="2073" customWidth="1"/>
    <col min="10266" max="10266" width="11.44140625" style="2073" customWidth="1"/>
    <col min="10267" max="10267" width="13.44140625" style="2073" customWidth="1"/>
    <col min="10268" max="10499" width="9.109375" style="2073"/>
    <col min="10500" max="10500" width="36.88671875" style="2073" customWidth="1"/>
    <col min="10501" max="10501" width="8.109375" style="2073" customWidth="1"/>
    <col min="10502" max="10508" width="0" style="2073" hidden="1" customWidth="1"/>
    <col min="10509" max="10509" width="14.44140625" style="2073" customWidth="1"/>
    <col min="10510" max="10510" width="13.5546875" style="2073" customWidth="1"/>
    <col min="10511" max="10511" width="13.88671875" style="2073" customWidth="1"/>
    <col min="10512" max="10512" width="14.44140625" style="2073" customWidth="1"/>
    <col min="10513" max="10513" width="14" style="2073" customWidth="1"/>
    <col min="10514" max="10514" width="13.33203125" style="2073" customWidth="1"/>
    <col min="10515" max="10515" width="13.6640625" style="2073" customWidth="1"/>
    <col min="10516" max="10516" width="13.33203125" style="2073" customWidth="1"/>
    <col min="10517" max="10517" width="14.44140625" style="2073" customWidth="1"/>
    <col min="10518" max="10518" width="13.5546875" style="2073" customWidth="1"/>
    <col min="10519" max="10519" width="14.109375" style="2073" customWidth="1"/>
    <col min="10520" max="10520" width="0" style="2073" hidden="1" customWidth="1"/>
    <col min="10521" max="10521" width="10" style="2073" customWidth="1"/>
    <col min="10522" max="10522" width="11.44140625" style="2073" customWidth="1"/>
    <col min="10523" max="10523" width="13.44140625" style="2073" customWidth="1"/>
    <col min="10524" max="10755" width="9.109375" style="2073"/>
    <col min="10756" max="10756" width="36.88671875" style="2073" customWidth="1"/>
    <col min="10757" max="10757" width="8.109375" style="2073" customWidth="1"/>
    <col min="10758" max="10764" width="0" style="2073" hidden="1" customWidth="1"/>
    <col min="10765" max="10765" width="14.44140625" style="2073" customWidth="1"/>
    <col min="10766" max="10766" width="13.5546875" style="2073" customWidth="1"/>
    <col min="10767" max="10767" width="13.88671875" style="2073" customWidth="1"/>
    <col min="10768" max="10768" width="14.44140625" style="2073" customWidth="1"/>
    <col min="10769" max="10769" width="14" style="2073" customWidth="1"/>
    <col min="10770" max="10770" width="13.33203125" style="2073" customWidth="1"/>
    <col min="10771" max="10771" width="13.6640625" style="2073" customWidth="1"/>
    <col min="10772" max="10772" width="13.33203125" style="2073" customWidth="1"/>
    <col min="10773" max="10773" width="14.44140625" style="2073" customWidth="1"/>
    <col min="10774" max="10774" width="13.5546875" style="2073" customWidth="1"/>
    <col min="10775" max="10775" width="14.109375" style="2073" customWidth="1"/>
    <col min="10776" max="10776" width="0" style="2073" hidden="1" customWidth="1"/>
    <col min="10777" max="10777" width="10" style="2073" customWidth="1"/>
    <col min="10778" max="10778" width="11.44140625" style="2073" customWidth="1"/>
    <col min="10779" max="10779" width="13.44140625" style="2073" customWidth="1"/>
    <col min="10780" max="11011" width="9.109375" style="2073"/>
    <col min="11012" max="11012" width="36.88671875" style="2073" customWidth="1"/>
    <col min="11013" max="11013" width="8.109375" style="2073" customWidth="1"/>
    <col min="11014" max="11020" width="0" style="2073" hidden="1" customWidth="1"/>
    <col min="11021" max="11021" width="14.44140625" style="2073" customWidth="1"/>
    <col min="11022" max="11022" width="13.5546875" style="2073" customWidth="1"/>
    <col min="11023" max="11023" width="13.88671875" style="2073" customWidth="1"/>
    <col min="11024" max="11024" width="14.44140625" style="2073" customWidth="1"/>
    <col min="11025" max="11025" width="14" style="2073" customWidth="1"/>
    <col min="11026" max="11026" width="13.33203125" style="2073" customWidth="1"/>
    <col min="11027" max="11027" width="13.6640625" style="2073" customWidth="1"/>
    <col min="11028" max="11028" width="13.33203125" style="2073" customWidth="1"/>
    <col min="11029" max="11029" width="14.44140625" style="2073" customWidth="1"/>
    <col min="11030" max="11030" width="13.5546875" style="2073" customWidth="1"/>
    <col min="11031" max="11031" width="14.109375" style="2073" customWidth="1"/>
    <col min="11032" max="11032" width="0" style="2073" hidden="1" customWidth="1"/>
    <col min="11033" max="11033" width="10" style="2073" customWidth="1"/>
    <col min="11034" max="11034" width="11.44140625" style="2073" customWidth="1"/>
    <col min="11035" max="11035" width="13.44140625" style="2073" customWidth="1"/>
    <col min="11036" max="11267" width="9.109375" style="2073"/>
    <col min="11268" max="11268" width="36.88671875" style="2073" customWidth="1"/>
    <col min="11269" max="11269" width="8.109375" style="2073" customWidth="1"/>
    <col min="11270" max="11276" width="0" style="2073" hidden="1" customWidth="1"/>
    <col min="11277" max="11277" width="14.44140625" style="2073" customWidth="1"/>
    <col min="11278" max="11278" width="13.5546875" style="2073" customWidth="1"/>
    <col min="11279" max="11279" width="13.88671875" style="2073" customWidth="1"/>
    <col min="11280" max="11280" width="14.44140625" style="2073" customWidth="1"/>
    <col min="11281" max="11281" width="14" style="2073" customWidth="1"/>
    <col min="11282" max="11282" width="13.33203125" style="2073" customWidth="1"/>
    <col min="11283" max="11283" width="13.6640625" style="2073" customWidth="1"/>
    <col min="11284" max="11284" width="13.33203125" style="2073" customWidth="1"/>
    <col min="11285" max="11285" width="14.44140625" style="2073" customWidth="1"/>
    <col min="11286" max="11286" width="13.5546875" style="2073" customWidth="1"/>
    <col min="11287" max="11287" width="14.109375" style="2073" customWidth="1"/>
    <col min="11288" max="11288" width="0" style="2073" hidden="1" customWidth="1"/>
    <col min="11289" max="11289" width="10" style="2073" customWidth="1"/>
    <col min="11290" max="11290" width="11.44140625" style="2073" customWidth="1"/>
    <col min="11291" max="11291" width="13.44140625" style="2073" customWidth="1"/>
    <col min="11292" max="11523" width="9.109375" style="2073"/>
    <col min="11524" max="11524" width="36.88671875" style="2073" customWidth="1"/>
    <col min="11525" max="11525" width="8.109375" style="2073" customWidth="1"/>
    <col min="11526" max="11532" width="0" style="2073" hidden="1" customWidth="1"/>
    <col min="11533" max="11533" width="14.44140625" style="2073" customWidth="1"/>
    <col min="11534" max="11534" width="13.5546875" style="2073" customWidth="1"/>
    <col min="11535" max="11535" width="13.88671875" style="2073" customWidth="1"/>
    <col min="11536" max="11536" width="14.44140625" style="2073" customWidth="1"/>
    <col min="11537" max="11537" width="14" style="2073" customWidth="1"/>
    <col min="11538" max="11538" width="13.33203125" style="2073" customWidth="1"/>
    <col min="11539" max="11539" width="13.6640625" style="2073" customWidth="1"/>
    <col min="11540" max="11540" width="13.33203125" style="2073" customWidth="1"/>
    <col min="11541" max="11541" width="14.44140625" style="2073" customWidth="1"/>
    <col min="11542" max="11542" width="13.5546875" style="2073" customWidth="1"/>
    <col min="11543" max="11543" width="14.109375" style="2073" customWidth="1"/>
    <col min="11544" max="11544" width="0" style="2073" hidden="1" customWidth="1"/>
    <col min="11545" max="11545" width="10" style="2073" customWidth="1"/>
    <col min="11546" max="11546" width="11.44140625" style="2073" customWidth="1"/>
    <col min="11547" max="11547" width="13.44140625" style="2073" customWidth="1"/>
    <col min="11548" max="11779" width="9.109375" style="2073"/>
    <col min="11780" max="11780" width="36.88671875" style="2073" customWidth="1"/>
    <col min="11781" max="11781" width="8.109375" style="2073" customWidth="1"/>
    <col min="11782" max="11788" width="0" style="2073" hidden="1" customWidth="1"/>
    <col min="11789" max="11789" width="14.44140625" style="2073" customWidth="1"/>
    <col min="11790" max="11790" width="13.5546875" style="2073" customWidth="1"/>
    <col min="11791" max="11791" width="13.88671875" style="2073" customWidth="1"/>
    <col min="11792" max="11792" width="14.44140625" style="2073" customWidth="1"/>
    <col min="11793" max="11793" width="14" style="2073" customWidth="1"/>
    <col min="11794" max="11794" width="13.33203125" style="2073" customWidth="1"/>
    <col min="11795" max="11795" width="13.6640625" style="2073" customWidth="1"/>
    <col min="11796" max="11796" width="13.33203125" style="2073" customWidth="1"/>
    <col min="11797" max="11797" width="14.44140625" style="2073" customWidth="1"/>
    <col min="11798" max="11798" width="13.5546875" style="2073" customWidth="1"/>
    <col min="11799" max="11799" width="14.109375" style="2073" customWidth="1"/>
    <col min="11800" max="11800" width="0" style="2073" hidden="1" customWidth="1"/>
    <col min="11801" max="11801" width="10" style="2073" customWidth="1"/>
    <col min="11802" max="11802" width="11.44140625" style="2073" customWidth="1"/>
    <col min="11803" max="11803" width="13.44140625" style="2073" customWidth="1"/>
    <col min="11804" max="12035" width="9.109375" style="2073"/>
    <col min="12036" max="12036" width="36.88671875" style="2073" customWidth="1"/>
    <col min="12037" max="12037" width="8.109375" style="2073" customWidth="1"/>
    <col min="12038" max="12044" width="0" style="2073" hidden="1" customWidth="1"/>
    <col min="12045" max="12045" width="14.44140625" style="2073" customWidth="1"/>
    <col min="12046" max="12046" width="13.5546875" style="2073" customWidth="1"/>
    <col min="12047" max="12047" width="13.88671875" style="2073" customWidth="1"/>
    <col min="12048" max="12048" width="14.44140625" style="2073" customWidth="1"/>
    <col min="12049" max="12049" width="14" style="2073" customWidth="1"/>
    <col min="12050" max="12050" width="13.33203125" style="2073" customWidth="1"/>
    <col min="12051" max="12051" width="13.6640625" style="2073" customWidth="1"/>
    <col min="12052" max="12052" width="13.33203125" style="2073" customWidth="1"/>
    <col min="12053" max="12053" width="14.44140625" style="2073" customWidth="1"/>
    <col min="12054" max="12054" width="13.5546875" style="2073" customWidth="1"/>
    <col min="12055" max="12055" width="14.109375" style="2073" customWidth="1"/>
    <col min="12056" max="12056" width="0" style="2073" hidden="1" customWidth="1"/>
    <col min="12057" max="12057" width="10" style="2073" customWidth="1"/>
    <col min="12058" max="12058" width="11.44140625" style="2073" customWidth="1"/>
    <col min="12059" max="12059" width="13.44140625" style="2073" customWidth="1"/>
    <col min="12060" max="12291" width="9.109375" style="2073"/>
    <col min="12292" max="12292" width="36.88671875" style="2073" customWidth="1"/>
    <col min="12293" max="12293" width="8.109375" style="2073" customWidth="1"/>
    <col min="12294" max="12300" width="0" style="2073" hidden="1" customWidth="1"/>
    <col min="12301" max="12301" width="14.44140625" style="2073" customWidth="1"/>
    <col min="12302" max="12302" width="13.5546875" style="2073" customWidth="1"/>
    <col min="12303" max="12303" width="13.88671875" style="2073" customWidth="1"/>
    <col min="12304" max="12304" width="14.44140625" style="2073" customWidth="1"/>
    <col min="12305" max="12305" width="14" style="2073" customWidth="1"/>
    <col min="12306" max="12306" width="13.33203125" style="2073" customWidth="1"/>
    <col min="12307" max="12307" width="13.6640625" style="2073" customWidth="1"/>
    <col min="12308" max="12308" width="13.33203125" style="2073" customWidth="1"/>
    <col min="12309" max="12309" width="14.44140625" style="2073" customWidth="1"/>
    <col min="12310" max="12310" width="13.5546875" style="2073" customWidth="1"/>
    <col min="12311" max="12311" width="14.109375" style="2073" customWidth="1"/>
    <col min="12312" max="12312" width="0" style="2073" hidden="1" customWidth="1"/>
    <col min="12313" max="12313" width="10" style="2073" customWidth="1"/>
    <col min="12314" max="12314" width="11.44140625" style="2073" customWidth="1"/>
    <col min="12315" max="12315" width="13.44140625" style="2073" customWidth="1"/>
    <col min="12316" max="12547" width="9.109375" style="2073"/>
    <col min="12548" max="12548" width="36.88671875" style="2073" customWidth="1"/>
    <col min="12549" max="12549" width="8.109375" style="2073" customWidth="1"/>
    <col min="12550" max="12556" width="0" style="2073" hidden="1" customWidth="1"/>
    <col min="12557" max="12557" width="14.44140625" style="2073" customWidth="1"/>
    <col min="12558" max="12558" width="13.5546875" style="2073" customWidth="1"/>
    <col min="12559" max="12559" width="13.88671875" style="2073" customWidth="1"/>
    <col min="12560" max="12560" width="14.44140625" style="2073" customWidth="1"/>
    <col min="12561" max="12561" width="14" style="2073" customWidth="1"/>
    <col min="12562" max="12562" width="13.33203125" style="2073" customWidth="1"/>
    <col min="12563" max="12563" width="13.6640625" style="2073" customWidth="1"/>
    <col min="12564" max="12564" width="13.33203125" style="2073" customWidth="1"/>
    <col min="12565" max="12565" width="14.44140625" style="2073" customWidth="1"/>
    <col min="12566" max="12566" width="13.5546875" style="2073" customWidth="1"/>
    <col min="12567" max="12567" width="14.109375" style="2073" customWidth="1"/>
    <col min="12568" max="12568" width="0" style="2073" hidden="1" customWidth="1"/>
    <col min="12569" max="12569" width="10" style="2073" customWidth="1"/>
    <col min="12570" max="12570" width="11.44140625" style="2073" customWidth="1"/>
    <col min="12571" max="12571" width="13.44140625" style="2073" customWidth="1"/>
    <col min="12572" max="12803" width="9.109375" style="2073"/>
    <col min="12804" max="12804" width="36.88671875" style="2073" customWidth="1"/>
    <col min="12805" max="12805" width="8.109375" style="2073" customWidth="1"/>
    <col min="12806" max="12812" width="0" style="2073" hidden="1" customWidth="1"/>
    <col min="12813" max="12813" width="14.44140625" style="2073" customWidth="1"/>
    <col min="12814" max="12814" width="13.5546875" style="2073" customWidth="1"/>
    <col min="12815" max="12815" width="13.88671875" style="2073" customWidth="1"/>
    <col min="12816" max="12816" width="14.44140625" style="2073" customWidth="1"/>
    <col min="12817" max="12817" width="14" style="2073" customWidth="1"/>
    <col min="12818" max="12818" width="13.33203125" style="2073" customWidth="1"/>
    <col min="12819" max="12819" width="13.6640625" style="2073" customWidth="1"/>
    <col min="12820" max="12820" width="13.33203125" style="2073" customWidth="1"/>
    <col min="12821" max="12821" width="14.44140625" style="2073" customWidth="1"/>
    <col min="12822" max="12822" width="13.5546875" style="2073" customWidth="1"/>
    <col min="12823" max="12823" width="14.109375" style="2073" customWidth="1"/>
    <col min="12824" max="12824" width="0" style="2073" hidden="1" customWidth="1"/>
    <col min="12825" max="12825" width="10" style="2073" customWidth="1"/>
    <col min="12826" max="12826" width="11.44140625" style="2073" customWidth="1"/>
    <col min="12827" max="12827" width="13.44140625" style="2073" customWidth="1"/>
    <col min="12828" max="13059" width="9.109375" style="2073"/>
    <col min="13060" max="13060" width="36.88671875" style="2073" customWidth="1"/>
    <col min="13061" max="13061" width="8.109375" style="2073" customWidth="1"/>
    <col min="13062" max="13068" width="0" style="2073" hidden="1" customWidth="1"/>
    <col min="13069" max="13069" width="14.44140625" style="2073" customWidth="1"/>
    <col min="13070" max="13070" width="13.5546875" style="2073" customWidth="1"/>
    <col min="13071" max="13071" width="13.88671875" style="2073" customWidth="1"/>
    <col min="13072" max="13072" width="14.44140625" style="2073" customWidth="1"/>
    <col min="13073" max="13073" width="14" style="2073" customWidth="1"/>
    <col min="13074" max="13074" width="13.33203125" style="2073" customWidth="1"/>
    <col min="13075" max="13075" width="13.6640625" style="2073" customWidth="1"/>
    <col min="13076" max="13076" width="13.33203125" style="2073" customWidth="1"/>
    <col min="13077" max="13077" width="14.44140625" style="2073" customWidth="1"/>
    <col min="13078" max="13078" width="13.5546875" style="2073" customWidth="1"/>
    <col min="13079" max="13079" width="14.109375" style="2073" customWidth="1"/>
    <col min="13080" max="13080" width="0" style="2073" hidden="1" customWidth="1"/>
    <col min="13081" max="13081" width="10" style="2073" customWidth="1"/>
    <col min="13082" max="13082" width="11.44140625" style="2073" customWidth="1"/>
    <col min="13083" max="13083" width="13.44140625" style="2073" customWidth="1"/>
    <col min="13084" max="13315" width="9.109375" style="2073"/>
    <col min="13316" max="13316" width="36.88671875" style="2073" customWidth="1"/>
    <col min="13317" max="13317" width="8.109375" style="2073" customWidth="1"/>
    <col min="13318" max="13324" width="0" style="2073" hidden="1" customWidth="1"/>
    <col min="13325" max="13325" width="14.44140625" style="2073" customWidth="1"/>
    <col min="13326" max="13326" width="13.5546875" style="2073" customWidth="1"/>
    <col min="13327" max="13327" width="13.88671875" style="2073" customWidth="1"/>
    <col min="13328" max="13328" width="14.44140625" style="2073" customWidth="1"/>
    <col min="13329" max="13329" width="14" style="2073" customWidth="1"/>
    <col min="13330" max="13330" width="13.33203125" style="2073" customWidth="1"/>
    <col min="13331" max="13331" width="13.6640625" style="2073" customWidth="1"/>
    <col min="13332" max="13332" width="13.33203125" style="2073" customWidth="1"/>
    <col min="13333" max="13333" width="14.44140625" style="2073" customWidth="1"/>
    <col min="13334" max="13334" width="13.5546875" style="2073" customWidth="1"/>
    <col min="13335" max="13335" width="14.109375" style="2073" customWidth="1"/>
    <col min="13336" max="13336" width="0" style="2073" hidden="1" customWidth="1"/>
    <col min="13337" max="13337" width="10" style="2073" customWidth="1"/>
    <col min="13338" max="13338" width="11.44140625" style="2073" customWidth="1"/>
    <col min="13339" max="13339" width="13.44140625" style="2073" customWidth="1"/>
    <col min="13340" max="13571" width="9.109375" style="2073"/>
    <col min="13572" max="13572" width="36.88671875" style="2073" customWidth="1"/>
    <col min="13573" max="13573" width="8.109375" style="2073" customWidth="1"/>
    <col min="13574" max="13580" width="0" style="2073" hidden="1" customWidth="1"/>
    <col min="13581" max="13581" width="14.44140625" style="2073" customWidth="1"/>
    <col min="13582" max="13582" width="13.5546875" style="2073" customWidth="1"/>
    <col min="13583" max="13583" width="13.88671875" style="2073" customWidth="1"/>
    <col min="13584" max="13584" width="14.44140625" style="2073" customWidth="1"/>
    <col min="13585" max="13585" width="14" style="2073" customWidth="1"/>
    <col min="13586" max="13586" width="13.33203125" style="2073" customWidth="1"/>
    <col min="13587" max="13587" width="13.6640625" style="2073" customWidth="1"/>
    <col min="13588" max="13588" width="13.33203125" style="2073" customWidth="1"/>
    <col min="13589" max="13589" width="14.44140625" style="2073" customWidth="1"/>
    <col min="13590" max="13590" width="13.5546875" style="2073" customWidth="1"/>
    <col min="13591" max="13591" width="14.109375" style="2073" customWidth="1"/>
    <col min="13592" max="13592" width="0" style="2073" hidden="1" customWidth="1"/>
    <col min="13593" max="13593" width="10" style="2073" customWidth="1"/>
    <col min="13594" max="13594" width="11.44140625" style="2073" customWidth="1"/>
    <col min="13595" max="13595" width="13.44140625" style="2073" customWidth="1"/>
    <col min="13596" max="13827" width="9.109375" style="2073"/>
    <col min="13828" max="13828" width="36.88671875" style="2073" customWidth="1"/>
    <col min="13829" max="13829" width="8.109375" style="2073" customWidth="1"/>
    <col min="13830" max="13836" width="0" style="2073" hidden="1" customWidth="1"/>
    <col min="13837" max="13837" width="14.44140625" style="2073" customWidth="1"/>
    <col min="13838" max="13838" width="13.5546875" style="2073" customWidth="1"/>
    <col min="13839" max="13839" width="13.88671875" style="2073" customWidth="1"/>
    <col min="13840" max="13840" width="14.44140625" style="2073" customWidth="1"/>
    <col min="13841" max="13841" width="14" style="2073" customWidth="1"/>
    <col min="13842" max="13842" width="13.33203125" style="2073" customWidth="1"/>
    <col min="13843" max="13843" width="13.6640625" style="2073" customWidth="1"/>
    <col min="13844" max="13844" width="13.33203125" style="2073" customWidth="1"/>
    <col min="13845" max="13845" width="14.44140625" style="2073" customWidth="1"/>
    <col min="13846" max="13846" width="13.5546875" style="2073" customWidth="1"/>
    <col min="13847" max="13847" width="14.109375" style="2073" customWidth="1"/>
    <col min="13848" max="13848" width="0" style="2073" hidden="1" customWidth="1"/>
    <col min="13849" max="13849" width="10" style="2073" customWidth="1"/>
    <col min="13850" max="13850" width="11.44140625" style="2073" customWidth="1"/>
    <col min="13851" max="13851" width="13.44140625" style="2073" customWidth="1"/>
    <col min="13852" max="14083" width="9.109375" style="2073"/>
    <col min="14084" max="14084" width="36.88671875" style="2073" customWidth="1"/>
    <col min="14085" max="14085" width="8.109375" style="2073" customWidth="1"/>
    <col min="14086" max="14092" width="0" style="2073" hidden="1" customWidth="1"/>
    <col min="14093" max="14093" width="14.44140625" style="2073" customWidth="1"/>
    <col min="14094" max="14094" width="13.5546875" style="2073" customWidth="1"/>
    <col min="14095" max="14095" width="13.88671875" style="2073" customWidth="1"/>
    <col min="14096" max="14096" width="14.44140625" style="2073" customWidth="1"/>
    <col min="14097" max="14097" width="14" style="2073" customWidth="1"/>
    <col min="14098" max="14098" width="13.33203125" style="2073" customWidth="1"/>
    <col min="14099" max="14099" width="13.6640625" style="2073" customWidth="1"/>
    <col min="14100" max="14100" width="13.33203125" style="2073" customWidth="1"/>
    <col min="14101" max="14101" width="14.44140625" style="2073" customWidth="1"/>
    <col min="14102" max="14102" width="13.5546875" style="2073" customWidth="1"/>
    <col min="14103" max="14103" width="14.109375" style="2073" customWidth="1"/>
    <col min="14104" max="14104" width="0" style="2073" hidden="1" customWidth="1"/>
    <col min="14105" max="14105" width="10" style="2073" customWidth="1"/>
    <col min="14106" max="14106" width="11.44140625" style="2073" customWidth="1"/>
    <col min="14107" max="14107" width="13.44140625" style="2073" customWidth="1"/>
    <col min="14108" max="14339" width="9.109375" style="2073"/>
    <col min="14340" max="14340" width="36.88671875" style="2073" customWidth="1"/>
    <col min="14341" max="14341" width="8.109375" style="2073" customWidth="1"/>
    <col min="14342" max="14348" width="0" style="2073" hidden="1" customWidth="1"/>
    <col min="14349" max="14349" width="14.44140625" style="2073" customWidth="1"/>
    <col min="14350" max="14350" width="13.5546875" style="2073" customWidth="1"/>
    <col min="14351" max="14351" width="13.88671875" style="2073" customWidth="1"/>
    <col min="14352" max="14352" width="14.44140625" style="2073" customWidth="1"/>
    <col min="14353" max="14353" width="14" style="2073" customWidth="1"/>
    <col min="14354" max="14354" width="13.33203125" style="2073" customWidth="1"/>
    <col min="14355" max="14355" width="13.6640625" style="2073" customWidth="1"/>
    <col min="14356" max="14356" width="13.33203125" style="2073" customWidth="1"/>
    <col min="14357" max="14357" width="14.44140625" style="2073" customWidth="1"/>
    <col min="14358" max="14358" width="13.5546875" style="2073" customWidth="1"/>
    <col min="14359" max="14359" width="14.109375" style="2073" customWidth="1"/>
    <col min="14360" max="14360" width="0" style="2073" hidden="1" customWidth="1"/>
    <col min="14361" max="14361" width="10" style="2073" customWidth="1"/>
    <col min="14362" max="14362" width="11.44140625" style="2073" customWidth="1"/>
    <col min="14363" max="14363" width="13.44140625" style="2073" customWidth="1"/>
    <col min="14364" max="14595" width="9.109375" style="2073"/>
    <col min="14596" max="14596" width="36.88671875" style="2073" customWidth="1"/>
    <col min="14597" max="14597" width="8.109375" style="2073" customWidth="1"/>
    <col min="14598" max="14604" width="0" style="2073" hidden="1" customWidth="1"/>
    <col min="14605" max="14605" width="14.44140625" style="2073" customWidth="1"/>
    <col min="14606" max="14606" width="13.5546875" style="2073" customWidth="1"/>
    <col min="14607" max="14607" width="13.88671875" style="2073" customWidth="1"/>
    <col min="14608" max="14608" width="14.44140625" style="2073" customWidth="1"/>
    <col min="14609" max="14609" width="14" style="2073" customWidth="1"/>
    <col min="14610" max="14610" width="13.33203125" style="2073" customWidth="1"/>
    <col min="14611" max="14611" width="13.6640625" style="2073" customWidth="1"/>
    <col min="14612" max="14612" width="13.33203125" style="2073" customWidth="1"/>
    <col min="14613" max="14613" width="14.44140625" style="2073" customWidth="1"/>
    <col min="14614" max="14614" width="13.5546875" style="2073" customWidth="1"/>
    <col min="14615" max="14615" width="14.109375" style="2073" customWidth="1"/>
    <col min="14616" max="14616" width="0" style="2073" hidden="1" customWidth="1"/>
    <col min="14617" max="14617" width="10" style="2073" customWidth="1"/>
    <col min="14618" max="14618" width="11.44140625" style="2073" customWidth="1"/>
    <col min="14619" max="14619" width="13.44140625" style="2073" customWidth="1"/>
    <col min="14620" max="14851" width="9.109375" style="2073"/>
    <col min="14852" max="14852" width="36.88671875" style="2073" customWidth="1"/>
    <col min="14853" max="14853" width="8.109375" style="2073" customWidth="1"/>
    <col min="14854" max="14860" width="0" style="2073" hidden="1" customWidth="1"/>
    <col min="14861" max="14861" width="14.44140625" style="2073" customWidth="1"/>
    <col min="14862" max="14862" width="13.5546875" style="2073" customWidth="1"/>
    <col min="14863" max="14863" width="13.88671875" style="2073" customWidth="1"/>
    <col min="14864" max="14864" width="14.44140625" style="2073" customWidth="1"/>
    <col min="14865" max="14865" width="14" style="2073" customWidth="1"/>
    <col min="14866" max="14866" width="13.33203125" style="2073" customWidth="1"/>
    <col min="14867" max="14867" width="13.6640625" style="2073" customWidth="1"/>
    <col min="14868" max="14868" width="13.33203125" style="2073" customWidth="1"/>
    <col min="14869" max="14869" width="14.44140625" style="2073" customWidth="1"/>
    <col min="14870" max="14870" width="13.5546875" style="2073" customWidth="1"/>
    <col min="14871" max="14871" width="14.109375" style="2073" customWidth="1"/>
    <col min="14872" max="14872" width="0" style="2073" hidden="1" customWidth="1"/>
    <col min="14873" max="14873" width="10" style="2073" customWidth="1"/>
    <col min="14874" max="14874" width="11.44140625" style="2073" customWidth="1"/>
    <col min="14875" max="14875" width="13.44140625" style="2073" customWidth="1"/>
    <col min="14876" max="15107" width="9.109375" style="2073"/>
    <col min="15108" max="15108" width="36.88671875" style="2073" customWidth="1"/>
    <col min="15109" max="15109" width="8.109375" style="2073" customWidth="1"/>
    <col min="15110" max="15116" width="0" style="2073" hidden="1" customWidth="1"/>
    <col min="15117" max="15117" width="14.44140625" style="2073" customWidth="1"/>
    <col min="15118" max="15118" width="13.5546875" style="2073" customWidth="1"/>
    <col min="15119" max="15119" width="13.88671875" style="2073" customWidth="1"/>
    <col min="15120" max="15120" width="14.44140625" style="2073" customWidth="1"/>
    <col min="15121" max="15121" width="14" style="2073" customWidth="1"/>
    <col min="15122" max="15122" width="13.33203125" style="2073" customWidth="1"/>
    <col min="15123" max="15123" width="13.6640625" style="2073" customWidth="1"/>
    <col min="15124" max="15124" width="13.33203125" style="2073" customWidth="1"/>
    <col min="15125" max="15125" width="14.44140625" style="2073" customWidth="1"/>
    <col min="15126" max="15126" width="13.5546875" style="2073" customWidth="1"/>
    <col min="15127" max="15127" width="14.109375" style="2073" customWidth="1"/>
    <col min="15128" max="15128" width="0" style="2073" hidden="1" customWidth="1"/>
    <col min="15129" max="15129" width="10" style="2073" customWidth="1"/>
    <col min="15130" max="15130" width="11.44140625" style="2073" customWidth="1"/>
    <col min="15131" max="15131" width="13.44140625" style="2073" customWidth="1"/>
    <col min="15132" max="15363" width="9.109375" style="2073"/>
    <col min="15364" max="15364" width="36.88671875" style="2073" customWidth="1"/>
    <col min="15365" max="15365" width="8.109375" style="2073" customWidth="1"/>
    <col min="15366" max="15372" width="0" style="2073" hidden="1" customWidth="1"/>
    <col min="15373" max="15373" width="14.44140625" style="2073" customWidth="1"/>
    <col min="15374" max="15374" width="13.5546875" style="2073" customWidth="1"/>
    <col min="15375" max="15375" width="13.88671875" style="2073" customWidth="1"/>
    <col min="15376" max="15376" width="14.44140625" style="2073" customWidth="1"/>
    <col min="15377" max="15377" width="14" style="2073" customWidth="1"/>
    <col min="15378" max="15378" width="13.33203125" style="2073" customWidth="1"/>
    <col min="15379" max="15379" width="13.6640625" style="2073" customWidth="1"/>
    <col min="15380" max="15380" width="13.33203125" style="2073" customWidth="1"/>
    <col min="15381" max="15381" width="14.44140625" style="2073" customWidth="1"/>
    <col min="15382" max="15382" width="13.5546875" style="2073" customWidth="1"/>
    <col min="15383" max="15383" width="14.109375" style="2073" customWidth="1"/>
    <col min="15384" max="15384" width="0" style="2073" hidden="1" customWidth="1"/>
    <col min="15385" max="15385" width="10" style="2073" customWidth="1"/>
    <col min="15386" max="15386" width="11.44140625" style="2073" customWidth="1"/>
    <col min="15387" max="15387" width="13.44140625" style="2073" customWidth="1"/>
    <col min="15388" max="15619" width="9.109375" style="2073"/>
    <col min="15620" max="15620" width="36.88671875" style="2073" customWidth="1"/>
    <col min="15621" max="15621" width="8.109375" style="2073" customWidth="1"/>
    <col min="15622" max="15628" width="0" style="2073" hidden="1" customWidth="1"/>
    <col min="15629" max="15629" width="14.44140625" style="2073" customWidth="1"/>
    <col min="15630" max="15630" width="13.5546875" style="2073" customWidth="1"/>
    <col min="15631" max="15631" width="13.88671875" style="2073" customWidth="1"/>
    <col min="15632" max="15632" width="14.44140625" style="2073" customWidth="1"/>
    <col min="15633" max="15633" width="14" style="2073" customWidth="1"/>
    <col min="15634" max="15634" width="13.33203125" style="2073" customWidth="1"/>
    <col min="15635" max="15635" width="13.6640625" style="2073" customWidth="1"/>
    <col min="15636" max="15636" width="13.33203125" style="2073" customWidth="1"/>
    <col min="15637" max="15637" width="14.44140625" style="2073" customWidth="1"/>
    <col min="15638" max="15638" width="13.5546875" style="2073" customWidth="1"/>
    <col min="15639" max="15639" width="14.109375" style="2073" customWidth="1"/>
    <col min="15640" max="15640" width="0" style="2073" hidden="1" customWidth="1"/>
    <col min="15641" max="15641" width="10" style="2073" customWidth="1"/>
    <col min="15642" max="15642" width="11.44140625" style="2073" customWidth="1"/>
    <col min="15643" max="15643" width="13.44140625" style="2073" customWidth="1"/>
    <col min="15644" max="15875" width="9.109375" style="2073"/>
    <col min="15876" max="15876" width="36.88671875" style="2073" customWidth="1"/>
    <col min="15877" max="15877" width="8.109375" style="2073" customWidth="1"/>
    <col min="15878" max="15884" width="0" style="2073" hidden="1" customWidth="1"/>
    <col min="15885" max="15885" width="14.44140625" style="2073" customWidth="1"/>
    <col min="15886" max="15886" width="13.5546875" style="2073" customWidth="1"/>
    <col min="15887" max="15887" width="13.88671875" style="2073" customWidth="1"/>
    <col min="15888" max="15888" width="14.44140625" style="2073" customWidth="1"/>
    <col min="15889" max="15889" width="14" style="2073" customWidth="1"/>
    <col min="15890" max="15890" width="13.33203125" style="2073" customWidth="1"/>
    <col min="15891" max="15891" width="13.6640625" style="2073" customWidth="1"/>
    <col min="15892" max="15892" width="13.33203125" style="2073" customWidth="1"/>
    <col min="15893" max="15893" width="14.44140625" style="2073" customWidth="1"/>
    <col min="15894" max="15894" width="13.5546875" style="2073" customWidth="1"/>
    <col min="15895" max="15895" width="14.109375" style="2073" customWidth="1"/>
    <col min="15896" max="15896" width="0" style="2073" hidden="1" customWidth="1"/>
    <col min="15897" max="15897" width="10" style="2073" customWidth="1"/>
    <col min="15898" max="15898" width="11.44140625" style="2073" customWidth="1"/>
    <col min="15899" max="15899" width="13.44140625" style="2073" customWidth="1"/>
    <col min="15900" max="16131" width="9.109375" style="2073"/>
    <col min="16132" max="16132" width="36.88671875" style="2073" customWidth="1"/>
    <col min="16133" max="16133" width="8.109375" style="2073" customWidth="1"/>
    <col min="16134" max="16140" width="0" style="2073" hidden="1" customWidth="1"/>
    <col min="16141" max="16141" width="14.44140625" style="2073" customWidth="1"/>
    <col min="16142" max="16142" width="13.5546875" style="2073" customWidth="1"/>
    <col min="16143" max="16143" width="13.88671875" style="2073" customWidth="1"/>
    <col min="16144" max="16144" width="14.44140625" style="2073" customWidth="1"/>
    <col min="16145" max="16145" width="14" style="2073" customWidth="1"/>
    <col min="16146" max="16146" width="13.33203125" style="2073" customWidth="1"/>
    <col min="16147" max="16147" width="13.6640625" style="2073" customWidth="1"/>
    <col min="16148" max="16148" width="13.33203125" style="2073" customWidth="1"/>
    <col min="16149" max="16149" width="14.44140625" style="2073" customWidth="1"/>
    <col min="16150" max="16150" width="13.5546875" style="2073" customWidth="1"/>
    <col min="16151" max="16151" width="14.109375" style="2073" customWidth="1"/>
    <col min="16152" max="16152" width="0" style="2073" hidden="1" customWidth="1"/>
    <col min="16153" max="16153" width="10" style="2073" customWidth="1"/>
    <col min="16154" max="16154" width="11.44140625" style="2073" customWidth="1"/>
    <col min="16155" max="16155" width="13.44140625" style="2073" customWidth="1"/>
    <col min="16156" max="16384" width="9.109375" style="2073"/>
  </cols>
  <sheetData>
    <row r="1" spans="1:28" ht="18">
      <c r="A1" s="3041" t="s">
        <v>2837</v>
      </c>
      <c r="B1" s="2998"/>
      <c r="C1" s="2998"/>
      <c r="D1" s="2998"/>
      <c r="E1" s="2998"/>
      <c r="F1" s="2998"/>
      <c r="G1" s="2998"/>
      <c r="H1" s="2998"/>
      <c r="I1" s="2998"/>
      <c r="J1" s="2998"/>
      <c r="K1" s="2998"/>
      <c r="L1" s="3006"/>
      <c r="M1" s="3006"/>
      <c r="N1" s="2998"/>
      <c r="O1" s="2998"/>
      <c r="P1" s="2998"/>
      <c r="Q1" s="2998"/>
      <c r="R1" s="2998"/>
      <c r="S1" s="2998"/>
      <c r="T1" s="2998"/>
      <c r="U1" s="2998"/>
      <c r="V1" s="2998"/>
      <c r="W1" s="2981"/>
      <c r="X1" s="2341"/>
      <c r="Y1" s="2341"/>
    </row>
    <row r="2" spans="1:28" ht="18">
      <c r="A2" s="3041" t="s">
        <v>2530</v>
      </c>
      <c r="B2" s="2998"/>
      <c r="C2" s="2998"/>
      <c r="D2" s="2998"/>
      <c r="E2" s="2998"/>
      <c r="F2" s="2998"/>
      <c r="G2" s="2998"/>
      <c r="H2" s="2998"/>
      <c r="I2" s="2998"/>
      <c r="J2" s="2998"/>
      <c r="K2" s="2998"/>
      <c r="L2" s="3006"/>
      <c r="M2" s="3006"/>
      <c r="N2" s="2998"/>
      <c r="O2" s="2998"/>
      <c r="P2" s="2998"/>
      <c r="Q2" s="2998"/>
      <c r="R2" s="2998"/>
      <c r="S2" s="2998"/>
      <c r="T2" s="2998"/>
      <c r="U2" s="2998"/>
      <c r="V2" s="2998"/>
      <c r="W2" s="2981"/>
      <c r="X2" s="2341"/>
    </row>
    <row r="3" spans="1:28" ht="18">
      <c r="A3" s="3041" t="s">
        <v>2966</v>
      </c>
      <c r="B3" s="2998"/>
      <c r="C3" s="2998"/>
      <c r="D3" s="2998"/>
      <c r="E3" s="2998"/>
      <c r="F3" s="2998"/>
      <c r="G3" s="2998"/>
      <c r="H3" s="2998"/>
      <c r="I3" s="2998"/>
      <c r="J3" s="2998"/>
      <c r="K3" s="2998"/>
      <c r="L3" s="3006"/>
      <c r="M3" s="3006"/>
      <c r="N3" s="2998"/>
      <c r="O3" s="2998"/>
      <c r="P3" s="2998"/>
      <c r="Q3" s="2998"/>
      <c r="R3" s="2998"/>
      <c r="S3" s="2998"/>
      <c r="T3" s="2998"/>
      <c r="U3" s="2998"/>
      <c r="V3" s="2998"/>
      <c r="W3" s="2981"/>
      <c r="X3" s="2341"/>
    </row>
    <row r="4" spans="1:28" ht="18">
      <c r="A4" s="3041"/>
      <c r="B4" s="2998"/>
      <c r="C4" s="2998"/>
      <c r="D4" s="2998"/>
      <c r="E4" s="2998"/>
      <c r="F4" s="2998"/>
      <c r="G4" s="2998"/>
      <c r="H4" s="2998"/>
      <c r="I4" s="2998"/>
      <c r="J4" s="2998"/>
      <c r="K4" s="2998"/>
      <c r="L4" s="3006"/>
      <c r="M4" s="3006"/>
      <c r="N4" s="2998"/>
      <c r="O4" s="2998"/>
      <c r="P4" s="2998"/>
      <c r="Q4" s="2998"/>
      <c r="R4" s="2998"/>
      <c r="S4" s="2998"/>
      <c r="T4" s="2998"/>
      <c r="U4" s="2998"/>
      <c r="V4" s="2998"/>
      <c r="W4" s="2981"/>
      <c r="X4" s="2341"/>
    </row>
    <row r="5" spans="1:28" ht="18">
      <c r="A5" s="3042" t="s">
        <v>2839</v>
      </c>
      <c r="B5" s="3043"/>
      <c r="C5" s="3043"/>
      <c r="D5" s="3043"/>
      <c r="E5" s="3043"/>
      <c r="F5" s="3043"/>
      <c r="G5" s="3043"/>
      <c r="H5" s="3043"/>
      <c r="I5" s="3043"/>
      <c r="J5" s="3043"/>
      <c r="K5" s="3043"/>
      <c r="L5" s="3044"/>
      <c r="M5" s="3044"/>
      <c r="N5" s="3043"/>
      <c r="O5" s="3043"/>
      <c r="P5" s="3043"/>
      <c r="Q5" s="3043"/>
      <c r="R5" s="3043"/>
      <c r="S5" s="3043"/>
      <c r="T5" s="3043"/>
      <c r="U5" s="3043"/>
      <c r="V5" s="3043"/>
      <c r="W5" s="3045"/>
      <c r="X5" s="2072"/>
      <c r="Y5" s="2072"/>
      <c r="Z5" s="2072"/>
      <c r="AA5" s="2072"/>
    </row>
    <row r="6" spans="1:28" ht="18">
      <c r="A6" s="3041"/>
      <c r="B6" s="2998"/>
      <c r="C6" s="2998"/>
      <c r="D6" s="2998"/>
      <c r="E6" s="2998"/>
      <c r="F6" s="2998"/>
      <c r="G6" s="2998"/>
      <c r="H6" s="2998"/>
      <c r="I6" s="2998"/>
      <c r="J6" s="2998"/>
      <c r="K6" s="2998"/>
      <c r="L6" s="3006"/>
      <c r="M6" s="3006"/>
      <c r="N6" s="2998"/>
      <c r="O6" s="2998"/>
      <c r="P6" s="2998"/>
      <c r="Q6" s="2998"/>
      <c r="R6" s="2998"/>
      <c r="S6" s="2998"/>
      <c r="T6" s="2998"/>
      <c r="U6" s="2998"/>
      <c r="V6" s="2998"/>
      <c r="W6" s="2981"/>
      <c r="X6" s="2341"/>
    </row>
    <row r="7" spans="1:28" s="2953" customFormat="1">
      <c r="D7" s="2975"/>
      <c r="E7" s="2975"/>
      <c r="F7" s="2975"/>
      <c r="G7" s="2975"/>
      <c r="H7" s="3883"/>
      <c r="I7" s="2975"/>
      <c r="J7" s="2975"/>
      <c r="K7" s="2975"/>
      <c r="S7" s="2975"/>
      <c r="T7" s="3023"/>
      <c r="U7" s="3023"/>
      <c r="V7" s="2975"/>
      <c r="W7" s="3023"/>
      <c r="X7" s="2975"/>
      <c r="Y7" s="2975"/>
      <c r="Z7" s="3024" t="s">
        <v>2750</v>
      </c>
      <c r="AA7" s="3023" t="s">
        <v>601</v>
      </c>
    </row>
    <row r="8" spans="1:28" s="3660" customFormat="1" ht="126" customHeight="1">
      <c r="A8" s="2909" t="s">
        <v>1162</v>
      </c>
      <c r="B8" s="2909" t="s">
        <v>658</v>
      </c>
      <c r="C8" s="2909" t="s">
        <v>1161</v>
      </c>
      <c r="D8" s="2909" t="s">
        <v>2006</v>
      </c>
      <c r="E8" s="2909" t="s">
        <v>1677</v>
      </c>
      <c r="F8" s="2909" t="s">
        <v>1163</v>
      </c>
      <c r="G8" s="2909" t="s">
        <v>2007</v>
      </c>
      <c r="H8" s="2909" t="s">
        <v>1207</v>
      </c>
      <c r="I8" s="2909" t="s">
        <v>2008</v>
      </c>
      <c r="J8" s="2909" t="s">
        <v>2777</v>
      </c>
      <c r="K8" s="2909" t="s">
        <v>2780</v>
      </c>
      <c r="L8" s="2909" t="s">
        <v>3025</v>
      </c>
      <c r="M8" s="2909" t="s">
        <v>2794</v>
      </c>
      <c r="N8" s="2909" t="s">
        <v>2958</v>
      </c>
      <c r="O8" s="2909" t="s">
        <v>2751</v>
      </c>
      <c r="P8" s="2909" t="s">
        <v>2768</v>
      </c>
      <c r="Q8" s="2909" t="s">
        <v>2959</v>
      </c>
      <c r="R8" s="2909" t="s">
        <v>2770</v>
      </c>
      <c r="S8" s="2909" t="s">
        <v>2767</v>
      </c>
      <c r="T8" s="2909" t="s">
        <v>2769</v>
      </c>
      <c r="U8" s="2909" t="s">
        <v>2891</v>
      </c>
      <c r="V8" s="2909" t="s">
        <v>2892</v>
      </c>
      <c r="W8" s="2909" t="s">
        <v>2961</v>
      </c>
      <c r="X8" s="2909" t="s">
        <v>2962</v>
      </c>
      <c r="Y8" s="2909" t="s">
        <v>2838</v>
      </c>
      <c r="Z8" s="2909" t="s">
        <v>2899</v>
      </c>
      <c r="AA8" s="2909" t="s">
        <v>2974</v>
      </c>
    </row>
    <row r="9" spans="1:28" s="3660" customFormat="1" ht="27.6">
      <c r="A9" s="3884" t="s">
        <v>2754</v>
      </c>
      <c r="B9" s="3885">
        <v>550157</v>
      </c>
      <c r="C9" s="3886">
        <v>1984</v>
      </c>
      <c r="D9" s="3887"/>
      <c r="E9" s="2984"/>
      <c r="F9" s="2985"/>
      <c r="G9" s="2984"/>
      <c r="H9" s="2984">
        <v>0</v>
      </c>
      <c r="I9" s="2984">
        <v>0</v>
      </c>
      <c r="J9" s="3888" t="s">
        <v>2776</v>
      </c>
      <c r="K9" s="3888" t="s">
        <v>2781</v>
      </c>
      <c r="L9" s="2990">
        <v>420</v>
      </c>
      <c r="M9" s="2990">
        <v>240</v>
      </c>
      <c r="N9" s="2984">
        <v>1185436</v>
      </c>
      <c r="O9" s="2984">
        <v>367095</v>
      </c>
      <c r="P9" s="2984">
        <v>169344</v>
      </c>
      <c r="Q9" s="3887">
        <v>1185436</v>
      </c>
      <c r="R9" s="2984">
        <v>197751</v>
      </c>
      <c r="S9" s="2984">
        <v>14112</v>
      </c>
      <c r="T9" s="2984">
        <v>127008</v>
      </c>
      <c r="U9" s="2984">
        <v>169344</v>
      </c>
      <c r="V9" s="2984">
        <v>28407</v>
      </c>
      <c r="W9" s="2984">
        <v>28407</v>
      </c>
      <c r="X9" s="2985">
        <v>0</v>
      </c>
      <c r="Y9" s="2984">
        <v>2.2000000000000002</v>
      </c>
      <c r="Z9" s="2984">
        <v>2487.7380000000003</v>
      </c>
      <c r="AA9" s="2984">
        <v>312.47700000000003</v>
      </c>
      <c r="AB9" s="3889">
        <v>59271.8</v>
      </c>
    </row>
    <row r="10" spans="1:28" s="3660" customFormat="1" ht="27.6">
      <c r="A10" s="3884" t="s">
        <v>2755</v>
      </c>
      <c r="B10" s="3885">
        <v>550089</v>
      </c>
      <c r="C10" s="3886">
        <v>1966</v>
      </c>
      <c r="D10" s="3887"/>
      <c r="E10" s="2984"/>
      <c r="F10" s="2985"/>
      <c r="G10" s="2984"/>
      <c r="H10" s="2984">
        <v>0</v>
      </c>
      <c r="I10" s="2984">
        <v>0</v>
      </c>
      <c r="J10" s="3888" t="s">
        <v>2778</v>
      </c>
      <c r="K10" s="3888" t="s">
        <v>2782</v>
      </c>
      <c r="L10" s="2990">
        <v>580</v>
      </c>
      <c r="M10" s="2990">
        <v>180</v>
      </c>
      <c r="N10" s="2984">
        <v>417288</v>
      </c>
      <c r="O10" s="2984">
        <v>188352</v>
      </c>
      <c r="P10" s="2984">
        <v>41724</v>
      </c>
      <c r="Q10" s="3887">
        <v>417288</v>
      </c>
      <c r="R10" s="2984">
        <v>146628</v>
      </c>
      <c r="S10" s="2984">
        <v>3477</v>
      </c>
      <c r="T10" s="2984">
        <v>31293</v>
      </c>
      <c r="U10" s="2984">
        <v>41724</v>
      </c>
      <c r="V10" s="2984">
        <v>104904</v>
      </c>
      <c r="W10" s="2984">
        <v>41724</v>
      </c>
      <c r="X10" s="2984">
        <v>63180</v>
      </c>
      <c r="Y10" s="2984">
        <v>2.2000000000000002</v>
      </c>
      <c r="Z10" s="2984">
        <v>2766.8520000000003</v>
      </c>
      <c r="AA10" s="2984">
        <v>1848.9240000000002</v>
      </c>
      <c r="AB10" s="3889">
        <v>27819.200000000004</v>
      </c>
    </row>
    <row r="11" spans="1:28" s="3660" customFormat="1" ht="27.6">
      <c r="A11" s="3884" t="s">
        <v>2756</v>
      </c>
      <c r="B11" s="3885">
        <v>550090</v>
      </c>
      <c r="C11" s="3886">
        <v>1967</v>
      </c>
      <c r="D11" s="3887"/>
      <c r="E11" s="2984"/>
      <c r="F11" s="2985"/>
      <c r="G11" s="2984"/>
      <c r="H11" s="2984">
        <v>0</v>
      </c>
      <c r="I11" s="2984">
        <v>0</v>
      </c>
      <c r="J11" s="3888" t="s">
        <v>2779</v>
      </c>
      <c r="K11" s="3888" t="s">
        <v>2783</v>
      </c>
      <c r="L11" s="2990">
        <v>580</v>
      </c>
      <c r="M11" s="2990">
        <v>180</v>
      </c>
      <c r="N11" s="2984">
        <v>1146485</v>
      </c>
      <c r="O11" s="2984">
        <v>729017</v>
      </c>
      <c r="P11" s="2984">
        <v>104220</v>
      </c>
      <c r="Q11" s="3887">
        <v>1146485</v>
      </c>
      <c r="R11" s="2984">
        <v>624797</v>
      </c>
      <c r="S11" s="2984">
        <v>8685</v>
      </c>
      <c r="T11" s="2984">
        <v>78165</v>
      </c>
      <c r="U11" s="2984">
        <v>104220</v>
      </c>
      <c r="V11" s="2984">
        <v>520577</v>
      </c>
      <c r="W11" s="2984">
        <v>104220</v>
      </c>
      <c r="X11" s="2984">
        <v>416357</v>
      </c>
      <c r="Y11" s="2984">
        <v>2.2000000000000002</v>
      </c>
      <c r="Z11" s="2984">
        <v>12599.114000000001</v>
      </c>
      <c r="AA11" s="2984">
        <v>10306.274000000001</v>
      </c>
      <c r="AB11" s="3889">
        <v>76432.333333333343</v>
      </c>
    </row>
    <row r="12" spans="1:28" s="3660" customFormat="1" ht="27.6" hidden="1">
      <c r="A12" s="3884" t="s">
        <v>2771</v>
      </c>
      <c r="B12" s="3885">
        <v>550148</v>
      </c>
      <c r="C12" s="3886"/>
      <c r="D12" s="3887"/>
      <c r="E12" s="2984"/>
      <c r="F12" s="2985"/>
      <c r="G12" s="2984"/>
      <c r="H12" s="2984"/>
      <c r="I12" s="2984"/>
      <c r="J12" s="3890" t="s">
        <v>2784</v>
      </c>
      <c r="K12" s="3890"/>
      <c r="L12" s="2990">
        <v>480</v>
      </c>
      <c r="M12" s="2990">
        <v>180</v>
      </c>
      <c r="N12" s="2984">
        <v>0</v>
      </c>
      <c r="O12" s="2984"/>
      <c r="P12" s="2984"/>
      <c r="Q12" s="3887"/>
      <c r="R12" s="2985">
        <v>0</v>
      </c>
      <c r="S12" s="2984"/>
      <c r="T12" s="2985">
        <v>0</v>
      </c>
      <c r="U12" s="2984">
        <v>0</v>
      </c>
      <c r="V12" s="2985">
        <v>0</v>
      </c>
      <c r="W12" s="2984">
        <v>0</v>
      </c>
      <c r="X12" s="2985">
        <v>0</v>
      </c>
      <c r="Y12" s="2985">
        <v>0</v>
      </c>
      <c r="Z12" s="2985">
        <v>0</v>
      </c>
      <c r="AA12" s="2985">
        <v>0</v>
      </c>
      <c r="AB12" s="3889"/>
    </row>
    <row r="13" spans="1:28" s="3660" customFormat="1" ht="13.8" hidden="1">
      <c r="A13" s="3884" t="s">
        <v>2775</v>
      </c>
      <c r="B13" s="3885">
        <v>550140</v>
      </c>
      <c r="C13" s="3886"/>
      <c r="D13" s="3887"/>
      <c r="E13" s="2984"/>
      <c r="F13" s="2985"/>
      <c r="G13" s="2984"/>
      <c r="H13" s="2984"/>
      <c r="I13" s="2984"/>
      <c r="J13" s="3890" t="s">
        <v>2785</v>
      </c>
      <c r="K13" s="3890" t="s">
        <v>2786</v>
      </c>
      <c r="L13" s="2990">
        <v>492</v>
      </c>
      <c r="M13" s="2990">
        <v>13</v>
      </c>
      <c r="N13" s="2984">
        <v>0</v>
      </c>
      <c r="O13" s="2984"/>
      <c r="P13" s="2984"/>
      <c r="Q13" s="3887"/>
      <c r="R13" s="2985">
        <v>0</v>
      </c>
      <c r="S13" s="2984"/>
      <c r="T13" s="2985">
        <v>0</v>
      </c>
      <c r="U13" s="2984">
        <v>0</v>
      </c>
      <c r="V13" s="2985">
        <v>0</v>
      </c>
      <c r="W13" s="2984">
        <v>0</v>
      </c>
      <c r="X13" s="2985">
        <v>0</v>
      </c>
      <c r="Y13" s="2985">
        <v>0</v>
      </c>
      <c r="Z13" s="2985">
        <v>0</v>
      </c>
      <c r="AA13" s="2985">
        <v>0</v>
      </c>
      <c r="AB13" s="3889"/>
    </row>
    <row r="14" spans="1:28" s="3660" customFormat="1" ht="27.6" hidden="1">
      <c r="A14" s="3884" t="s">
        <v>2772</v>
      </c>
      <c r="B14" s="3885">
        <v>550139</v>
      </c>
      <c r="C14" s="3886"/>
      <c r="D14" s="3887"/>
      <c r="E14" s="2984"/>
      <c r="F14" s="2985"/>
      <c r="G14" s="2984"/>
      <c r="H14" s="2984"/>
      <c r="I14" s="2984"/>
      <c r="J14" s="3890" t="s">
        <v>2787</v>
      </c>
      <c r="K14" s="3890" t="s">
        <v>2788</v>
      </c>
      <c r="L14" s="2990">
        <v>492</v>
      </c>
      <c r="M14" s="2990">
        <v>180</v>
      </c>
      <c r="N14" s="2984">
        <v>0</v>
      </c>
      <c r="O14" s="2984"/>
      <c r="P14" s="2984"/>
      <c r="Q14" s="3887"/>
      <c r="R14" s="2985">
        <v>0</v>
      </c>
      <c r="S14" s="2984"/>
      <c r="T14" s="2985">
        <v>0</v>
      </c>
      <c r="U14" s="2984">
        <v>0</v>
      </c>
      <c r="V14" s="2985">
        <v>0</v>
      </c>
      <c r="W14" s="2984">
        <v>0</v>
      </c>
      <c r="X14" s="2985">
        <v>0</v>
      </c>
      <c r="Y14" s="2985">
        <v>0</v>
      </c>
      <c r="Z14" s="2985">
        <v>0</v>
      </c>
      <c r="AA14" s="2985">
        <v>0</v>
      </c>
      <c r="AB14" s="3889"/>
    </row>
    <row r="15" spans="1:28" s="3660" customFormat="1" ht="27.6" hidden="1">
      <c r="A15" s="3884" t="s">
        <v>2773</v>
      </c>
      <c r="B15" s="3885">
        <v>550010</v>
      </c>
      <c r="C15" s="3886"/>
      <c r="D15" s="3887"/>
      <c r="E15" s="2984"/>
      <c r="F15" s="2985"/>
      <c r="G15" s="2984"/>
      <c r="H15" s="2984"/>
      <c r="I15" s="2984"/>
      <c r="J15" s="3890" t="s">
        <v>2789</v>
      </c>
      <c r="K15" s="3890" t="s">
        <v>2790</v>
      </c>
      <c r="L15" s="2990">
        <v>540</v>
      </c>
      <c r="M15" s="2990">
        <v>180</v>
      </c>
      <c r="N15" s="2984">
        <v>0</v>
      </c>
      <c r="O15" s="2984"/>
      <c r="P15" s="2984"/>
      <c r="Q15" s="3887"/>
      <c r="R15" s="2985">
        <v>0</v>
      </c>
      <c r="S15" s="2984"/>
      <c r="T15" s="2985">
        <v>0</v>
      </c>
      <c r="U15" s="2984">
        <v>0</v>
      </c>
      <c r="V15" s="2985">
        <v>0</v>
      </c>
      <c r="W15" s="2984">
        <v>0</v>
      </c>
      <c r="X15" s="2985">
        <v>0</v>
      </c>
      <c r="Y15" s="2985">
        <v>0</v>
      </c>
      <c r="Z15" s="2985">
        <v>0</v>
      </c>
      <c r="AA15" s="2985">
        <v>0</v>
      </c>
      <c r="AB15" s="3889"/>
    </row>
    <row r="16" spans="1:28" s="3660" customFormat="1" ht="13.8" hidden="1">
      <c r="A16" s="3884" t="s">
        <v>2774</v>
      </c>
      <c r="B16" s="3885">
        <v>550166</v>
      </c>
      <c r="C16" s="3886"/>
      <c r="D16" s="3887"/>
      <c r="E16" s="2984"/>
      <c r="F16" s="2985"/>
      <c r="G16" s="2984"/>
      <c r="H16" s="2984"/>
      <c r="I16" s="2984"/>
      <c r="J16" s="3890" t="s">
        <v>2791</v>
      </c>
      <c r="K16" s="3890" t="s">
        <v>2790</v>
      </c>
      <c r="L16" s="2990">
        <v>416</v>
      </c>
      <c r="M16" s="2990">
        <v>180</v>
      </c>
      <c r="N16" s="2984">
        <v>0</v>
      </c>
      <c r="O16" s="2984"/>
      <c r="P16" s="2984"/>
      <c r="Q16" s="3887"/>
      <c r="R16" s="2985">
        <v>0</v>
      </c>
      <c r="S16" s="2984"/>
      <c r="T16" s="2985">
        <v>0</v>
      </c>
      <c r="U16" s="2984">
        <v>0</v>
      </c>
      <c r="V16" s="2985">
        <v>0</v>
      </c>
      <c r="W16" s="2984">
        <v>0</v>
      </c>
      <c r="X16" s="2985">
        <v>0</v>
      </c>
      <c r="Y16" s="2985">
        <v>0</v>
      </c>
      <c r="Z16" s="2985">
        <v>0</v>
      </c>
      <c r="AA16" s="2985">
        <v>0</v>
      </c>
      <c r="AB16" s="3889"/>
    </row>
    <row r="17" spans="1:29" s="3660" customFormat="1" ht="13.8">
      <c r="A17" s="3884" t="s">
        <v>2757</v>
      </c>
      <c r="B17" s="3885">
        <v>550165</v>
      </c>
      <c r="C17" s="3886"/>
      <c r="D17" s="3887"/>
      <c r="E17" s="2984"/>
      <c r="F17" s="2985"/>
      <c r="G17" s="2984"/>
      <c r="H17" s="2984"/>
      <c r="I17" s="2984"/>
      <c r="J17" s="3888" t="s">
        <v>2791</v>
      </c>
      <c r="K17" s="3888" t="s">
        <v>2792</v>
      </c>
      <c r="L17" s="2990">
        <v>416</v>
      </c>
      <c r="M17" s="2990">
        <v>180</v>
      </c>
      <c r="N17" s="2984">
        <v>2698456</v>
      </c>
      <c r="O17" s="2984">
        <v>2203753</v>
      </c>
      <c r="P17" s="2984">
        <v>179892</v>
      </c>
      <c r="Q17" s="3887">
        <v>2698456</v>
      </c>
      <c r="R17" s="2984">
        <v>2023861</v>
      </c>
      <c r="S17" s="2984">
        <v>14991</v>
      </c>
      <c r="T17" s="2984">
        <v>134919</v>
      </c>
      <c r="U17" s="2984">
        <v>179892</v>
      </c>
      <c r="V17" s="2984">
        <v>1843969</v>
      </c>
      <c r="W17" s="2984">
        <v>179892</v>
      </c>
      <c r="X17" s="2984">
        <v>1664077</v>
      </c>
      <c r="Y17" s="2984">
        <v>2.2000000000000002</v>
      </c>
      <c r="Z17" s="2984">
        <v>42546.130000000005</v>
      </c>
      <c r="AA17" s="2984">
        <v>38588.506000000001</v>
      </c>
      <c r="AB17" s="3889">
        <v>179897.06666666665</v>
      </c>
    </row>
    <row r="18" spans="1:29" s="3660" customFormat="1" ht="27.6">
      <c r="A18" s="3884" t="s">
        <v>2758</v>
      </c>
      <c r="B18" s="3885">
        <v>910139</v>
      </c>
      <c r="C18" s="3886">
        <v>1982</v>
      </c>
      <c r="D18" s="3887"/>
      <c r="E18" s="2984"/>
      <c r="F18" s="2985"/>
      <c r="G18" s="2984"/>
      <c r="H18" s="2984">
        <v>0</v>
      </c>
      <c r="I18" s="2984">
        <v>0</v>
      </c>
      <c r="J18" s="3888" t="s">
        <v>2793</v>
      </c>
      <c r="K18" s="3888"/>
      <c r="L18" s="2990">
        <v>453</v>
      </c>
      <c r="M18" s="2990">
        <v>180</v>
      </c>
      <c r="N18" s="2984">
        <v>34310</v>
      </c>
      <c r="O18" s="2984">
        <v>31088</v>
      </c>
      <c r="P18" s="2984">
        <v>600</v>
      </c>
      <c r="Q18" s="3887">
        <v>34310</v>
      </c>
      <c r="R18" s="2984">
        <v>30488</v>
      </c>
      <c r="S18" s="2984">
        <v>50</v>
      </c>
      <c r="T18" s="2984">
        <v>450</v>
      </c>
      <c r="U18" s="2984">
        <v>600</v>
      </c>
      <c r="V18" s="2984">
        <v>29888</v>
      </c>
      <c r="W18" s="2984">
        <v>600</v>
      </c>
      <c r="X18" s="2984">
        <v>29288</v>
      </c>
      <c r="Y18" s="2984">
        <v>2.2000000000000002</v>
      </c>
      <c r="Z18" s="2984">
        <v>664.13600000000008</v>
      </c>
      <c r="AA18" s="2984">
        <v>650.93600000000004</v>
      </c>
      <c r="AB18" s="3889">
        <v>2287.3333333333335</v>
      </c>
    </row>
    <row r="19" spans="1:29" s="3660" customFormat="1" ht="27.6" hidden="1">
      <c r="A19" s="3884" t="s">
        <v>2756</v>
      </c>
      <c r="B19" s="3885">
        <v>550091</v>
      </c>
      <c r="C19" s="3886">
        <v>1967</v>
      </c>
      <c r="D19" s="3887"/>
      <c r="E19" s="2984"/>
      <c r="F19" s="2985"/>
      <c r="G19" s="2984"/>
      <c r="H19" s="2984">
        <v>0</v>
      </c>
      <c r="I19" s="2984">
        <v>0</v>
      </c>
      <c r="J19" s="3890" t="s">
        <v>2795</v>
      </c>
      <c r="K19" s="3890" t="s">
        <v>2796</v>
      </c>
      <c r="L19" s="2990">
        <v>580</v>
      </c>
      <c r="M19" s="2990">
        <v>180</v>
      </c>
      <c r="N19" s="2984">
        <v>0</v>
      </c>
      <c r="O19" s="2984"/>
      <c r="P19" s="2984"/>
      <c r="Q19" s="3887"/>
      <c r="R19" s="2984">
        <v>0</v>
      </c>
      <c r="S19" s="2984"/>
      <c r="T19" s="2985">
        <v>0</v>
      </c>
      <c r="U19" s="2984">
        <v>0</v>
      </c>
      <c r="V19" s="2985">
        <v>0</v>
      </c>
      <c r="W19" s="2984">
        <v>0</v>
      </c>
      <c r="X19" s="2985">
        <v>0</v>
      </c>
      <c r="Y19" s="2985">
        <v>0</v>
      </c>
      <c r="Z19" s="2985">
        <v>0</v>
      </c>
      <c r="AA19" s="2985">
        <v>0</v>
      </c>
      <c r="AB19" s="3889"/>
    </row>
    <row r="20" spans="1:29" s="3660" customFormat="1" ht="13.8">
      <c r="A20" s="3884" t="s">
        <v>2759</v>
      </c>
      <c r="B20" s="3885">
        <v>910175</v>
      </c>
      <c r="C20" s="3886"/>
      <c r="D20" s="3887"/>
      <c r="E20" s="2984"/>
      <c r="F20" s="2985"/>
      <c r="G20" s="2984"/>
      <c r="H20" s="2984">
        <v>0</v>
      </c>
      <c r="I20" s="2984">
        <v>0</v>
      </c>
      <c r="J20" s="3888" t="s">
        <v>2797</v>
      </c>
      <c r="K20" s="3888" t="s">
        <v>2798</v>
      </c>
      <c r="L20" s="2990">
        <v>348</v>
      </c>
      <c r="M20" s="2990">
        <v>180</v>
      </c>
      <c r="N20" s="2984">
        <v>100110</v>
      </c>
      <c r="O20" s="2984">
        <v>91665</v>
      </c>
      <c r="P20" s="2984">
        <v>1500</v>
      </c>
      <c r="Q20" s="3887">
        <v>100110</v>
      </c>
      <c r="R20" s="2984">
        <v>90165</v>
      </c>
      <c r="S20" s="2984">
        <v>125</v>
      </c>
      <c r="T20" s="2984">
        <v>1125</v>
      </c>
      <c r="U20" s="2984">
        <v>1500</v>
      </c>
      <c r="V20" s="2984">
        <v>88665</v>
      </c>
      <c r="W20" s="2984">
        <v>1500</v>
      </c>
      <c r="X20" s="2984">
        <v>87165</v>
      </c>
      <c r="Y20" s="2984">
        <v>2.2000000000000002</v>
      </c>
      <c r="Z20" s="2984">
        <v>1967.13</v>
      </c>
      <c r="AA20" s="2984">
        <v>1934.13</v>
      </c>
      <c r="AB20" s="3889">
        <v>6674</v>
      </c>
    </row>
    <row r="21" spans="1:29" s="3660" customFormat="1" ht="27.6">
      <c r="A21" s="3884" t="s">
        <v>2760</v>
      </c>
      <c r="B21" s="3885">
        <v>900187</v>
      </c>
      <c r="C21" s="3886"/>
      <c r="D21" s="2985"/>
      <c r="E21" s="2985"/>
      <c r="F21" s="2984"/>
      <c r="G21" s="2985"/>
      <c r="H21" s="2984">
        <v>0</v>
      </c>
      <c r="I21" s="2984">
        <v>0</v>
      </c>
      <c r="J21" s="3888" t="s">
        <v>2799</v>
      </c>
      <c r="K21" s="3888" t="s">
        <v>2800</v>
      </c>
      <c r="L21" s="2990">
        <v>552</v>
      </c>
      <c r="M21" s="2990">
        <v>180</v>
      </c>
      <c r="N21" s="2984">
        <v>190581</v>
      </c>
      <c r="O21" s="2984">
        <v>122478</v>
      </c>
      <c r="P21" s="2984">
        <v>12432</v>
      </c>
      <c r="Q21" s="3887">
        <v>190581</v>
      </c>
      <c r="R21" s="2984">
        <v>110046</v>
      </c>
      <c r="S21" s="2985">
        <v>1036</v>
      </c>
      <c r="T21" s="2984">
        <v>9324</v>
      </c>
      <c r="U21" s="2984">
        <v>12432</v>
      </c>
      <c r="V21" s="2984">
        <v>97614</v>
      </c>
      <c r="W21" s="2984">
        <v>12432</v>
      </c>
      <c r="X21" s="2984">
        <v>85182</v>
      </c>
      <c r="Y21" s="2984">
        <v>2.2000000000000002</v>
      </c>
      <c r="Z21" s="2984">
        <v>2284.2600000000002</v>
      </c>
      <c r="AA21" s="2984">
        <v>2010.7560000000003</v>
      </c>
      <c r="AB21" s="3889">
        <v>12705.4</v>
      </c>
    </row>
    <row r="22" spans="1:29" s="3660" customFormat="1" ht="27.6">
      <c r="A22" s="3884" t="s">
        <v>2761</v>
      </c>
      <c r="B22" s="3885">
        <v>550177</v>
      </c>
      <c r="C22" s="3886"/>
      <c r="D22" s="2985"/>
      <c r="E22" s="2985"/>
      <c r="F22" s="2984"/>
      <c r="G22" s="2985"/>
      <c r="H22" s="2984">
        <v>0</v>
      </c>
      <c r="I22" s="2984">
        <v>0</v>
      </c>
      <c r="J22" s="3888" t="s">
        <v>2801</v>
      </c>
      <c r="K22" s="3888" t="s">
        <v>2802</v>
      </c>
      <c r="L22" s="2990">
        <v>295</v>
      </c>
      <c r="M22" s="2990">
        <v>84</v>
      </c>
      <c r="N22" s="2984">
        <v>38317</v>
      </c>
      <c r="O22" s="2984">
        <v>6300</v>
      </c>
      <c r="P22" s="2984">
        <v>6300</v>
      </c>
      <c r="Q22" s="3887">
        <v>38317</v>
      </c>
      <c r="R22" s="2985">
        <v>0</v>
      </c>
      <c r="S22" s="2985">
        <v>525</v>
      </c>
      <c r="T22" s="2985">
        <v>4725</v>
      </c>
      <c r="U22" s="2985">
        <v>0</v>
      </c>
      <c r="V22" s="2985">
        <v>0</v>
      </c>
      <c r="W22" s="2985">
        <v>0</v>
      </c>
      <c r="X22" s="2985">
        <v>0</v>
      </c>
      <c r="Y22" s="2984">
        <v>2.2000000000000002</v>
      </c>
      <c r="Z22" s="2985">
        <v>0</v>
      </c>
      <c r="AA22" s="2985">
        <v>0</v>
      </c>
      <c r="AB22" s="3889">
        <v>5473.8571428571431</v>
      </c>
    </row>
    <row r="23" spans="1:29" s="3660" customFormat="1" ht="33.75" hidden="1" customHeight="1">
      <c r="A23" s="3884" t="s">
        <v>1660</v>
      </c>
      <c r="B23" s="3885"/>
      <c r="C23" s="3886"/>
      <c r="D23" s="2985">
        <v>0</v>
      </c>
      <c r="E23" s="2985">
        <v>0</v>
      </c>
      <c r="F23" s="2985"/>
      <c r="G23" s="2985">
        <v>0</v>
      </c>
      <c r="H23" s="2984">
        <v>0</v>
      </c>
      <c r="I23" s="2985">
        <v>0</v>
      </c>
      <c r="J23" s="3888"/>
      <c r="K23" s="3888"/>
      <c r="L23" s="2990"/>
      <c r="M23" s="2990" t="e">
        <v>#DIV/0!</v>
      </c>
      <c r="N23" s="2984">
        <v>0</v>
      </c>
      <c r="O23" s="2985">
        <v>0</v>
      </c>
      <c r="P23" s="2984">
        <v>0</v>
      </c>
      <c r="Q23" s="2985">
        <v>0</v>
      </c>
      <c r="R23" s="2984">
        <v>0</v>
      </c>
      <c r="S23" s="2985">
        <v>0</v>
      </c>
      <c r="T23" s="2985">
        <v>0</v>
      </c>
      <c r="U23" s="2984">
        <v>0</v>
      </c>
      <c r="V23" s="2984">
        <v>0</v>
      </c>
      <c r="W23" s="2984">
        <v>0</v>
      </c>
      <c r="X23" s="2984">
        <v>0</v>
      </c>
      <c r="Y23" s="2984" t="e">
        <v>#DIV/0!</v>
      </c>
      <c r="Z23" s="2984">
        <v>0</v>
      </c>
      <c r="AA23" s="2984">
        <v>0</v>
      </c>
      <c r="AB23" s="3889">
        <v>0</v>
      </c>
    </row>
    <row r="24" spans="1:29" s="3660" customFormat="1" ht="33.75" customHeight="1">
      <c r="A24" s="3884" t="s">
        <v>2762</v>
      </c>
      <c r="B24" s="3885">
        <v>971029</v>
      </c>
      <c r="C24" s="3886">
        <v>1961</v>
      </c>
      <c r="D24" s="3892">
        <v>1556773</v>
      </c>
      <c r="E24" s="2985">
        <v>1175070</v>
      </c>
      <c r="F24" s="2985"/>
      <c r="G24" s="2985">
        <v>4238</v>
      </c>
      <c r="H24" s="2984">
        <v>0</v>
      </c>
      <c r="I24" s="2985">
        <v>50856</v>
      </c>
      <c r="J24" s="3888"/>
      <c r="K24" s="3888"/>
      <c r="L24" s="2990"/>
      <c r="M24" s="2990">
        <v>180</v>
      </c>
      <c r="N24" s="2984">
        <v>22802</v>
      </c>
      <c r="O24" s="3892">
        <v>12093.833333333332</v>
      </c>
      <c r="P24" s="2984">
        <v>1754</v>
      </c>
      <c r="Q24" s="2984">
        <v>22802</v>
      </c>
      <c r="R24" s="2984">
        <v>6831.8333333333321</v>
      </c>
      <c r="S24" s="3892">
        <v>146.16666666666666</v>
      </c>
      <c r="T24" s="2985">
        <v>1315.5</v>
      </c>
      <c r="U24" s="2984">
        <v>1754</v>
      </c>
      <c r="V24" s="2984">
        <v>5077.8333333333321</v>
      </c>
      <c r="W24" s="2984">
        <v>1754</v>
      </c>
      <c r="X24" s="2984">
        <v>3323.8333333333321</v>
      </c>
      <c r="Y24" s="2984">
        <v>2.2000000000000002</v>
      </c>
      <c r="Z24" s="2984">
        <v>131.00633333333332</v>
      </c>
      <c r="AA24" s="2984">
        <v>92.418333333333322</v>
      </c>
      <c r="AB24" s="3889">
        <v>1520.1333333333332</v>
      </c>
    </row>
    <row r="25" spans="1:29" s="3660" customFormat="1" ht="33.75" customHeight="1">
      <c r="A25" s="3884" t="s">
        <v>2763</v>
      </c>
      <c r="B25" s="3885">
        <v>970004</v>
      </c>
      <c r="C25" s="3886">
        <v>1991</v>
      </c>
      <c r="D25" s="3892">
        <v>1556773</v>
      </c>
      <c r="E25" s="2985">
        <v>1175070</v>
      </c>
      <c r="F25" s="2985"/>
      <c r="G25" s="2985">
        <v>4238</v>
      </c>
      <c r="H25" s="2984">
        <v>0</v>
      </c>
      <c r="I25" s="2985">
        <v>50856</v>
      </c>
      <c r="J25" s="3888"/>
      <c r="K25" s="3888"/>
      <c r="L25" s="2990"/>
      <c r="M25" s="2990">
        <v>263</v>
      </c>
      <c r="N25" s="2984">
        <v>1538471</v>
      </c>
      <c r="O25" s="3892">
        <v>1005650.0912547528</v>
      </c>
      <c r="P25" s="2984">
        <v>70196.395437262356</v>
      </c>
      <c r="Q25" s="3892">
        <v>1538471</v>
      </c>
      <c r="R25" s="2984">
        <v>795060.90494296572</v>
      </c>
      <c r="S25" s="3892">
        <v>5849.6996197718627</v>
      </c>
      <c r="T25" s="3892">
        <v>52647.296577946763</v>
      </c>
      <c r="U25" s="2984">
        <v>70196.395437262356</v>
      </c>
      <c r="V25" s="2984">
        <v>724864.50950570335</v>
      </c>
      <c r="W25" s="2984">
        <v>70196.395437262356</v>
      </c>
      <c r="X25" s="2984">
        <v>654668.11406844098</v>
      </c>
      <c r="Y25" s="2985">
        <v>2.2000000000000002</v>
      </c>
      <c r="Z25" s="2984">
        <v>16719.179558935364</v>
      </c>
      <c r="AA25" s="2984">
        <v>15174.858859315587</v>
      </c>
      <c r="AB25" s="3889">
        <v>70196.395437262356</v>
      </c>
    </row>
    <row r="26" spans="1:29" s="3664" customFormat="1" ht="32.25" customHeight="1">
      <c r="A26" s="3894" t="s">
        <v>1661</v>
      </c>
      <c r="B26" s="3895"/>
      <c r="C26" s="3896"/>
      <c r="D26" s="2986">
        <v>1556773</v>
      </c>
      <c r="E26" s="2986">
        <v>1175070</v>
      </c>
      <c r="F26" s="2986">
        <v>0</v>
      </c>
      <c r="G26" s="2986">
        <v>4238</v>
      </c>
      <c r="H26" s="2986">
        <v>0</v>
      </c>
      <c r="I26" s="2986">
        <v>50856</v>
      </c>
      <c r="J26" s="3888"/>
      <c r="K26" s="3888"/>
      <c r="L26" s="2990"/>
      <c r="M26" s="2988"/>
      <c r="N26" s="2986">
        <v>7372256</v>
      </c>
      <c r="O26" s="2986">
        <v>4757491.9245880861</v>
      </c>
      <c r="P26" s="2986">
        <v>587962.39543726237</v>
      </c>
      <c r="Q26" s="2986">
        <v>7372256</v>
      </c>
      <c r="R26" s="2986">
        <v>4025628.7382762991</v>
      </c>
      <c r="S26" s="2986">
        <v>48996.866286438526</v>
      </c>
      <c r="T26" s="2986">
        <v>440971.79657794675</v>
      </c>
      <c r="U26" s="2986">
        <v>581662.39543726237</v>
      </c>
      <c r="V26" s="2986">
        <v>3443966.3428390371</v>
      </c>
      <c r="W26" s="2986">
        <v>440725.39543726237</v>
      </c>
      <c r="X26" s="2986">
        <v>3003240.9474017746</v>
      </c>
      <c r="Y26" s="2988">
        <v>2.2000000000000002</v>
      </c>
      <c r="Z26" s="2986">
        <v>82165.545892268696</v>
      </c>
      <c r="AA26" s="2986">
        <v>70919.280192648934</v>
      </c>
      <c r="AB26" s="3897">
        <v>442277.51924678625</v>
      </c>
      <c r="AC26" s="3889">
        <v>442277.51924678625</v>
      </c>
    </row>
    <row r="27" spans="1:29" s="3660" customFormat="1" ht="27" customHeight="1">
      <c r="A27" s="3898" t="s">
        <v>2764</v>
      </c>
      <c r="B27" s="3898">
        <v>900535</v>
      </c>
      <c r="C27" s="3898"/>
      <c r="D27" s="2984">
        <v>14648680</v>
      </c>
      <c r="E27" s="2984">
        <v>4924684</v>
      </c>
      <c r="F27" s="2984">
        <v>0</v>
      </c>
      <c r="G27" s="2984">
        <v>29374</v>
      </c>
      <c r="H27" s="2984"/>
      <c r="I27" s="2984">
        <v>352488</v>
      </c>
      <c r="J27" s="3888" t="s">
        <v>2803</v>
      </c>
      <c r="K27" s="3888" t="s">
        <v>2804</v>
      </c>
      <c r="L27" s="2990">
        <v>288</v>
      </c>
      <c r="M27" s="2990">
        <v>180</v>
      </c>
      <c r="N27" s="2984">
        <v>283645</v>
      </c>
      <c r="O27" s="2985">
        <v>0</v>
      </c>
      <c r="P27" s="2985">
        <v>0</v>
      </c>
      <c r="Q27" s="2984">
        <v>283645</v>
      </c>
      <c r="R27" s="2985">
        <v>0</v>
      </c>
      <c r="S27" s="2985">
        <v>0</v>
      </c>
      <c r="T27" s="2985">
        <v>0</v>
      </c>
      <c r="U27" s="2985">
        <v>0</v>
      </c>
      <c r="V27" s="2985">
        <v>0</v>
      </c>
      <c r="W27" s="2985">
        <v>0</v>
      </c>
      <c r="X27" s="2985">
        <v>0</v>
      </c>
      <c r="Y27" s="2985">
        <v>0</v>
      </c>
      <c r="Z27" s="2985">
        <v>0</v>
      </c>
      <c r="AA27" s="2985">
        <v>0</v>
      </c>
      <c r="AB27" s="3889">
        <v>0</v>
      </c>
    </row>
    <row r="28" spans="1:29" s="3660" customFormat="1" ht="27" customHeight="1">
      <c r="A28" s="3898" t="s">
        <v>2765</v>
      </c>
      <c r="B28" s="3898">
        <v>900473</v>
      </c>
      <c r="C28" s="3898"/>
      <c r="D28" s="2984">
        <v>14648680</v>
      </c>
      <c r="E28" s="2984">
        <v>4924684</v>
      </c>
      <c r="F28" s="2984">
        <v>0</v>
      </c>
      <c r="G28" s="2984">
        <v>29374</v>
      </c>
      <c r="H28" s="2984"/>
      <c r="I28" s="2984">
        <v>352488</v>
      </c>
      <c r="J28" s="3888" t="s">
        <v>2784</v>
      </c>
      <c r="K28" s="3888"/>
      <c r="L28" s="2990">
        <v>489</v>
      </c>
      <c r="M28" s="2990">
        <v>180</v>
      </c>
      <c r="N28" s="2984">
        <v>740504</v>
      </c>
      <c r="O28" s="2984">
        <v>121728</v>
      </c>
      <c r="P28" s="2984">
        <v>121728</v>
      </c>
      <c r="Q28" s="2984">
        <v>740504</v>
      </c>
      <c r="R28" s="2985">
        <v>0</v>
      </c>
      <c r="S28" s="2984">
        <v>10144</v>
      </c>
      <c r="T28" s="2984">
        <v>91296</v>
      </c>
      <c r="U28" s="2985">
        <v>0</v>
      </c>
      <c r="V28" s="2985">
        <v>0</v>
      </c>
      <c r="W28" s="2985">
        <v>0</v>
      </c>
      <c r="X28" s="2985">
        <v>0</v>
      </c>
      <c r="Y28" s="2985">
        <v>0</v>
      </c>
      <c r="Z28" s="2985">
        <v>0</v>
      </c>
      <c r="AA28" s="2984">
        <v>0</v>
      </c>
      <c r="AB28" s="3889">
        <v>49366.933333333334</v>
      </c>
    </row>
    <row r="29" spans="1:29" s="3660" customFormat="1" ht="62.25" customHeight="1">
      <c r="A29" s="3884" t="s">
        <v>2766</v>
      </c>
      <c r="B29" s="3898">
        <v>900403</v>
      </c>
      <c r="C29" s="3898"/>
      <c r="D29" s="2984">
        <v>14648680</v>
      </c>
      <c r="E29" s="2984">
        <v>4924684</v>
      </c>
      <c r="F29" s="2984">
        <v>0</v>
      </c>
      <c r="G29" s="2984">
        <v>29374</v>
      </c>
      <c r="H29" s="2984"/>
      <c r="I29" s="2984">
        <v>352488</v>
      </c>
      <c r="J29" s="3888" t="s">
        <v>2805</v>
      </c>
      <c r="K29" s="3888" t="s">
        <v>2806</v>
      </c>
      <c r="L29" s="2990">
        <v>943</v>
      </c>
      <c r="M29" s="2990">
        <v>180</v>
      </c>
      <c r="N29" s="2984">
        <v>3371803</v>
      </c>
      <c r="O29" s="2984">
        <v>2151073</v>
      </c>
      <c r="P29" s="2984">
        <v>221100</v>
      </c>
      <c r="Q29" s="2984">
        <v>3371803</v>
      </c>
      <c r="R29" s="2985">
        <v>1929973</v>
      </c>
      <c r="S29" s="2984">
        <v>18425</v>
      </c>
      <c r="T29" s="2984">
        <v>165825</v>
      </c>
      <c r="U29" s="2984">
        <v>221100</v>
      </c>
      <c r="V29" s="2984">
        <v>1708873</v>
      </c>
      <c r="W29" s="2984">
        <v>221100</v>
      </c>
      <c r="X29" s="2984">
        <v>1487773</v>
      </c>
      <c r="Y29" s="2984">
        <v>2.2000000000000002</v>
      </c>
      <c r="Z29" s="2985">
        <v>40027.306000000004</v>
      </c>
      <c r="AA29" s="2984">
        <v>35163.106000000007</v>
      </c>
      <c r="AB29" s="3889">
        <v>224786.86666666667</v>
      </c>
    </row>
    <row r="30" spans="1:29" s="3660" customFormat="1" ht="31.5" hidden="1" customHeight="1">
      <c r="A30" s="3898" t="s">
        <v>1675</v>
      </c>
      <c r="B30" s="3898"/>
      <c r="C30" s="3898"/>
      <c r="D30" s="2984">
        <v>301659</v>
      </c>
      <c r="E30" s="2984">
        <v>71286</v>
      </c>
      <c r="F30" s="2984">
        <v>0</v>
      </c>
      <c r="G30" s="2984">
        <v>611</v>
      </c>
      <c r="H30" s="2984"/>
      <c r="I30" s="2984">
        <v>7332</v>
      </c>
      <c r="J30" s="3888"/>
      <c r="K30" s="3888"/>
      <c r="L30" s="2990"/>
      <c r="M30" s="2990" t="e">
        <v>#DIV/0!</v>
      </c>
      <c r="N30" s="2984"/>
      <c r="O30" s="2984"/>
      <c r="P30" s="2984"/>
      <c r="Q30" s="2984"/>
      <c r="R30" s="2984"/>
      <c r="S30" s="2984"/>
      <c r="T30" s="2984"/>
      <c r="U30" s="2984"/>
      <c r="V30" s="2984">
        <v>0</v>
      </c>
      <c r="W30" s="2984">
        <v>0</v>
      </c>
      <c r="X30" s="2984">
        <v>0</v>
      </c>
      <c r="Y30" s="2984" t="e">
        <v>#DIV/0!</v>
      </c>
      <c r="Z30" s="2984">
        <v>0</v>
      </c>
      <c r="AA30" s="2984">
        <v>0</v>
      </c>
      <c r="AB30" s="3889">
        <v>0</v>
      </c>
    </row>
    <row r="31" spans="1:29" s="3664" customFormat="1" ht="32.25" customHeight="1">
      <c r="A31" s="3899" t="s">
        <v>1676</v>
      </c>
      <c r="B31" s="3896"/>
      <c r="C31" s="3896"/>
      <c r="D31" s="2991">
        <v>14950339</v>
      </c>
      <c r="E31" s="2991">
        <v>4995970</v>
      </c>
      <c r="F31" s="2987">
        <v>0</v>
      </c>
      <c r="G31" s="2991">
        <v>29985</v>
      </c>
      <c r="H31" s="2987">
        <v>0</v>
      </c>
      <c r="I31" s="2986">
        <v>359820</v>
      </c>
      <c r="J31" s="3900"/>
      <c r="K31" s="3900"/>
      <c r="L31" s="2991"/>
      <c r="M31" s="2991"/>
      <c r="N31" s="2987">
        <v>4395952</v>
      </c>
      <c r="O31" s="2987">
        <v>2272801</v>
      </c>
      <c r="P31" s="2987">
        <v>342828</v>
      </c>
      <c r="Q31" s="2987">
        <v>4395952</v>
      </c>
      <c r="R31" s="2987">
        <v>1929973</v>
      </c>
      <c r="S31" s="2987">
        <v>28569</v>
      </c>
      <c r="T31" s="2987">
        <v>257121</v>
      </c>
      <c r="U31" s="2987">
        <v>221100</v>
      </c>
      <c r="V31" s="2987">
        <v>1708873</v>
      </c>
      <c r="W31" s="2987">
        <v>221100</v>
      </c>
      <c r="X31" s="2987">
        <v>1487773</v>
      </c>
      <c r="Y31" s="2988">
        <v>2.2000000000000002</v>
      </c>
      <c r="Z31" s="2987">
        <v>40027.306000000004</v>
      </c>
      <c r="AA31" s="2987">
        <v>35163.106000000007</v>
      </c>
      <c r="AB31" s="3889">
        <v>274153.8</v>
      </c>
    </row>
    <row r="32" spans="1:29" s="3660" customFormat="1" ht="32.25" hidden="1" customHeight="1">
      <c r="A32" s="3898" t="s">
        <v>370</v>
      </c>
      <c r="B32" s="3886"/>
      <c r="C32" s="3886"/>
      <c r="D32" s="3887"/>
      <c r="E32" s="2985">
        <v>0</v>
      </c>
      <c r="F32" s="2985">
        <v>0</v>
      </c>
      <c r="G32" s="2985">
        <v>0</v>
      </c>
      <c r="H32" s="2985">
        <v>0</v>
      </c>
      <c r="I32" s="2985">
        <v>0</v>
      </c>
      <c r="J32" s="3888"/>
      <c r="K32" s="3888"/>
      <c r="L32" s="2984"/>
      <c r="M32" s="2984"/>
      <c r="N32" s="3887"/>
      <c r="O32" s="2985">
        <v>0</v>
      </c>
      <c r="P32" s="2985">
        <v>0</v>
      </c>
      <c r="Q32" s="3887"/>
      <c r="R32" s="2985">
        <v>0</v>
      </c>
      <c r="S32" s="2985">
        <v>0</v>
      </c>
      <c r="T32" s="2985">
        <v>0</v>
      </c>
      <c r="U32" s="2985">
        <v>0</v>
      </c>
      <c r="V32" s="2985">
        <v>0</v>
      </c>
      <c r="W32" s="2985">
        <v>0</v>
      </c>
      <c r="X32" s="2985">
        <v>0</v>
      </c>
      <c r="Y32" s="2988">
        <v>2.2000000000000002</v>
      </c>
      <c r="Z32" s="2985">
        <v>0</v>
      </c>
      <c r="AA32" s="2985">
        <v>0</v>
      </c>
      <c r="AB32" s="3889">
        <v>0</v>
      </c>
    </row>
    <row r="33" spans="1:30" s="3660" customFormat="1" ht="21" hidden="1" customHeight="1">
      <c r="A33" s="3898" t="s">
        <v>370</v>
      </c>
      <c r="B33" s="3886"/>
      <c r="C33" s="3886"/>
      <c r="D33" s="2985">
        <v>0</v>
      </c>
      <c r="E33" s="2985">
        <v>0</v>
      </c>
      <c r="F33" s="2985">
        <v>0</v>
      </c>
      <c r="G33" s="2985">
        <v>0</v>
      </c>
      <c r="H33" s="2985">
        <v>0</v>
      </c>
      <c r="I33" s="2985">
        <v>0</v>
      </c>
      <c r="J33" s="3890"/>
      <c r="K33" s="3890"/>
      <c r="L33" s="2985"/>
      <c r="M33" s="2985"/>
      <c r="N33" s="2985">
        <v>0</v>
      </c>
      <c r="O33" s="2985">
        <v>0</v>
      </c>
      <c r="P33" s="2985">
        <v>0</v>
      </c>
      <c r="Q33" s="2985">
        <v>0</v>
      </c>
      <c r="R33" s="2985">
        <v>0</v>
      </c>
      <c r="S33" s="2985">
        <v>0</v>
      </c>
      <c r="T33" s="2985">
        <v>0</v>
      </c>
      <c r="U33" s="2985">
        <v>0</v>
      </c>
      <c r="V33" s="2985">
        <v>0</v>
      </c>
      <c r="W33" s="2985">
        <v>0</v>
      </c>
      <c r="X33" s="2985">
        <v>0</v>
      </c>
      <c r="Y33" s="2988">
        <v>2.2000000000000002</v>
      </c>
      <c r="Z33" s="2985">
        <v>0</v>
      </c>
      <c r="AA33" s="2985">
        <v>0</v>
      </c>
      <c r="AB33" s="3889">
        <v>0</v>
      </c>
    </row>
    <row r="34" spans="1:30" s="3664" customFormat="1" ht="31.5" customHeight="1">
      <c r="A34" s="3901" t="s">
        <v>419</v>
      </c>
      <c r="B34" s="3901"/>
      <c r="C34" s="3901"/>
      <c r="D34" s="2988">
        <v>16507112</v>
      </c>
      <c r="E34" s="2988">
        <v>6171040</v>
      </c>
      <c r="F34" s="2988">
        <v>0</v>
      </c>
      <c r="G34" s="2988">
        <v>34223</v>
      </c>
      <c r="H34" s="2988">
        <v>0</v>
      </c>
      <c r="I34" s="2988">
        <v>410676</v>
      </c>
      <c r="J34" s="3902"/>
      <c r="K34" s="3902"/>
      <c r="L34" s="2988"/>
      <c r="M34" s="2988"/>
      <c r="N34" s="2988">
        <v>11768208</v>
      </c>
      <c r="O34" s="2988">
        <v>7030292.9245880861</v>
      </c>
      <c r="P34" s="2988">
        <v>930790.39543726237</v>
      </c>
      <c r="Q34" s="2988">
        <v>11768208</v>
      </c>
      <c r="R34" s="2988">
        <v>5955601.7382762991</v>
      </c>
      <c r="S34" s="2988">
        <v>77565.866286438526</v>
      </c>
      <c r="T34" s="2988">
        <v>698092.79657794675</v>
      </c>
      <c r="U34" s="2988">
        <v>802762.39543726237</v>
      </c>
      <c r="V34" s="2988">
        <v>5152839.3428390371</v>
      </c>
      <c r="W34" s="2988">
        <v>661825.39543726237</v>
      </c>
      <c r="X34" s="2988">
        <v>4491013.947401775</v>
      </c>
      <c r="Y34" s="2988">
        <v>2.2000000000000002</v>
      </c>
      <c r="Z34" s="2988">
        <v>122192.85189226869</v>
      </c>
      <c r="AA34" s="2988">
        <v>106082.38619264893</v>
      </c>
      <c r="AB34" s="3889">
        <v>716431.31924678618</v>
      </c>
    </row>
    <row r="35" spans="1:30" ht="17.25" hidden="1" customHeight="1">
      <c r="A35" s="2072" t="s">
        <v>1672</v>
      </c>
      <c r="D35" s="3903"/>
      <c r="E35" s="3904"/>
      <c r="F35" s="2073"/>
      <c r="G35" s="2073"/>
      <c r="H35" s="3771"/>
      <c r="I35" s="2073"/>
      <c r="J35" s="2073"/>
      <c r="K35" s="2073"/>
      <c r="L35" s="3880"/>
      <c r="M35" s="3880"/>
      <c r="N35" s="2073"/>
      <c r="S35" s="2073"/>
      <c r="T35" s="2073"/>
      <c r="X35" s="3812"/>
      <c r="Y35" s="3880"/>
    </row>
    <row r="36" spans="1:30" ht="17.25" customHeight="1">
      <c r="A36" s="2072"/>
      <c r="D36" s="3903"/>
      <c r="E36" s="3904"/>
      <c r="F36" s="2073"/>
      <c r="G36" s="2073"/>
      <c r="H36" s="3771"/>
      <c r="I36" s="2073"/>
      <c r="J36" s="2073"/>
      <c r="K36" s="2073"/>
      <c r="L36" s="3880"/>
      <c r="M36" s="3880"/>
      <c r="N36" s="2073"/>
      <c r="S36" s="2073"/>
      <c r="T36" s="2073"/>
      <c r="X36" s="3812"/>
      <c r="Y36" s="3880"/>
    </row>
    <row r="37" spans="1:30">
      <c r="D37" s="3771"/>
      <c r="E37" s="3771"/>
      <c r="F37" s="3771"/>
      <c r="G37" s="3771"/>
      <c r="S37" s="3771"/>
      <c r="T37" s="3771"/>
    </row>
    <row r="38" spans="1:30" s="2006" customFormat="1">
      <c r="A38" s="2393" t="s">
        <v>2809</v>
      </c>
      <c r="B38" s="2393"/>
      <c r="C38" s="2393"/>
      <c r="D38" s="2393"/>
      <c r="E38" s="2999"/>
      <c r="F38" s="2999"/>
      <c r="G38" s="2999"/>
      <c r="H38" s="2999"/>
      <c r="I38" s="2999"/>
      <c r="J38" s="2393"/>
      <c r="K38" s="2999"/>
      <c r="L38" s="2999"/>
      <c r="M38" s="2326"/>
      <c r="N38" s="2326"/>
      <c r="O38" s="2326"/>
      <c r="T38" s="3905"/>
      <c r="U38" s="2077"/>
    </row>
    <row r="39" spans="1:30" s="2006" customFormat="1">
      <c r="A39" s="2393" t="s">
        <v>1428</v>
      </c>
      <c r="B39" s="2393"/>
      <c r="C39" s="2393"/>
      <c r="D39" s="2393"/>
      <c r="E39" s="2999"/>
      <c r="F39" s="2999"/>
      <c r="G39" s="2999"/>
      <c r="H39" s="2999"/>
      <c r="I39" s="2999"/>
      <c r="J39" s="2393"/>
      <c r="K39" s="2999"/>
      <c r="L39" s="2999"/>
      <c r="M39" s="2326"/>
      <c r="N39" s="2326"/>
      <c r="O39" s="2326"/>
      <c r="Z39" s="3002"/>
      <c r="AA39" s="3002"/>
      <c r="AB39" s="3905"/>
      <c r="AC39" s="2077"/>
    </row>
    <row r="40" spans="1:30" s="2006" customFormat="1">
      <c r="A40" s="2393"/>
      <c r="B40" s="2393"/>
      <c r="C40" s="2393"/>
      <c r="D40" s="2393"/>
      <c r="E40" s="2999"/>
      <c r="F40" s="2999"/>
      <c r="G40" s="2999"/>
      <c r="H40" s="2999"/>
      <c r="I40" s="2999"/>
      <c r="J40" s="2393"/>
      <c r="K40" s="2999"/>
      <c r="L40" s="2999"/>
      <c r="M40" s="2326"/>
      <c r="N40" s="2326"/>
      <c r="O40" s="2326"/>
      <c r="Z40" s="3002"/>
      <c r="AA40" s="3002"/>
      <c r="AB40" s="3905"/>
      <c r="AC40" s="2077"/>
    </row>
    <row r="41" spans="1:30" s="2006" customFormat="1" ht="15.75" customHeight="1">
      <c r="A41" s="4266" t="s">
        <v>902</v>
      </c>
      <c r="B41" s="4267"/>
      <c r="C41" s="3906"/>
      <c r="D41" s="3906"/>
      <c r="E41" s="3906"/>
      <c r="F41" s="3906"/>
      <c r="G41" s="3906"/>
      <c r="H41" s="3906"/>
      <c r="I41" s="3906"/>
      <c r="J41" s="3907" t="s">
        <v>2421</v>
      </c>
      <c r="K41" s="3908"/>
      <c r="L41" s="3907"/>
      <c r="M41" s="4260" t="s">
        <v>2010</v>
      </c>
      <c r="N41" s="4260" t="s">
        <v>2010</v>
      </c>
      <c r="O41" s="2073"/>
      <c r="P41" s="2073"/>
      <c r="Q41" s="4263" t="s">
        <v>2898</v>
      </c>
      <c r="R41" s="4263" t="s">
        <v>2973</v>
      </c>
      <c r="W41" s="2326"/>
      <c r="Y41" s="3909"/>
      <c r="Z41" s="2326"/>
      <c r="AA41" s="2326"/>
      <c r="AB41" s="2326"/>
      <c r="AD41" s="2327"/>
    </row>
    <row r="42" spans="1:30" s="2006" customFormat="1">
      <c r="A42" s="4268"/>
      <c r="B42" s="4269"/>
      <c r="C42" s="3910"/>
      <c r="D42" s="3910"/>
      <c r="E42" s="3910"/>
      <c r="F42" s="3910"/>
      <c r="G42" s="3910"/>
      <c r="H42" s="3910"/>
      <c r="I42" s="3910"/>
      <c r="J42" s="3911" t="s">
        <v>2422</v>
      </c>
      <c r="K42" s="3912"/>
      <c r="L42" s="3913" t="s">
        <v>832</v>
      </c>
      <c r="M42" s="4261"/>
      <c r="N42" s="4261"/>
      <c r="O42" s="2073"/>
      <c r="P42" s="2393"/>
      <c r="Q42" s="4264"/>
      <c r="R42" s="4264"/>
      <c r="X42" s="3909"/>
      <c r="Y42" s="2077"/>
      <c r="Z42" s="2326"/>
      <c r="AA42" s="2326"/>
      <c r="AC42" s="2327"/>
      <c r="AD42" s="2326"/>
    </row>
    <row r="43" spans="1:30" s="2006" customFormat="1" ht="34.5" customHeight="1">
      <c r="A43" s="4270"/>
      <c r="B43" s="4271"/>
      <c r="C43" s="3910"/>
      <c r="D43" s="3910"/>
      <c r="E43" s="3910"/>
      <c r="F43" s="3910"/>
      <c r="G43" s="3910"/>
      <c r="H43" s="3910"/>
      <c r="I43" s="3910"/>
      <c r="J43" s="3925" t="s">
        <v>1134</v>
      </c>
      <c r="K43" s="3914" t="s">
        <v>2423</v>
      </c>
      <c r="L43" s="3915" t="s">
        <v>640</v>
      </c>
      <c r="M43" s="4262"/>
      <c r="N43" s="4262"/>
      <c r="O43" s="2073"/>
      <c r="P43" s="2393"/>
      <c r="Q43" s="4265"/>
      <c r="R43" s="4265"/>
      <c r="X43" s="3909"/>
      <c r="Y43" s="2077"/>
      <c r="Z43" s="2326"/>
      <c r="AA43" s="2326"/>
      <c r="AC43" s="2327"/>
      <c r="AD43" s="2326"/>
    </row>
    <row r="44" spans="1:30" s="2006" customFormat="1">
      <c r="A44" s="4258" t="s">
        <v>1673</v>
      </c>
      <c r="B44" s="4259"/>
      <c r="C44" s="3910"/>
      <c r="D44" s="3910"/>
      <c r="E44" s="3910"/>
      <c r="F44" s="3910"/>
      <c r="G44" s="3910"/>
      <c r="H44" s="3910"/>
      <c r="I44" s="3910"/>
      <c r="J44" s="3916">
        <v>24827.262999999999</v>
      </c>
      <c r="K44" s="3916">
        <v>52.505391400000001</v>
      </c>
      <c r="L44" s="3916">
        <v>24879.768391399997</v>
      </c>
      <c r="M44" s="3917">
        <v>16.769818745732007</v>
      </c>
      <c r="N44" s="3926">
        <v>16.769818745732007</v>
      </c>
      <c r="O44" s="2073"/>
      <c r="P44" s="2073"/>
      <c r="Q44" s="3927">
        <v>20.491519782574223</v>
      </c>
      <c r="R44" s="3927">
        <v>17.889823885654664</v>
      </c>
      <c r="X44" s="3919"/>
      <c r="Y44" s="2077"/>
      <c r="AC44" s="2006">
        <v>23157.851999999999</v>
      </c>
      <c r="AD44" s="3920" t="e">
        <v>#DIV/0!</v>
      </c>
    </row>
    <row r="45" spans="1:30" s="2006" customFormat="1" ht="29.25" customHeight="1">
      <c r="A45" s="4272" t="s">
        <v>2808</v>
      </c>
      <c r="B45" s="4273"/>
      <c r="C45" s="3910"/>
      <c r="D45" s="3910"/>
      <c r="E45" s="3910"/>
      <c r="F45" s="3910"/>
      <c r="G45" s="3910"/>
      <c r="H45" s="3910"/>
      <c r="I45" s="3910"/>
      <c r="J45" s="3916">
        <v>122064.49100000001</v>
      </c>
      <c r="K45" s="3916">
        <v>1416.13</v>
      </c>
      <c r="L45" s="3916">
        <v>123480.62100000001</v>
      </c>
      <c r="M45" s="3917">
        <v>83.230181254268004</v>
      </c>
      <c r="N45" s="3928">
        <v>83.230181254268004</v>
      </c>
      <c r="P45" s="2073"/>
      <c r="Q45" s="3929">
        <v>101.70133210969449</v>
      </c>
      <c r="R45" s="3929">
        <v>88.19256230699429</v>
      </c>
      <c r="X45" s="3919"/>
      <c r="Y45" s="2077"/>
      <c r="AC45" s="2006">
        <v>133980</v>
      </c>
      <c r="AD45" s="3920" t="e">
        <v>#DIV/0!</v>
      </c>
    </row>
    <row r="46" spans="1:30" s="2006" customFormat="1">
      <c r="A46" s="4258" t="s">
        <v>419</v>
      </c>
      <c r="B46" s="4259"/>
      <c r="C46" s="3910"/>
      <c r="D46" s="3910"/>
      <c r="E46" s="3910"/>
      <c r="F46" s="3910"/>
      <c r="G46" s="3910"/>
      <c r="H46" s="3910"/>
      <c r="I46" s="3910"/>
      <c r="J46" s="3921"/>
      <c r="K46" s="3916"/>
      <c r="L46" s="3916">
        <v>148360.38939140001</v>
      </c>
      <c r="M46" s="3922">
        <v>100.00000000000001</v>
      </c>
      <c r="N46" s="3929">
        <v>100.00000000000001</v>
      </c>
      <c r="O46" s="2073"/>
      <c r="P46" s="2073"/>
      <c r="Q46" s="3929">
        <v>122.19285189226872</v>
      </c>
      <c r="R46" s="3929">
        <v>106.08238619264895</v>
      </c>
      <c r="X46" s="3919"/>
      <c r="Y46" s="2077"/>
      <c r="AC46" s="2006">
        <v>157137.85200000001</v>
      </c>
      <c r="AD46" s="3920" t="e">
        <v>#DIV/0!</v>
      </c>
    </row>
    <row r="47" spans="1:30">
      <c r="B47" s="3410"/>
      <c r="C47" s="3410"/>
    </row>
    <row r="48" spans="1:30">
      <c r="A48" s="3410"/>
      <c r="B48" s="3410"/>
      <c r="C48" s="3410"/>
      <c r="O48" s="2073"/>
    </row>
    <row r="49" spans="1:28">
      <c r="A49" s="2073" t="s">
        <v>1266</v>
      </c>
      <c r="P49" s="2989"/>
    </row>
    <row r="50" spans="1:28">
      <c r="A50" s="2073" t="s">
        <v>1304</v>
      </c>
      <c r="D50" s="2073"/>
      <c r="E50" s="2073"/>
      <c r="F50" s="2073"/>
      <c r="G50" s="2073"/>
      <c r="H50" s="2073"/>
      <c r="I50" s="2073"/>
      <c r="J50" s="2073"/>
      <c r="K50" s="2073"/>
      <c r="N50" s="2073"/>
      <c r="O50" s="3007"/>
      <c r="P50" s="3007">
        <v>-115494.39543726237</v>
      </c>
      <c r="Q50" s="2073"/>
      <c r="R50" s="3007" t="s">
        <v>2876</v>
      </c>
      <c r="S50" s="2073"/>
      <c r="T50" s="2073"/>
      <c r="U50" s="2073"/>
      <c r="V50" s="2073"/>
      <c r="W50" s="2073"/>
    </row>
    <row r="52" spans="1:28" s="3881" customFormat="1" hidden="1">
      <c r="D52" s="3882"/>
      <c r="E52" s="3882"/>
      <c r="F52" s="3882"/>
      <c r="G52" s="3882"/>
      <c r="H52" s="3882"/>
      <c r="I52" s="3882"/>
      <c r="J52" s="3882"/>
      <c r="K52" s="3882"/>
      <c r="N52" s="3882"/>
      <c r="O52" s="3882">
        <v>5793669</v>
      </c>
      <c r="P52" s="3882">
        <v>815296</v>
      </c>
      <c r="Q52" s="3882"/>
      <c r="R52" s="3882">
        <v>7676829</v>
      </c>
      <c r="S52" s="3882">
        <v>71570</v>
      </c>
      <c r="T52" s="3882">
        <v>644130</v>
      </c>
      <c r="U52" s="3882">
        <v>858840</v>
      </c>
      <c r="V52" s="3882">
        <v>5152839.3428390371</v>
      </c>
      <c r="W52" s="3882">
        <v>930790.39543726237</v>
      </c>
      <c r="X52" s="3881">
        <v>4491013.947401775</v>
      </c>
      <c r="Z52" s="3881">
        <v>917028</v>
      </c>
      <c r="AA52" s="3881">
        <v>917028</v>
      </c>
    </row>
    <row r="54" spans="1:28" s="2006" customFormat="1">
      <c r="A54" s="2073"/>
      <c r="B54" s="2073"/>
      <c r="C54" s="2073" t="s">
        <v>659</v>
      </c>
      <c r="L54" s="2073"/>
      <c r="M54" s="2073"/>
      <c r="X54" s="2073"/>
      <c r="Y54" s="2073"/>
      <c r="Z54" s="2073"/>
      <c r="AA54" s="2073"/>
      <c r="AB54" s="2073"/>
    </row>
    <row r="58" spans="1:28" s="2006" customFormat="1">
      <c r="A58" s="2073"/>
      <c r="B58" s="2073"/>
      <c r="C58" s="2073"/>
      <c r="D58" s="2073"/>
      <c r="E58" s="2073"/>
      <c r="F58" s="2073"/>
      <c r="G58" s="2073"/>
      <c r="H58" s="2073"/>
      <c r="I58" s="2073"/>
      <c r="J58" s="2073"/>
      <c r="K58" s="2073"/>
      <c r="L58" s="2073"/>
      <c r="M58" s="2073"/>
      <c r="N58" s="2073"/>
      <c r="Q58" s="2073"/>
      <c r="S58" s="2073"/>
      <c r="T58" s="2073"/>
      <c r="X58" s="2073"/>
      <c r="Y58" s="2073"/>
      <c r="Z58" s="2073"/>
      <c r="AA58" s="2073"/>
      <c r="AB58" s="2073"/>
    </row>
    <row r="59" spans="1:28" s="2006" customFormat="1">
      <c r="A59" s="2073"/>
      <c r="B59" s="2073"/>
      <c r="C59" s="2073"/>
      <c r="D59" s="2073"/>
      <c r="E59" s="2073"/>
      <c r="F59" s="2073"/>
      <c r="G59" s="2073"/>
      <c r="H59" s="2073"/>
      <c r="I59" s="2073"/>
      <c r="J59" s="2073"/>
      <c r="K59" s="2073"/>
      <c r="L59" s="2073"/>
      <c r="M59" s="2073"/>
      <c r="N59" s="2073"/>
      <c r="Q59" s="2073"/>
      <c r="S59" s="2073"/>
      <c r="T59" s="2073"/>
      <c r="X59" s="2073"/>
      <c r="Y59" s="2073"/>
      <c r="Z59" s="2073"/>
      <c r="AA59" s="2073"/>
      <c r="AB59" s="2073"/>
    </row>
    <row r="60" spans="1:28" s="2006" customFormat="1">
      <c r="A60" s="2073"/>
      <c r="B60" s="2073"/>
      <c r="C60" s="2073"/>
      <c r="D60" s="2073"/>
      <c r="E60" s="2073"/>
      <c r="F60" s="2073"/>
      <c r="G60" s="2073"/>
      <c r="H60" s="2073"/>
      <c r="I60" s="2073"/>
      <c r="J60" s="2073"/>
      <c r="K60" s="2073"/>
      <c r="L60" s="2073"/>
      <c r="M60" s="2073"/>
      <c r="N60" s="2073"/>
      <c r="Q60" s="2073"/>
      <c r="S60" s="2073"/>
      <c r="T60" s="2073"/>
      <c r="X60" s="2073"/>
      <c r="Y60" s="2073"/>
      <c r="Z60" s="2073"/>
      <c r="AA60" s="2073"/>
      <c r="AB60" s="2073"/>
    </row>
    <row r="61" spans="1:28" s="2006" customFormat="1">
      <c r="A61" s="2073"/>
      <c r="B61" s="2073"/>
      <c r="C61" s="2073"/>
      <c r="D61" s="2073"/>
      <c r="E61" s="2073"/>
      <c r="F61" s="2073"/>
      <c r="G61" s="2073"/>
      <c r="H61" s="2073"/>
      <c r="I61" s="2073"/>
      <c r="J61" s="2073"/>
      <c r="K61" s="2073"/>
      <c r="L61" s="2073"/>
      <c r="M61" s="2073"/>
      <c r="N61" s="2073"/>
      <c r="Q61" s="2073"/>
      <c r="S61" s="2073"/>
      <c r="T61" s="2073"/>
      <c r="X61" s="2073"/>
      <c r="Y61" s="2073"/>
      <c r="Z61" s="2073"/>
      <c r="AA61" s="2073"/>
      <c r="AB61" s="2073"/>
    </row>
    <row r="68" spans="1:28" s="2006" customFormat="1">
      <c r="A68" s="2073"/>
      <c r="B68" s="2073"/>
      <c r="C68" s="2073"/>
      <c r="D68" s="3923" t="s">
        <v>657</v>
      </c>
      <c r="G68" s="3923" t="s">
        <v>657</v>
      </c>
      <c r="H68" s="3923" t="s">
        <v>657</v>
      </c>
      <c r="I68" s="3923" t="s">
        <v>657</v>
      </c>
      <c r="J68" s="3923"/>
      <c r="K68" s="3923"/>
      <c r="L68" s="2073"/>
      <c r="M68" s="2073"/>
      <c r="N68" s="3923"/>
      <c r="S68" s="3923" t="s">
        <v>657</v>
      </c>
      <c r="T68" s="3923" t="s">
        <v>657</v>
      </c>
      <c r="X68" s="2073"/>
      <c r="Y68" s="2073"/>
      <c r="Z68" s="2073"/>
      <c r="AA68" s="2073"/>
      <c r="AB68" s="2073"/>
    </row>
    <row r="69" spans="1:28" s="2006" customFormat="1">
      <c r="A69" s="2073"/>
      <c r="B69" s="2073"/>
      <c r="C69" s="2073"/>
      <c r="D69" s="3882">
        <v>16537416.32</v>
      </c>
      <c r="G69" s="3882">
        <v>34812.85</v>
      </c>
      <c r="H69" s="3882">
        <v>17879.05</v>
      </c>
      <c r="I69" s="3882" t="e">
        <v>#REF!</v>
      </c>
      <c r="J69" s="3882"/>
      <c r="K69" s="3882"/>
      <c r="L69" s="2073"/>
      <c r="M69" s="2073"/>
      <c r="N69" s="3882"/>
      <c r="S69" s="3882">
        <v>78155.716286438532</v>
      </c>
      <c r="T69" s="3882">
        <v>698682.64657794673</v>
      </c>
      <c r="X69" s="2073"/>
      <c r="Y69" s="2073"/>
      <c r="Z69" s="2073"/>
      <c r="AA69" s="2073"/>
      <c r="AB69" s="2073"/>
    </row>
    <row r="70" spans="1:28" s="2006" customFormat="1">
      <c r="A70" s="2073"/>
      <c r="B70" s="2073"/>
      <c r="C70" s="2073"/>
      <c r="D70" s="2006">
        <v>113600.61</v>
      </c>
      <c r="L70" s="2073"/>
      <c r="M70" s="2073"/>
      <c r="X70" s="2073"/>
      <c r="Y70" s="2073"/>
      <c r="Z70" s="2073"/>
      <c r="AA70" s="2073"/>
      <c r="AB70" s="2073"/>
    </row>
    <row r="71" spans="1:28" s="2006" customFormat="1">
      <c r="A71" s="2073"/>
      <c r="B71" s="2073"/>
      <c r="C71" s="2073"/>
      <c r="D71" s="3924">
        <v>-16423815.710000001</v>
      </c>
      <c r="L71" s="2073"/>
      <c r="M71" s="2073"/>
      <c r="X71" s="2073"/>
      <c r="Y71" s="2073"/>
      <c r="Z71" s="2073"/>
      <c r="AA71" s="2073"/>
      <c r="AB71" s="2073"/>
    </row>
  </sheetData>
  <mergeCells count="8">
    <mergeCell ref="A44:B44"/>
    <mergeCell ref="A45:B45"/>
    <mergeCell ref="A46:B46"/>
    <mergeCell ref="R41:R43"/>
    <mergeCell ref="N41:N43"/>
    <mergeCell ref="A41:B43"/>
    <mergeCell ref="M41:M43"/>
    <mergeCell ref="Q41:Q43"/>
  </mergeCells>
  <printOptions horizontalCentered="1"/>
  <pageMargins left="0.19685039370078741" right="0.19685039370078741" top="0.78740157480314965" bottom="0.11811023622047245" header="0.51181102362204722" footer="3.937007874015748E-2"/>
  <pageSetup paperSize="9" scale="68" orientation="landscape" r:id="rId1"/>
  <headerFooter alignWithMargins="0"/>
  <rowBreaks count="1" manualBreakCount="1">
    <brk id="28" max="26" man="1"/>
  </rowBreaks>
  <colBreaks count="1" manualBreakCount="1">
    <brk id="27" max="1048575" man="1"/>
  </colBreaks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 enableFormatConditionsCalculation="0">
    <tabColor rgb="FFFF0000"/>
  </sheetPr>
  <dimension ref="A1:L58"/>
  <sheetViews>
    <sheetView topLeftCell="A2" workbookViewId="0">
      <pane ySplit="6" topLeftCell="A8" activePane="bottomLeft" state="frozen"/>
      <selection activeCell="B32" sqref="A1:XFD1048576"/>
      <selection pane="bottomLeft" activeCell="F7" sqref="F7"/>
    </sheetView>
  </sheetViews>
  <sheetFormatPr defaultColWidth="9.109375" defaultRowHeight="13.2"/>
  <cols>
    <col min="1" max="1" width="7.109375" style="3623" customWidth="1"/>
    <col min="2" max="2" width="60.109375" style="3623" customWidth="1"/>
    <col min="3" max="3" width="14.6640625" style="3623" hidden="1" customWidth="1"/>
    <col min="4" max="4" width="14.6640625" style="3623" customWidth="1"/>
    <col min="5" max="5" width="16.44140625" style="3623" customWidth="1"/>
    <col min="6" max="6" width="14.88671875" style="3623" customWidth="1"/>
    <col min="7" max="7" width="14.6640625" style="3623" customWidth="1"/>
    <col min="8" max="8" width="14.5546875" style="3624" customWidth="1"/>
    <col min="9" max="9" width="10.5546875" style="3623" hidden="1" customWidth="1"/>
    <col min="10" max="10" width="10.88671875" style="3623" hidden="1" customWidth="1"/>
    <col min="11" max="11" width="10.109375" style="3623" hidden="1" customWidth="1"/>
    <col min="12" max="17" width="0" style="3623" hidden="1" customWidth="1"/>
    <col min="18" max="16384" width="9.109375" style="3623"/>
  </cols>
  <sheetData>
    <row r="1" spans="1:12" hidden="1"/>
    <row r="2" spans="1:12" s="3628" customFormat="1" ht="24.75" customHeight="1">
      <c r="A2" s="3041" t="s">
        <v>2983</v>
      </c>
      <c r="B2" s="3625"/>
      <c r="C2" s="3625"/>
      <c r="D2" s="3625"/>
      <c r="E2" s="3625"/>
      <c r="F2" s="3625"/>
      <c r="G2" s="3626"/>
      <c r="H2" s="3627"/>
    </row>
    <row r="3" spans="1:12" s="3628" customFormat="1" ht="22.5" customHeight="1">
      <c r="A3" s="3041" t="s">
        <v>1488</v>
      </c>
      <c r="B3" s="3625"/>
      <c r="C3" s="3625"/>
      <c r="D3" s="3625"/>
      <c r="E3" s="3625"/>
      <c r="F3" s="3625"/>
      <c r="G3" s="3626"/>
      <c r="H3" s="3627"/>
    </row>
    <row r="4" spans="1:12" s="3628" customFormat="1" ht="21.75" customHeight="1">
      <c r="A4" s="3041" t="s">
        <v>2978</v>
      </c>
      <c r="B4" s="3625"/>
      <c r="C4" s="3625"/>
      <c r="D4" s="3625"/>
      <c r="E4" s="3625"/>
      <c r="F4" s="3625"/>
      <c r="G4" s="3626"/>
      <c r="H4" s="3627"/>
    </row>
    <row r="5" spans="1:12" ht="16.5" customHeight="1" thickBot="1">
      <c r="A5" s="3629"/>
      <c r="B5" s="3629"/>
      <c r="C5" s="3629"/>
      <c r="D5" s="3629"/>
      <c r="E5" s="3629"/>
    </row>
    <row r="6" spans="1:12" s="3633" customFormat="1" ht="93.75" customHeight="1">
      <c r="A6" s="3630" t="s">
        <v>624</v>
      </c>
      <c r="B6" s="4276" t="s">
        <v>623</v>
      </c>
      <c r="C6" s="4274" t="s">
        <v>1704</v>
      </c>
      <c r="D6" s="4274" t="s">
        <v>2977</v>
      </c>
      <c r="E6" s="4274" t="s">
        <v>2980</v>
      </c>
      <c r="F6" s="3631" t="s">
        <v>2979</v>
      </c>
      <c r="G6" s="4274" t="s">
        <v>2981</v>
      </c>
      <c r="H6" s="3632" t="s">
        <v>2835</v>
      </c>
      <c r="J6" s="3624"/>
    </row>
    <row r="7" spans="1:12" s="3633" customFormat="1" ht="21.75" customHeight="1">
      <c r="A7" s="3634"/>
      <c r="B7" s="4277"/>
      <c r="C7" s="4275"/>
      <c r="D7" s="4275"/>
      <c r="E7" s="4275"/>
      <c r="F7" s="3673">
        <v>1.2098711668392203E-5</v>
      </c>
      <c r="G7" s="4278"/>
      <c r="H7" s="3635">
        <v>1.2098711668392203E-5</v>
      </c>
      <c r="J7" s="3624"/>
    </row>
    <row r="8" spans="1:12" s="3633" customFormat="1" ht="32.25" customHeight="1">
      <c r="A8" s="3636">
        <v>1</v>
      </c>
      <c r="B8" s="3637" t="s">
        <v>622</v>
      </c>
      <c r="C8" s="3036">
        <v>1031358.6530931873</v>
      </c>
      <c r="D8" s="3036">
        <v>1861169.324221716</v>
      </c>
      <c r="E8" s="3036">
        <v>1928171.4198936978</v>
      </c>
      <c r="F8" s="2908">
        <v>0</v>
      </c>
      <c r="G8" s="3036">
        <v>2003370.105269552</v>
      </c>
      <c r="H8" s="3638">
        <v>0</v>
      </c>
      <c r="J8" s="3624"/>
      <c r="K8" s="3639"/>
      <c r="L8" s="3639"/>
    </row>
    <row r="9" spans="1:12" s="3633" customFormat="1" ht="32.25" customHeight="1">
      <c r="A9" s="3636">
        <v>2</v>
      </c>
      <c r="B9" s="3637" t="s">
        <v>2555</v>
      </c>
      <c r="C9" s="3036">
        <v>285686.34690681292</v>
      </c>
      <c r="D9" s="3036">
        <v>589990.67577828397</v>
      </c>
      <c r="E9" s="3036">
        <v>611230.34010630217</v>
      </c>
      <c r="F9" s="2908">
        <v>0</v>
      </c>
      <c r="G9" s="3036">
        <v>635068.32337044796</v>
      </c>
      <c r="H9" s="3638">
        <v>0</v>
      </c>
      <c r="J9" s="3624"/>
      <c r="K9" s="3640">
        <v>2539401.7599999998</v>
      </c>
      <c r="L9" s="3624"/>
    </row>
    <row r="10" spans="1:12" s="3633" customFormat="1" ht="15.6">
      <c r="A10" s="3636">
        <v>3</v>
      </c>
      <c r="B10" s="3641" t="s">
        <v>632</v>
      </c>
      <c r="C10" s="3036">
        <v>52656</v>
      </c>
      <c r="D10" s="3036">
        <v>172722</v>
      </c>
      <c r="E10" s="3036">
        <v>172722</v>
      </c>
      <c r="F10" s="2908">
        <v>0</v>
      </c>
      <c r="G10" s="3036">
        <v>172722</v>
      </c>
      <c r="H10" s="3638">
        <v>0</v>
      </c>
      <c r="J10" s="3624" t="s">
        <v>1136</v>
      </c>
      <c r="K10" s="3624" t="e">
        <v>#DIV/0!</v>
      </c>
      <c r="L10" s="3624" t="e">
        <v>#DIV/0!</v>
      </c>
    </row>
    <row r="11" spans="1:12" s="3633" customFormat="1" ht="15" hidden="1" customHeight="1">
      <c r="A11" s="3642" t="s">
        <v>703</v>
      </c>
      <c r="B11" s="3641" t="s">
        <v>386</v>
      </c>
      <c r="C11" s="3036"/>
      <c r="D11" s="3036"/>
      <c r="E11" s="3036">
        <v>0</v>
      </c>
      <c r="F11" s="3036"/>
      <c r="G11" s="3643"/>
      <c r="H11" s="3644"/>
      <c r="J11" s="3624"/>
    </row>
    <row r="12" spans="1:12" s="3633" customFormat="1" ht="15" hidden="1" customHeight="1">
      <c r="A12" s="3642" t="s">
        <v>703</v>
      </c>
      <c r="B12" s="3641" t="s">
        <v>1229</v>
      </c>
      <c r="C12" s="3036"/>
      <c r="D12" s="3036"/>
      <c r="E12" s="3036">
        <v>0</v>
      </c>
      <c r="F12" s="3036"/>
      <c r="G12" s="3643"/>
      <c r="H12" s="3644"/>
      <c r="J12" s="3624"/>
    </row>
    <row r="13" spans="1:12" s="3633" customFormat="1" ht="15" hidden="1" customHeight="1">
      <c r="A13" s="3642" t="s">
        <v>704</v>
      </c>
      <c r="B13" s="3641" t="s">
        <v>386</v>
      </c>
      <c r="C13" s="3036"/>
      <c r="D13" s="3036"/>
      <c r="E13" s="3036">
        <v>0</v>
      </c>
      <c r="F13" s="3036"/>
      <c r="G13" s="3643"/>
      <c r="H13" s="3644"/>
      <c r="J13" s="3624"/>
    </row>
    <row r="14" spans="1:12" s="3633" customFormat="1" ht="15" hidden="1" customHeight="1">
      <c r="A14" s="3642" t="s">
        <v>705</v>
      </c>
      <c r="B14" s="3641" t="s">
        <v>883</v>
      </c>
      <c r="C14" s="3645">
        <v>0</v>
      </c>
      <c r="D14" s="3645">
        <v>0</v>
      </c>
      <c r="E14" s="3036">
        <v>0</v>
      </c>
      <c r="F14" s="3645"/>
      <c r="G14" s="3645"/>
      <c r="H14" s="3646"/>
      <c r="J14" s="3624"/>
    </row>
    <row r="15" spans="1:12" s="3633" customFormat="1" ht="29.4" hidden="1">
      <c r="A15" s="3636" t="s">
        <v>212</v>
      </c>
      <c r="B15" s="3637" t="s">
        <v>882</v>
      </c>
      <c r="C15" s="3645">
        <v>0</v>
      </c>
      <c r="D15" s="3645">
        <v>0</v>
      </c>
      <c r="E15" s="3036">
        <v>0</v>
      </c>
      <c r="F15" s="3645"/>
      <c r="G15" s="3645"/>
      <c r="H15" s="3646"/>
      <c r="J15" s="3624"/>
    </row>
    <row r="16" spans="1:12" s="3633" customFormat="1" ht="13.5" customHeight="1">
      <c r="A16" s="3636" t="s">
        <v>210</v>
      </c>
      <c r="B16" s="3637" t="s">
        <v>316</v>
      </c>
      <c r="C16" s="3036">
        <v>1077519.9999999998</v>
      </c>
      <c r="D16" s="3036">
        <v>1357354</v>
      </c>
      <c r="E16" s="3036">
        <v>1406218.7439999999</v>
      </c>
      <c r="F16" s="3036">
        <v>53.47</v>
      </c>
      <c r="G16" s="3036">
        <v>1459408.9938400001</v>
      </c>
      <c r="H16" s="3647">
        <v>51.668388102437731</v>
      </c>
      <c r="J16" s="3640">
        <v>51.668388102437731</v>
      </c>
    </row>
    <row r="17" spans="1:10" s="3650" customFormat="1" ht="46.5" customHeight="1">
      <c r="A17" s="3642" t="s">
        <v>703</v>
      </c>
      <c r="B17" s="3648" t="s">
        <v>1487</v>
      </c>
      <c r="C17" s="3649">
        <v>558501</v>
      </c>
      <c r="D17" s="3649">
        <v>559921</v>
      </c>
      <c r="E17" s="3649">
        <v>580078.15600000008</v>
      </c>
      <c r="F17" s="2908">
        <v>0</v>
      </c>
      <c r="G17" s="3649">
        <v>602701.20408400008</v>
      </c>
      <c r="H17" s="3638">
        <v>0</v>
      </c>
      <c r="J17" s="3640">
        <v>580078.15600000008</v>
      </c>
    </row>
    <row r="18" spans="1:10" s="3650" customFormat="1" ht="27.6" hidden="1">
      <c r="A18" s="3642"/>
      <c r="B18" s="3648" t="s">
        <v>1223</v>
      </c>
      <c r="C18" s="3649"/>
      <c r="D18" s="3649"/>
      <c r="E18" s="3649">
        <v>0</v>
      </c>
      <c r="F18" s="2908">
        <v>0</v>
      </c>
      <c r="G18" s="3649">
        <v>0</v>
      </c>
      <c r="H18" s="3638">
        <v>0</v>
      </c>
      <c r="J18" s="3640">
        <v>5196.6900000000005</v>
      </c>
    </row>
    <row r="19" spans="1:10" s="3650" customFormat="1" ht="13.8" hidden="1">
      <c r="A19" s="3642"/>
      <c r="B19" s="3648" t="s">
        <v>1224</v>
      </c>
      <c r="C19" s="3649"/>
      <c r="D19" s="3649"/>
      <c r="E19" s="3649">
        <v>0</v>
      </c>
      <c r="F19" s="2908">
        <v>0</v>
      </c>
      <c r="G19" s="3649">
        <v>0</v>
      </c>
      <c r="H19" s="3638">
        <v>0</v>
      </c>
      <c r="J19" s="3624"/>
    </row>
    <row r="20" spans="1:10" s="3650" customFormat="1" ht="44.25" hidden="1" customHeight="1">
      <c r="A20" s="3642"/>
      <c r="B20" s="3648" t="s">
        <v>1225</v>
      </c>
      <c r="C20" s="3649"/>
      <c r="D20" s="3649"/>
      <c r="E20" s="3649">
        <v>0</v>
      </c>
      <c r="F20" s="2908">
        <v>0</v>
      </c>
      <c r="G20" s="3649">
        <v>0</v>
      </c>
      <c r="H20" s="3638">
        <v>0</v>
      </c>
      <c r="J20" s="3624"/>
    </row>
    <row r="21" spans="1:10" s="3650" customFormat="1" ht="13.8" hidden="1">
      <c r="A21" s="3642"/>
      <c r="B21" s="3648" t="s">
        <v>651</v>
      </c>
      <c r="C21" s="3649"/>
      <c r="D21" s="3649"/>
      <c r="E21" s="3649">
        <v>0</v>
      </c>
      <c r="F21" s="2908">
        <v>0</v>
      </c>
      <c r="G21" s="3649">
        <v>0</v>
      </c>
      <c r="H21" s="3638">
        <v>0</v>
      </c>
      <c r="J21" s="3624"/>
    </row>
    <row r="22" spans="1:10" s="3650" customFormat="1" ht="13.8" hidden="1">
      <c r="A22" s="3642"/>
      <c r="B22" s="3648" t="s">
        <v>653</v>
      </c>
      <c r="C22" s="3649"/>
      <c r="D22" s="3649"/>
      <c r="E22" s="3649">
        <v>0</v>
      </c>
      <c r="F22" s="2908">
        <v>0</v>
      </c>
      <c r="G22" s="3649">
        <v>0</v>
      </c>
      <c r="H22" s="3638">
        <v>0</v>
      </c>
      <c r="J22" s="3624"/>
    </row>
    <row r="23" spans="1:10" s="3650" customFormat="1" ht="9.75" hidden="1" customHeight="1">
      <c r="A23" s="3642"/>
      <c r="B23" s="3648" t="s">
        <v>1226</v>
      </c>
      <c r="C23" s="3649"/>
      <c r="D23" s="3649"/>
      <c r="E23" s="3649">
        <v>0</v>
      </c>
      <c r="F23" s="2908">
        <v>0</v>
      </c>
      <c r="G23" s="3649">
        <v>0</v>
      </c>
      <c r="H23" s="3638">
        <v>0</v>
      </c>
      <c r="J23" s="3624"/>
    </row>
    <row r="24" spans="1:10" s="3650" customFormat="1" ht="20.25" hidden="1" customHeight="1">
      <c r="A24" s="3642" t="s">
        <v>704</v>
      </c>
      <c r="B24" s="3648" t="s">
        <v>1227</v>
      </c>
      <c r="C24" s="3649">
        <v>62797</v>
      </c>
      <c r="D24" s="3649"/>
      <c r="E24" s="3649">
        <v>0</v>
      </c>
      <c r="F24" s="2908">
        <v>0</v>
      </c>
      <c r="G24" s="3649">
        <v>0</v>
      </c>
      <c r="H24" s="3638">
        <v>0</v>
      </c>
      <c r="J24" s="3624"/>
    </row>
    <row r="25" spans="1:10" s="3650" customFormat="1" ht="20.25" hidden="1" customHeight="1">
      <c r="A25" s="3642"/>
      <c r="B25" s="3648" t="s">
        <v>385</v>
      </c>
      <c r="C25" s="3649"/>
      <c r="D25" s="3649"/>
      <c r="E25" s="3649">
        <v>0</v>
      </c>
      <c r="F25" s="2908">
        <v>0</v>
      </c>
      <c r="G25" s="3649">
        <v>0</v>
      </c>
      <c r="H25" s="3638">
        <v>0</v>
      </c>
      <c r="J25" s="3624"/>
    </row>
    <row r="26" spans="1:10" s="3650" customFormat="1" ht="13.8" hidden="1">
      <c r="A26" s="3642"/>
      <c r="B26" s="3648" t="s">
        <v>1228</v>
      </c>
      <c r="C26" s="3649"/>
      <c r="D26" s="3649"/>
      <c r="E26" s="3649">
        <v>0</v>
      </c>
      <c r="F26" s="2908">
        <v>0</v>
      </c>
      <c r="G26" s="3649">
        <v>0</v>
      </c>
      <c r="H26" s="3638">
        <v>0</v>
      </c>
      <c r="J26" s="3624"/>
    </row>
    <row r="27" spans="1:10" s="3650" customFormat="1" ht="17.25" hidden="1" customHeight="1">
      <c r="A27" s="3642" t="s">
        <v>705</v>
      </c>
      <c r="B27" s="3648" t="s">
        <v>884</v>
      </c>
      <c r="C27" s="3649"/>
      <c r="D27" s="3649"/>
      <c r="E27" s="3649">
        <v>0</v>
      </c>
      <c r="F27" s="2908">
        <v>0</v>
      </c>
      <c r="G27" s="3649">
        <v>0</v>
      </c>
      <c r="H27" s="3638">
        <v>0</v>
      </c>
      <c r="J27" s="3624"/>
    </row>
    <row r="28" spans="1:10" s="3650" customFormat="1" ht="15.75" hidden="1" customHeight="1">
      <c r="A28" s="3642"/>
      <c r="B28" s="3648" t="s">
        <v>1231</v>
      </c>
      <c r="C28" s="3649"/>
      <c r="D28" s="3649"/>
      <c r="E28" s="3649">
        <v>0</v>
      </c>
      <c r="F28" s="2908">
        <v>0</v>
      </c>
      <c r="G28" s="3649">
        <v>0</v>
      </c>
      <c r="H28" s="3647"/>
      <c r="J28" s="3640">
        <v>3236.3999999999996</v>
      </c>
    </row>
    <row r="29" spans="1:10" s="3650" customFormat="1" ht="27.6" hidden="1">
      <c r="A29" s="3642"/>
      <c r="B29" s="3648" t="s">
        <v>1232</v>
      </c>
      <c r="C29" s="3649"/>
      <c r="D29" s="3649"/>
      <c r="E29" s="3649">
        <v>0</v>
      </c>
      <c r="F29" s="2908">
        <v>0</v>
      </c>
      <c r="G29" s="3649">
        <v>0</v>
      </c>
      <c r="H29" s="3647"/>
      <c r="J29" s="3624"/>
    </row>
    <row r="30" spans="1:10" s="3650" customFormat="1" ht="15" hidden="1" customHeight="1">
      <c r="A30" s="3642"/>
      <c r="B30" s="3648" t="s">
        <v>887</v>
      </c>
      <c r="C30" s="3649"/>
      <c r="D30" s="3649"/>
      <c r="E30" s="3649">
        <v>0</v>
      </c>
      <c r="F30" s="2908">
        <v>0</v>
      </c>
      <c r="G30" s="3649">
        <v>0</v>
      </c>
      <c r="H30" s="3647"/>
      <c r="J30" s="3624"/>
    </row>
    <row r="31" spans="1:10" s="3650" customFormat="1" ht="18.75" hidden="1" customHeight="1">
      <c r="A31" s="3642" t="s">
        <v>2836</v>
      </c>
      <c r="B31" s="3648" t="s">
        <v>885</v>
      </c>
      <c r="C31" s="3649"/>
      <c r="D31" s="3649"/>
      <c r="E31" s="3649">
        <v>0</v>
      </c>
      <c r="F31" s="2908">
        <v>0</v>
      </c>
      <c r="G31" s="3649">
        <v>0</v>
      </c>
      <c r="H31" s="3647"/>
      <c r="J31" s="3624"/>
    </row>
    <row r="32" spans="1:10" s="3650" customFormat="1" ht="18" hidden="1" customHeight="1">
      <c r="A32" s="3642"/>
      <c r="B32" s="3648" t="s">
        <v>1230</v>
      </c>
      <c r="C32" s="3649"/>
      <c r="D32" s="3649"/>
      <c r="E32" s="3649">
        <v>0</v>
      </c>
      <c r="F32" s="2908">
        <v>0</v>
      </c>
      <c r="G32" s="3649">
        <v>0</v>
      </c>
      <c r="H32" s="3647"/>
      <c r="J32" s="3624"/>
    </row>
    <row r="33" spans="1:12" s="3650" customFormat="1" ht="14.25" hidden="1" customHeight="1">
      <c r="A33" s="3642"/>
      <c r="B33" s="3648"/>
      <c r="C33" s="3649"/>
      <c r="D33" s="3649"/>
      <c r="E33" s="3649">
        <v>0</v>
      </c>
      <c r="F33" s="2908">
        <v>0</v>
      </c>
      <c r="G33" s="3649">
        <v>0</v>
      </c>
      <c r="H33" s="3647"/>
      <c r="J33" s="3624"/>
    </row>
    <row r="34" spans="1:12" s="3650" customFormat="1" ht="14.25" hidden="1" customHeight="1">
      <c r="A34" s="3642"/>
      <c r="B34" s="3648" t="s">
        <v>886</v>
      </c>
      <c r="C34" s="3649"/>
      <c r="D34" s="3649"/>
      <c r="E34" s="3649">
        <v>0</v>
      </c>
      <c r="F34" s="2908">
        <v>0</v>
      </c>
      <c r="G34" s="3649">
        <v>0</v>
      </c>
      <c r="H34" s="3647"/>
      <c r="J34" s="3624"/>
    </row>
    <row r="35" spans="1:12" s="3650" customFormat="1" ht="18" hidden="1" customHeight="1">
      <c r="A35" s="3642"/>
      <c r="B35" s="3648"/>
      <c r="C35" s="3649"/>
      <c r="D35" s="3649"/>
      <c r="E35" s="3649">
        <v>0</v>
      </c>
      <c r="F35" s="2908">
        <v>0</v>
      </c>
      <c r="G35" s="3649">
        <v>0</v>
      </c>
      <c r="H35" s="3647"/>
      <c r="J35" s="3624">
        <v>-3.369388250537253E-2</v>
      </c>
    </row>
    <row r="36" spans="1:12" s="3650" customFormat="1" ht="55.2">
      <c r="A36" s="3642" t="s">
        <v>704</v>
      </c>
      <c r="B36" s="3648" t="s">
        <v>2924</v>
      </c>
      <c r="C36" s="3649">
        <v>456221.99999999977</v>
      </c>
      <c r="D36" s="3649">
        <v>797433</v>
      </c>
      <c r="E36" s="3649">
        <v>826140.58799999999</v>
      </c>
      <c r="F36" s="3649">
        <v>53.47</v>
      </c>
      <c r="G36" s="3649">
        <v>856707.78975599993</v>
      </c>
      <c r="H36" s="3647">
        <v>51.668388102437731</v>
      </c>
      <c r="J36" s="3624"/>
      <c r="K36" s="3651"/>
      <c r="L36" s="3652"/>
    </row>
    <row r="37" spans="1:12" s="3633" customFormat="1" ht="24" customHeight="1" thickBot="1">
      <c r="A37" s="3653"/>
      <c r="B37" s="3654" t="s">
        <v>419</v>
      </c>
      <c r="C37" s="3655">
        <v>2447221</v>
      </c>
      <c r="D37" s="3655">
        <v>3981236</v>
      </c>
      <c r="E37" s="3655">
        <v>4118342.5039999997</v>
      </c>
      <c r="F37" s="3655">
        <v>53.47</v>
      </c>
      <c r="G37" s="3655">
        <v>4270569.4224800002</v>
      </c>
      <c r="H37" s="3656">
        <v>51.668388102437731</v>
      </c>
      <c r="J37" s="3652">
        <v>2447221</v>
      </c>
      <c r="K37" s="3652">
        <v>16969687</v>
      </c>
      <c r="L37" s="3652"/>
    </row>
    <row r="38" spans="1:12" s="3633" customFormat="1" ht="18.75" customHeight="1">
      <c r="A38" s="3657"/>
      <c r="B38" s="3658"/>
      <c r="C38" s="3659"/>
      <c r="D38" s="3659"/>
      <c r="E38" s="3659"/>
      <c r="F38" s="3659"/>
      <c r="G38" s="3659"/>
      <c r="I38" s="3652"/>
      <c r="J38" s="3652"/>
      <c r="K38" s="3652"/>
    </row>
    <row r="39" spans="1:12" s="3633" customFormat="1" ht="24" hidden="1" customHeight="1">
      <c r="A39" s="3657"/>
      <c r="B39" s="3658"/>
      <c r="C39" s="3659"/>
      <c r="D39" s="3659"/>
      <c r="E39" s="3659"/>
      <c r="F39" s="3659"/>
      <c r="G39" s="3659"/>
      <c r="I39" s="3652"/>
      <c r="J39" s="3652"/>
      <c r="K39" s="3652"/>
    </row>
    <row r="40" spans="1:12" s="3662" customFormat="1" ht="21.75" hidden="1" customHeight="1">
      <c r="A40" s="3660" t="s">
        <v>1222</v>
      </c>
      <c r="B40" s="3660"/>
      <c r="C40" s="3661"/>
      <c r="D40" s="3661"/>
      <c r="E40" s="3661"/>
      <c r="F40" s="3660"/>
      <c r="H40" s="3652"/>
      <c r="I40" s="3652"/>
    </row>
    <row r="41" spans="1:12" s="3633" customFormat="1" ht="24" hidden="1" customHeight="1">
      <c r="A41" s="3660" t="s">
        <v>1482</v>
      </c>
      <c r="B41" s="3658"/>
      <c r="C41" s="3659"/>
      <c r="D41" s="3659"/>
      <c r="E41" s="3663">
        <v>19416908</v>
      </c>
      <c r="F41" s="3664" t="s">
        <v>24</v>
      </c>
      <c r="H41" s="3652"/>
      <c r="I41" s="3652">
        <v>1990999.0000000002</v>
      </c>
      <c r="J41" s="3652"/>
    </row>
    <row r="42" spans="1:12" s="3662" customFormat="1" ht="21.75" hidden="1" customHeight="1">
      <c r="B42" s="3665" t="s">
        <v>1483</v>
      </c>
      <c r="C42" s="3663">
        <v>16969687</v>
      </c>
      <c r="D42" s="3664" t="s">
        <v>24</v>
      </c>
      <c r="I42" s="3652"/>
    </row>
    <row r="43" spans="1:12" s="3662" customFormat="1" ht="21.75" hidden="1" customHeight="1">
      <c r="A43" s="3666" t="s">
        <v>1674</v>
      </c>
      <c r="B43" s="2073"/>
      <c r="C43" s="2073"/>
      <c r="D43" s="2073"/>
      <c r="E43" s="2073"/>
      <c r="F43" s="3660"/>
      <c r="G43" s="3660"/>
      <c r="H43" s="3652"/>
      <c r="I43" s="3667"/>
    </row>
    <row r="44" spans="1:12" s="3662" customFormat="1" ht="21.75" hidden="1" customHeight="1">
      <c r="B44" s="2073"/>
      <c r="C44" s="2010" t="s">
        <v>1486</v>
      </c>
      <c r="D44" s="3663">
        <v>17423.900000000001</v>
      </c>
      <c r="E44" s="3664" t="s">
        <v>24</v>
      </c>
      <c r="F44" s="2073"/>
      <c r="G44" s="3668"/>
      <c r="H44" s="3652"/>
      <c r="I44" s="3652"/>
    </row>
    <row r="45" spans="1:12" s="2073" customFormat="1" ht="18" hidden="1" customHeight="1">
      <c r="A45" s="2072" t="s">
        <v>1484</v>
      </c>
    </row>
    <row r="46" spans="1:12" ht="15.6" hidden="1">
      <c r="E46" s="2073"/>
      <c r="G46" s="2006" t="s">
        <v>1485</v>
      </c>
    </row>
    <row r="47" spans="1:12" ht="15.6" hidden="1">
      <c r="A47" s="2072" t="s">
        <v>2192</v>
      </c>
      <c r="E47" s="2073"/>
      <c r="G47" s="2006"/>
      <c r="J47" s="3652">
        <v>3229255</v>
      </c>
      <c r="K47" s="3623" t="s">
        <v>2209</v>
      </c>
    </row>
    <row r="48" spans="1:12" ht="15.6">
      <c r="A48" s="2072"/>
      <c r="F48" s="2010" t="s">
        <v>2982</v>
      </c>
      <c r="G48" s="3669">
        <v>1.2098711668392203E-5</v>
      </c>
      <c r="I48" s="3670"/>
    </row>
    <row r="49" spans="1:9">
      <c r="I49" s="3624"/>
    </row>
    <row r="52" spans="1:9">
      <c r="A52" s="3671"/>
    </row>
    <row r="53" spans="1:9" ht="13.5" customHeight="1">
      <c r="A53" s="3671"/>
    </row>
    <row r="54" spans="1:9" s="3633" customFormat="1" ht="15.6">
      <c r="A54" s="3633" t="s">
        <v>1266</v>
      </c>
      <c r="H54" s="3672"/>
    </row>
    <row r="55" spans="1:9" s="3633" customFormat="1" ht="15.6">
      <c r="A55" s="3633" t="s">
        <v>1304</v>
      </c>
      <c r="E55" s="3633" t="s">
        <v>2876</v>
      </c>
      <c r="H55" s="3672"/>
    </row>
    <row r="58" spans="1:9">
      <c r="D58" s="3623">
        <v>4592938</v>
      </c>
    </row>
  </sheetData>
  <mergeCells count="5">
    <mergeCell ref="E6:E7"/>
    <mergeCell ref="B6:B7"/>
    <mergeCell ref="G6:G7"/>
    <mergeCell ref="C6:C7"/>
    <mergeCell ref="D6:D7"/>
  </mergeCells>
  <phoneticPr fontId="42" type="noConversion"/>
  <printOptions horizontalCentered="1"/>
  <pageMargins left="0.39370078740157483" right="0.39370078740157483" top="0.59055118110236227" bottom="0.11811023622047245" header="0.51181102362204722" footer="3.937007874015748E-2"/>
  <pageSetup paperSize="9" scale="85" orientation="landscape" r:id="rId1"/>
  <headerFooter alignWithMargins="0">
    <oddFooter xml:space="preserve">&amp;R&amp;8
</oddFooter>
  </headerFooter>
  <colBreaks count="1" manualBreakCount="1">
    <brk id="8" max="1048575" man="1"/>
  </colBreak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0">
    <tabColor rgb="FFFFC000"/>
  </sheetPr>
  <dimension ref="A1:L27"/>
  <sheetViews>
    <sheetView workbookViewId="0">
      <selection activeCell="D1" sqref="D1:K1048576"/>
    </sheetView>
  </sheetViews>
  <sheetFormatPr defaultColWidth="9.109375" defaultRowHeight="13.2"/>
  <cols>
    <col min="1" max="1" width="3.33203125" style="135" customWidth="1"/>
    <col min="2" max="2" width="61.6640625" style="135" customWidth="1"/>
    <col min="3" max="3" width="19.44140625" style="135" customWidth="1"/>
    <col min="4" max="5" width="0" style="135" hidden="1" customWidth="1"/>
    <col min="6" max="6" width="10.109375" style="135" hidden="1" customWidth="1"/>
    <col min="7" max="11" width="0" style="135" hidden="1" customWidth="1"/>
    <col min="12" max="16384" width="9.109375" style="135"/>
  </cols>
  <sheetData>
    <row r="1" spans="1:9" ht="27" customHeight="1">
      <c r="A1" s="595" t="s">
        <v>1137</v>
      </c>
      <c r="B1" s="137"/>
      <c r="C1" s="137"/>
    </row>
    <row r="2" spans="1:9" ht="27" customHeight="1">
      <c r="A2" s="595" t="s">
        <v>665</v>
      </c>
      <c r="B2" s="137"/>
      <c r="C2" s="137"/>
    </row>
    <row r="3" spans="1:9" ht="27" customHeight="1">
      <c r="A3" s="595" t="s">
        <v>2487</v>
      </c>
      <c r="B3" s="137"/>
      <c r="C3" s="137"/>
    </row>
    <row r="4" spans="1:9" ht="20.25" customHeight="1">
      <c r="A4" s="595"/>
      <c r="B4" s="137"/>
      <c r="C4" s="137"/>
    </row>
    <row r="5" spans="1:9" ht="13.5" customHeight="1">
      <c r="A5" s="138"/>
      <c r="B5" s="138"/>
      <c r="C5" s="596"/>
    </row>
    <row r="6" spans="1:9" s="162" customFormat="1" ht="39" customHeight="1">
      <c r="A6" s="4199" t="s">
        <v>616</v>
      </c>
      <c r="B6" s="4199" t="s">
        <v>639</v>
      </c>
      <c r="C6" s="4202" t="s">
        <v>2975</v>
      </c>
    </row>
    <row r="7" spans="1:9" s="162" customFormat="1" ht="13.8">
      <c r="A7" s="4200"/>
      <c r="B7" s="4200"/>
      <c r="C7" s="4203"/>
    </row>
    <row r="8" spans="1:9" s="162" customFormat="1" ht="85.5" customHeight="1">
      <c r="A8" s="4201"/>
      <c r="B8" s="4201"/>
      <c r="C8" s="4204"/>
    </row>
    <row r="9" spans="1:9" s="140" customFormat="1" ht="42">
      <c r="A9" s="889">
        <v>1</v>
      </c>
      <c r="B9" s="164" t="s">
        <v>890</v>
      </c>
      <c r="C9" s="887">
        <v>25</v>
      </c>
    </row>
    <row r="10" spans="1:9" s="140" customFormat="1" ht="36" customHeight="1">
      <c r="A10" s="889">
        <v>2</v>
      </c>
      <c r="B10" s="164" t="s">
        <v>648</v>
      </c>
      <c r="C10" s="887">
        <v>25</v>
      </c>
    </row>
    <row r="11" spans="1:9" s="140" customFormat="1" ht="31.5" customHeight="1">
      <c r="A11" s="889">
        <v>3</v>
      </c>
      <c r="B11" s="164" t="s">
        <v>647</v>
      </c>
      <c r="C11" s="888">
        <v>40</v>
      </c>
    </row>
    <row r="12" spans="1:9" s="140" customFormat="1" ht="35.25" customHeight="1">
      <c r="A12" s="889">
        <v>4</v>
      </c>
      <c r="B12" s="164" t="s">
        <v>876</v>
      </c>
      <c r="C12" s="888">
        <v>17</v>
      </c>
    </row>
    <row r="13" spans="1:9" s="140" customFormat="1" ht="34.5" hidden="1" customHeight="1">
      <c r="A13" s="889">
        <v>5</v>
      </c>
      <c r="B13" s="164"/>
      <c r="C13" s="888"/>
      <c r="I13" s="599"/>
    </row>
    <row r="14" spans="1:9" s="163" customFormat="1" ht="24" customHeight="1">
      <c r="A14" s="890"/>
      <c r="B14" s="891" t="s">
        <v>419</v>
      </c>
      <c r="C14" s="892">
        <v>107</v>
      </c>
      <c r="I14" s="599"/>
    </row>
    <row r="15" spans="1:9" ht="15.6">
      <c r="A15" s="136"/>
      <c r="B15" s="136"/>
      <c r="C15" s="136"/>
      <c r="I15" s="600"/>
    </row>
    <row r="16" spans="1:9" ht="15.6">
      <c r="A16" s="136"/>
      <c r="B16" s="136"/>
      <c r="C16" s="136"/>
      <c r="E16" s="597" t="s">
        <v>1138</v>
      </c>
      <c r="F16" s="597"/>
      <c r="G16" s="598" t="s">
        <v>1141</v>
      </c>
      <c r="H16" s="598" t="s">
        <v>669</v>
      </c>
    </row>
    <row r="17" spans="1:12" s="140" customFormat="1" ht="13.8">
      <c r="A17" s="139"/>
      <c r="E17" s="597">
        <v>552.6</v>
      </c>
      <c r="F17" s="597" t="s">
        <v>1139</v>
      </c>
      <c r="G17" s="598">
        <v>320</v>
      </c>
      <c r="H17" s="599"/>
    </row>
    <row r="18" spans="1:12" s="52" customFormat="1" ht="15.6">
      <c r="B18" s="86"/>
      <c r="C18" s="26"/>
      <c r="E18" s="601">
        <v>2.2834710743801652</v>
      </c>
      <c r="F18" s="597" t="s">
        <v>1140</v>
      </c>
      <c r="G18" s="602">
        <v>1.4096916299559472</v>
      </c>
      <c r="H18" s="603">
        <v>1.879588839941263</v>
      </c>
      <c r="L18" s="87"/>
    </row>
    <row r="19" spans="1:12" s="140" customFormat="1" ht="13.8">
      <c r="A19" s="139"/>
    </row>
    <row r="20" spans="1:12" s="776" customFormat="1" ht="23.25" customHeight="1">
      <c r="A20" s="839" t="s">
        <v>1266</v>
      </c>
      <c r="B20" s="774"/>
      <c r="C20" s="775"/>
      <c r="G20" s="777"/>
    </row>
    <row r="21" spans="1:12" s="776" customFormat="1" ht="15" customHeight="1">
      <c r="A21" s="839" t="s">
        <v>1304</v>
      </c>
      <c r="B21" s="778"/>
      <c r="C21" s="779" t="s">
        <v>2876</v>
      </c>
    </row>
    <row r="26" spans="1:12" s="166" customFormat="1" ht="15.6" hidden="1">
      <c r="A26" s="165" t="s">
        <v>649</v>
      </c>
      <c r="C26" s="166" t="s">
        <v>650</v>
      </c>
    </row>
    <row r="27" spans="1:12">
      <c r="A27" s="161"/>
    </row>
  </sheetData>
  <mergeCells count="3">
    <mergeCell ref="A6:A8"/>
    <mergeCell ref="B6:B8"/>
    <mergeCell ref="C6:C8"/>
  </mergeCells>
  <phoneticPr fontId="27" type="noConversion"/>
  <printOptions horizontalCentered="1"/>
  <pageMargins left="0.78740157480314965" right="0.78740157480314965" top="0.98425196850393704" bottom="0.11811023622047245" header="0.51181102362204722" footer="3.937007874015748E-2"/>
  <pageSetup paperSize="9" scale="95" orientation="portrait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>
    <tabColor rgb="FFCCFF33"/>
  </sheetPr>
  <dimension ref="A1:L30"/>
  <sheetViews>
    <sheetView workbookViewId="0">
      <selection activeCell="B1" sqref="B1"/>
    </sheetView>
  </sheetViews>
  <sheetFormatPr defaultRowHeight="15.6"/>
  <cols>
    <col min="1" max="1" width="4.21875" style="2953" customWidth="1"/>
    <col min="2" max="2" width="79.6640625" style="2953" customWidth="1"/>
    <col min="3" max="3" width="18.44140625" style="2953" customWidth="1"/>
    <col min="4" max="4" width="17.44140625" style="2953" customWidth="1"/>
    <col min="5" max="5" width="16.33203125" style="2956" hidden="1" customWidth="1"/>
    <col min="6" max="6" width="9.109375" style="2956" hidden="1" customWidth="1"/>
    <col min="7" max="8" width="0" style="2956" hidden="1" customWidth="1"/>
    <col min="9" max="9" width="11.33203125" style="2956" hidden="1" customWidth="1"/>
    <col min="10" max="10" width="0" style="2956" hidden="1" customWidth="1"/>
    <col min="11" max="11" width="11.6640625" style="2956" hidden="1" customWidth="1"/>
    <col min="12" max="29" width="0" style="2956" hidden="1" customWidth="1"/>
    <col min="30" max="257" width="9.109375" style="2956"/>
    <col min="258" max="258" width="76" style="2956" customWidth="1"/>
    <col min="259" max="259" width="17.109375" style="2956" customWidth="1"/>
    <col min="260" max="260" width="18.5546875" style="2956" customWidth="1"/>
    <col min="261" max="261" width="16.33203125" style="2956" customWidth="1"/>
    <col min="262" max="262" width="8.109375" style="2956" bestFit="1" customWidth="1"/>
    <col min="263" max="513" width="9.109375" style="2956"/>
    <col min="514" max="514" width="76" style="2956" customWidth="1"/>
    <col min="515" max="515" width="17.109375" style="2956" customWidth="1"/>
    <col min="516" max="516" width="18.5546875" style="2956" customWidth="1"/>
    <col min="517" max="517" width="16.33203125" style="2956" customWidth="1"/>
    <col min="518" max="518" width="8.109375" style="2956" bestFit="1" customWidth="1"/>
    <col min="519" max="769" width="9.109375" style="2956"/>
    <col min="770" max="770" width="76" style="2956" customWidth="1"/>
    <col min="771" max="771" width="17.109375" style="2956" customWidth="1"/>
    <col min="772" max="772" width="18.5546875" style="2956" customWidth="1"/>
    <col min="773" max="773" width="16.33203125" style="2956" customWidth="1"/>
    <col min="774" max="774" width="8.109375" style="2956" bestFit="1" customWidth="1"/>
    <col min="775" max="1025" width="9.109375" style="2956"/>
    <col min="1026" max="1026" width="76" style="2956" customWidth="1"/>
    <col min="1027" max="1027" width="17.109375" style="2956" customWidth="1"/>
    <col min="1028" max="1028" width="18.5546875" style="2956" customWidth="1"/>
    <col min="1029" max="1029" width="16.33203125" style="2956" customWidth="1"/>
    <col min="1030" max="1030" width="8.109375" style="2956" bestFit="1" customWidth="1"/>
    <col min="1031" max="1281" width="9.109375" style="2956"/>
    <col min="1282" max="1282" width="76" style="2956" customWidth="1"/>
    <col min="1283" max="1283" width="17.109375" style="2956" customWidth="1"/>
    <col min="1284" max="1284" width="18.5546875" style="2956" customWidth="1"/>
    <col min="1285" max="1285" width="16.33203125" style="2956" customWidth="1"/>
    <col min="1286" max="1286" width="8.109375" style="2956" bestFit="1" customWidth="1"/>
    <col min="1287" max="1537" width="9.109375" style="2956"/>
    <col min="1538" max="1538" width="76" style="2956" customWidth="1"/>
    <col min="1539" max="1539" width="17.109375" style="2956" customWidth="1"/>
    <col min="1540" max="1540" width="18.5546875" style="2956" customWidth="1"/>
    <col min="1541" max="1541" width="16.33203125" style="2956" customWidth="1"/>
    <col min="1542" max="1542" width="8.109375" style="2956" bestFit="1" customWidth="1"/>
    <col min="1543" max="1793" width="9.109375" style="2956"/>
    <col min="1794" max="1794" width="76" style="2956" customWidth="1"/>
    <col min="1795" max="1795" width="17.109375" style="2956" customWidth="1"/>
    <col min="1796" max="1796" width="18.5546875" style="2956" customWidth="1"/>
    <col min="1797" max="1797" width="16.33203125" style="2956" customWidth="1"/>
    <col min="1798" max="1798" width="8.109375" style="2956" bestFit="1" customWidth="1"/>
    <col min="1799" max="2049" width="9.109375" style="2956"/>
    <col min="2050" max="2050" width="76" style="2956" customWidth="1"/>
    <col min="2051" max="2051" width="17.109375" style="2956" customWidth="1"/>
    <col min="2052" max="2052" width="18.5546875" style="2956" customWidth="1"/>
    <col min="2053" max="2053" width="16.33203125" style="2956" customWidth="1"/>
    <col min="2054" max="2054" width="8.109375" style="2956" bestFit="1" customWidth="1"/>
    <col min="2055" max="2305" width="9.109375" style="2956"/>
    <col min="2306" max="2306" width="76" style="2956" customWidth="1"/>
    <col min="2307" max="2307" width="17.109375" style="2956" customWidth="1"/>
    <col min="2308" max="2308" width="18.5546875" style="2956" customWidth="1"/>
    <col min="2309" max="2309" width="16.33203125" style="2956" customWidth="1"/>
    <col min="2310" max="2310" width="8.109375" style="2956" bestFit="1" customWidth="1"/>
    <col min="2311" max="2561" width="9.109375" style="2956"/>
    <col min="2562" max="2562" width="76" style="2956" customWidth="1"/>
    <col min="2563" max="2563" width="17.109375" style="2956" customWidth="1"/>
    <col min="2564" max="2564" width="18.5546875" style="2956" customWidth="1"/>
    <col min="2565" max="2565" width="16.33203125" style="2956" customWidth="1"/>
    <col min="2566" max="2566" width="8.109375" style="2956" bestFit="1" customWidth="1"/>
    <col min="2567" max="2817" width="9.109375" style="2956"/>
    <col min="2818" max="2818" width="76" style="2956" customWidth="1"/>
    <col min="2819" max="2819" width="17.109375" style="2956" customWidth="1"/>
    <col min="2820" max="2820" width="18.5546875" style="2956" customWidth="1"/>
    <col min="2821" max="2821" width="16.33203125" style="2956" customWidth="1"/>
    <col min="2822" max="2822" width="8.109375" style="2956" bestFit="1" customWidth="1"/>
    <col min="2823" max="3073" width="9.109375" style="2956"/>
    <col min="3074" max="3074" width="76" style="2956" customWidth="1"/>
    <col min="3075" max="3075" width="17.109375" style="2956" customWidth="1"/>
    <col min="3076" max="3076" width="18.5546875" style="2956" customWidth="1"/>
    <col min="3077" max="3077" width="16.33203125" style="2956" customWidth="1"/>
    <col min="3078" max="3078" width="8.109375" style="2956" bestFit="1" customWidth="1"/>
    <col min="3079" max="3329" width="9.109375" style="2956"/>
    <col min="3330" max="3330" width="76" style="2956" customWidth="1"/>
    <col min="3331" max="3331" width="17.109375" style="2956" customWidth="1"/>
    <col min="3332" max="3332" width="18.5546875" style="2956" customWidth="1"/>
    <col min="3333" max="3333" width="16.33203125" style="2956" customWidth="1"/>
    <col min="3334" max="3334" width="8.109375" style="2956" bestFit="1" customWidth="1"/>
    <col min="3335" max="3585" width="9.109375" style="2956"/>
    <col min="3586" max="3586" width="76" style="2956" customWidth="1"/>
    <col min="3587" max="3587" width="17.109375" style="2956" customWidth="1"/>
    <col min="3588" max="3588" width="18.5546875" style="2956" customWidth="1"/>
    <col min="3589" max="3589" width="16.33203125" style="2956" customWidth="1"/>
    <col min="3590" max="3590" width="8.109375" style="2956" bestFit="1" customWidth="1"/>
    <col min="3591" max="3841" width="9.109375" style="2956"/>
    <col min="3842" max="3842" width="76" style="2956" customWidth="1"/>
    <col min="3843" max="3843" width="17.109375" style="2956" customWidth="1"/>
    <col min="3844" max="3844" width="18.5546875" style="2956" customWidth="1"/>
    <col min="3845" max="3845" width="16.33203125" style="2956" customWidth="1"/>
    <col min="3846" max="3846" width="8.109375" style="2956" bestFit="1" customWidth="1"/>
    <col min="3847" max="4097" width="9.109375" style="2956"/>
    <col min="4098" max="4098" width="76" style="2956" customWidth="1"/>
    <col min="4099" max="4099" width="17.109375" style="2956" customWidth="1"/>
    <col min="4100" max="4100" width="18.5546875" style="2956" customWidth="1"/>
    <col min="4101" max="4101" width="16.33203125" style="2956" customWidth="1"/>
    <col min="4102" max="4102" width="8.109375" style="2956" bestFit="1" customWidth="1"/>
    <col min="4103" max="4353" width="9.109375" style="2956"/>
    <col min="4354" max="4354" width="76" style="2956" customWidth="1"/>
    <col min="4355" max="4355" width="17.109375" style="2956" customWidth="1"/>
    <col min="4356" max="4356" width="18.5546875" style="2956" customWidth="1"/>
    <col min="4357" max="4357" width="16.33203125" style="2956" customWidth="1"/>
    <col min="4358" max="4358" width="8.109375" style="2956" bestFit="1" customWidth="1"/>
    <col min="4359" max="4609" width="9.109375" style="2956"/>
    <col min="4610" max="4610" width="76" style="2956" customWidth="1"/>
    <col min="4611" max="4611" width="17.109375" style="2956" customWidth="1"/>
    <col min="4612" max="4612" width="18.5546875" style="2956" customWidth="1"/>
    <col min="4613" max="4613" width="16.33203125" style="2956" customWidth="1"/>
    <col min="4614" max="4614" width="8.109375" style="2956" bestFit="1" customWidth="1"/>
    <col min="4615" max="4865" width="9.109375" style="2956"/>
    <col min="4866" max="4866" width="76" style="2956" customWidth="1"/>
    <col min="4867" max="4867" width="17.109375" style="2956" customWidth="1"/>
    <col min="4868" max="4868" width="18.5546875" style="2956" customWidth="1"/>
    <col min="4869" max="4869" width="16.33203125" style="2956" customWidth="1"/>
    <col min="4870" max="4870" width="8.109375" style="2956" bestFit="1" customWidth="1"/>
    <col min="4871" max="5121" width="9.109375" style="2956"/>
    <col min="5122" max="5122" width="76" style="2956" customWidth="1"/>
    <col min="5123" max="5123" width="17.109375" style="2956" customWidth="1"/>
    <col min="5124" max="5124" width="18.5546875" style="2956" customWidth="1"/>
    <col min="5125" max="5125" width="16.33203125" style="2956" customWidth="1"/>
    <col min="5126" max="5126" width="8.109375" style="2956" bestFit="1" customWidth="1"/>
    <col min="5127" max="5377" width="9.109375" style="2956"/>
    <col min="5378" max="5378" width="76" style="2956" customWidth="1"/>
    <col min="5379" max="5379" width="17.109375" style="2956" customWidth="1"/>
    <col min="5380" max="5380" width="18.5546875" style="2956" customWidth="1"/>
    <col min="5381" max="5381" width="16.33203125" style="2956" customWidth="1"/>
    <col min="5382" max="5382" width="8.109375" style="2956" bestFit="1" customWidth="1"/>
    <col min="5383" max="5633" width="9.109375" style="2956"/>
    <col min="5634" max="5634" width="76" style="2956" customWidth="1"/>
    <col min="5635" max="5635" width="17.109375" style="2956" customWidth="1"/>
    <col min="5636" max="5636" width="18.5546875" style="2956" customWidth="1"/>
    <col min="5637" max="5637" width="16.33203125" style="2956" customWidth="1"/>
    <col min="5638" max="5638" width="8.109375" style="2956" bestFit="1" customWidth="1"/>
    <col min="5639" max="5889" width="9.109375" style="2956"/>
    <col min="5890" max="5890" width="76" style="2956" customWidth="1"/>
    <col min="5891" max="5891" width="17.109375" style="2956" customWidth="1"/>
    <col min="5892" max="5892" width="18.5546875" style="2956" customWidth="1"/>
    <col min="5893" max="5893" width="16.33203125" style="2956" customWidth="1"/>
    <col min="5894" max="5894" width="8.109375" style="2956" bestFit="1" customWidth="1"/>
    <col min="5895" max="6145" width="9.109375" style="2956"/>
    <col min="6146" max="6146" width="76" style="2956" customWidth="1"/>
    <col min="6147" max="6147" width="17.109375" style="2956" customWidth="1"/>
    <col min="6148" max="6148" width="18.5546875" style="2956" customWidth="1"/>
    <col min="6149" max="6149" width="16.33203125" style="2956" customWidth="1"/>
    <col min="6150" max="6150" width="8.109375" style="2956" bestFit="1" customWidth="1"/>
    <col min="6151" max="6401" width="9.109375" style="2956"/>
    <col min="6402" max="6402" width="76" style="2956" customWidth="1"/>
    <col min="6403" max="6403" width="17.109375" style="2956" customWidth="1"/>
    <col min="6404" max="6404" width="18.5546875" style="2956" customWidth="1"/>
    <col min="6405" max="6405" width="16.33203125" style="2956" customWidth="1"/>
    <col min="6406" max="6406" width="8.109375" style="2956" bestFit="1" customWidth="1"/>
    <col min="6407" max="6657" width="9.109375" style="2956"/>
    <col min="6658" max="6658" width="76" style="2956" customWidth="1"/>
    <col min="6659" max="6659" width="17.109375" style="2956" customWidth="1"/>
    <col min="6660" max="6660" width="18.5546875" style="2956" customWidth="1"/>
    <col min="6661" max="6661" width="16.33203125" style="2956" customWidth="1"/>
    <col min="6662" max="6662" width="8.109375" style="2956" bestFit="1" customWidth="1"/>
    <col min="6663" max="6913" width="9.109375" style="2956"/>
    <col min="6914" max="6914" width="76" style="2956" customWidth="1"/>
    <col min="6915" max="6915" width="17.109375" style="2956" customWidth="1"/>
    <col min="6916" max="6916" width="18.5546875" style="2956" customWidth="1"/>
    <col min="6917" max="6917" width="16.33203125" style="2956" customWidth="1"/>
    <col min="6918" max="6918" width="8.109375" style="2956" bestFit="1" customWidth="1"/>
    <col min="6919" max="7169" width="9.109375" style="2956"/>
    <col min="7170" max="7170" width="76" style="2956" customWidth="1"/>
    <col min="7171" max="7171" width="17.109375" style="2956" customWidth="1"/>
    <col min="7172" max="7172" width="18.5546875" style="2956" customWidth="1"/>
    <col min="7173" max="7173" width="16.33203125" style="2956" customWidth="1"/>
    <col min="7174" max="7174" width="8.109375" style="2956" bestFit="1" customWidth="1"/>
    <col min="7175" max="7425" width="9.109375" style="2956"/>
    <col min="7426" max="7426" width="76" style="2956" customWidth="1"/>
    <col min="7427" max="7427" width="17.109375" style="2956" customWidth="1"/>
    <col min="7428" max="7428" width="18.5546875" style="2956" customWidth="1"/>
    <col min="7429" max="7429" width="16.33203125" style="2956" customWidth="1"/>
    <col min="7430" max="7430" width="8.109375" style="2956" bestFit="1" customWidth="1"/>
    <col min="7431" max="7681" width="9.109375" style="2956"/>
    <col min="7682" max="7682" width="76" style="2956" customWidth="1"/>
    <col min="7683" max="7683" width="17.109375" style="2956" customWidth="1"/>
    <col min="7684" max="7684" width="18.5546875" style="2956" customWidth="1"/>
    <col min="7685" max="7685" width="16.33203125" style="2956" customWidth="1"/>
    <col min="7686" max="7686" width="8.109375" style="2956" bestFit="1" customWidth="1"/>
    <col min="7687" max="7937" width="9.109375" style="2956"/>
    <col min="7938" max="7938" width="76" style="2956" customWidth="1"/>
    <col min="7939" max="7939" width="17.109375" style="2956" customWidth="1"/>
    <col min="7940" max="7940" width="18.5546875" style="2956" customWidth="1"/>
    <col min="7941" max="7941" width="16.33203125" style="2956" customWidth="1"/>
    <col min="7942" max="7942" width="8.109375" style="2956" bestFit="1" customWidth="1"/>
    <col min="7943" max="8193" width="9.109375" style="2956"/>
    <col min="8194" max="8194" width="76" style="2956" customWidth="1"/>
    <col min="8195" max="8195" width="17.109375" style="2956" customWidth="1"/>
    <col min="8196" max="8196" width="18.5546875" style="2956" customWidth="1"/>
    <col min="8197" max="8197" width="16.33203125" style="2956" customWidth="1"/>
    <col min="8198" max="8198" width="8.109375" style="2956" bestFit="1" customWidth="1"/>
    <col min="8199" max="8449" width="9.109375" style="2956"/>
    <col min="8450" max="8450" width="76" style="2956" customWidth="1"/>
    <col min="8451" max="8451" width="17.109375" style="2956" customWidth="1"/>
    <col min="8452" max="8452" width="18.5546875" style="2956" customWidth="1"/>
    <col min="8453" max="8453" width="16.33203125" style="2956" customWidth="1"/>
    <col min="8454" max="8454" width="8.109375" style="2956" bestFit="1" customWidth="1"/>
    <col min="8455" max="8705" width="9.109375" style="2956"/>
    <col min="8706" max="8706" width="76" style="2956" customWidth="1"/>
    <col min="8707" max="8707" width="17.109375" style="2956" customWidth="1"/>
    <col min="8708" max="8708" width="18.5546875" style="2956" customWidth="1"/>
    <col min="8709" max="8709" width="16.33203125" style="2956" customWidth="1"/>
    <col min="8710" max="8710" width="8.109375" style="2956" bestFit="1" customWidth="1"/>
    <col min="8711" max="8961" width="9.109375" style="2956"/>
    <col min="8962" max="8962" width="76" style="2956" customWidth="1"/>
    <col min="8963" max="8963" width="17.109375" style="2956" customWidth="1"/>
    <col min="8964" max="8964" width="18.5546875" style="2956" customWidth="1"/>
    <col min="8965" max="8965" width="16.33203125" style="2956" customWidth="1"/>
    <col min="8966" max="8966" width="8.109375" style="2956" bestFit="1" customWidth="1"/>
    <col min="8967" max="9217" width="9.109375" style="2956"/>
    <col min="9218" max="9218" width="76" style="2956" customWidth="1"/>
    <col min="9219" max="9219" width="17.109375" style="2956" customWidth="1"/>
    <col min="9220" max="9220" width="18.5546875" style="2956" customWidth="1"/>
    <col min="9221" max="9221" width="16.33203125" style="2956" customWidth="1"/>
    <col min="9222" max="9222" width="8.109375" style="2956" bestFit="1" customWidth="1"/>
    <col min="9223" max="9473" width="9.109375" style="2956"/>
    <col min="9474" max="9474" width="76" style="2956" customWidth="1"/>
    <col min="9475" max="9475" width="17.109375" style="2956" customWidth="1"/>
    <col min="9476" max="9476" width="18.5546875" style="2956" customWidth="1"/>
    <col min="9477" max="9477" width="16.33203125" style="2956" customWidth="1"/>
    <col min="9478" max="9478" width="8.109375" style="2956" bestFit="1" customWidth="1"/>
    <col min="9479" max="9729" width="9.109375" style="2956"/>
    <col min="9730" max="9730" width="76" style="2956" customWidth="1"/>
    <col min="9731" max="9731" width="17.109375" style="2956" customWidth="1"/>
    <col min="9732" max="9732" width="18.5546875" style="2956" customWidth="1"/>
    <col min="9733" max="9733" width="16.33203125" style="2956" customWidth="1"/>
    <col min="9734" max="9734" width="8.109375" style="2956" bestFit="1" customWidth="1"/>
    <col min="9735" max="9985" width="9.109375" style="2956"/>
    <col min="9986" max="9986" width="76" style="2956" customWidth="1"/>
    <col min="9987" max="9987" width="17.109375" style="2956" customWidth="1"/>
    <col min="9988" max="9988" width="18.5546875" style="2956" customWidth="1"/>
    <col min="9989" max="9989" width="16.33203125" style="2956" customWidth="1"/>
    <col min="9990" max="9990" width="8.109375" style="2956" bestFit="1" customWidth="1"/>
    <col min="9991" max="10241" width="9.109375" style="2956"/>
    <col min="10242" max="10242" width="76" style="2956" customWidth="1"/>
    <col min="10243" max="10243" width="17.109375" style="2956" customWidth="1"/>
    <col min="10244" max="10244" width="18.5546875" style="2956" customWidth="1"/>
    <col min="10245" max="10245" width="16.33203125" style="2956" customWidth="1"/>
    <col min="10246" max="10246" width="8.109375" style="2956" bestFit="1" customWidth="1"/>
    <col min="10247" max="10497" width="9.109375" style="2956"/>
    <col min="10498" max="10498" width="76" style="2956" customWidth="1"/>
    <col min="10499" max="10499" width="17.109375" style="2956" customWidth="1"/>
    <col min="10500" max="10500" width="18.5546875" style="2956" customWidth="1"/>
    <col min="10501" max="10501" width="16.33203125" style="2956" customWidth="1"/>
    <col min="10502" max="10502" width="8.109375" style="2956" bestFit="1" customWidth="1"/>
    <col min="10503" max="10753" width="9.109375" style="2956"/>
    <col min="10754" max="10754" width="76" style="2956" customWidth="1"/>
    <col min="10755" max="10755" width="17.109375" style="2956" customWidth="1"/>
    <col min="10756" max="10756" width="18.5546875" style="2956" customWidth="1"/>
    <col min="10757" max="10757" width="16.33203125" style="2956" customWidth="1"/>
    <col min="10758" max="10758" width="8.109375" style="2956" bestFit="1" customWidth="1"/>
    <col min="10759" max="11009" width="9.109375" style="2956"/>
    <col min="11010" max="11010" width="76" style="2956" customWidth="1"/>
    <col min="11011" max="11011" width="17.109375" style="2956" customWidth="1"/>
    <col min="11012" max="11012" width="18.5546875" style="2956" customWidth="1"/>
    <col min="11013" max="11013" width="16.33203125" style="2956" customWidth="1"/>
    <col min="11014" max="11014" width="8.109375" style="2956" bestFit="1" customWidth="1"/>
    <col min="11015" max="11265" width="9.109375" style="2956"/>
    <col min="11266" max="11266" width="76" style="2956" customWidth="1"/>
    <col min="11267" max="11267" width="17.109375" style="2956" customWidth="1"/>
    <col min="11268" max="11268" width="18.5546875" style="2956" customWidth="1"/>
    <col min="11269" max="11269" width="16.33203125" style="2956" customWidth="1"/>
    <col min="11270" max="11270" width="8.109375" style="2956" bestFit="1" customWidth="1"/>
    <col min="11271" max="11521" width="9.109375" style="2956"/>
    <col min="11522" max="11522" width="76" style="2956" customWidth="1"/>
    <col min="11523" max="11523" width="17.109375" style="2956" customWidth="1"/>
    <col min="11524" max="11524" width="18.5546875" style="2956" customWidth="1"/>
    <col min="11525" max="11525" width="16.33203125" style="2956" customWidth="1"/>
    <col min="11526" max="11526" width="8.109375" style="2956" bestFit="1" customWidth="1"/>
    <col min="11527" max="11777" width="9.109375" style="2956"/>
    <col min="11778" max="11778" width="76" style="2956" customWidth="1"/>
    <col min="11779" max="11779" width="17.109375" style="2956" customWidth="1"/>
    <col min="11780" max="11780" width="18.5546875" style="2956" customWidth="1"/>
    <col min="11781" max="11781" width="16.33203125" style="2956" customWidth="1"/>
    <col min="11782" max="11782" width="8.109375" style="2956" bestFit="1" customWidth="1"/>
    <col min="11783" max="12033" width="9.109375" style="2956"/>
    <col min="12034" max="12034" width="76" style="2956" customWidth="1"/>
    <col min="12035" max="12035" width="17.109375" style="2956" customWidth="1"/>
    <col min="12036" max="12036" width="18.5546875" style="2956" customWidth="1"/>
    <col min="12037" max="12037" width="16.33203125" style="2956" customWidth="1"/>
    <col min="12038" max="12038" width="8.109375" style="2956" bestFit="1" customWidth="1"/>
    <col min="12039" max="12289" width="9.109375" style="2956"/>
    <col min="12290" max="12290" width="76" style="2956" customWidth="1"/>
    <col min="12291" max="12291" width="17.109375" style="2956" customWidth="1"/>
    <col min="12292" max="12292" width="18.5546875" style="2956" customWidth="1"/>
    <col min="12293" max="12293" width="16.33203125" style="2956" customWidth="1"/>
    <col min="12294" max="12294" width="8.109375" style="2956" bestFit="1" customWidth="1"/>
    <col min="12295" max="12545" width="9.109375" style="2956"/>
    <col min="12546" max="12546" width="76" style="2956" customWidth="1"/>
    <col min="12547" max="12547" width="17.109375" style="2956" customWidth="1"/>
    <col min="12548" max="12548" width="18.5546875" style="2956" customWidth="1"/>
    <col min="12549" max="12549" width="16.33203125" style="2956" customWidth="1"/>
    <col min="12550" max="12550" width="8.109375" style="2956" bestFit="1" customWidth="1"/>
    <col min="12551" max="12801" width="9.109375" style="2956"/>
    <col min="12802" max="12802" width="76" style="2956" customWidth="1"/>
    <col min="12803" max="12803" width="17.109375" style="2956" customWidth="1"/>
    <col min="12804" max="12804" width="18.5546875" style="2956" customWidth="1"/>
    <col min="12805" max="12805" width="16.33203125" style="2956" customWidth="1"/>
    <col min="12806" max="12806" width="8.109375" style="2956" bestFit="1" customWidth="1"/>
    <col min="12807" max="13057" width="9.109375" style="2956"/>
    <col min="13058" max="13058" width="76" style="2956" customWidth="1"/>
    <col min="13059" max="13059" width="17.109375" style="2956" customWidth="1"/>
    <col min="13060" max="13060" width="18.5546875" style="2956" customWidth="1"/>
    <col min="13061" max="13061" width="16.33203125" style="2956" customWidth="1"/>
    <col min="13062" max="13062" width="8.109375" style="2956" bestFit="1" customWidth="1"/>
    <col min="13063" max="13313" width="9.109375" style="2956"/>
    <col min="13314" max="13314" width="76" style="2956" customWidth="1"/>
    <col min="13315" max="13315" width="17.109375" style="2956" customWidth="1"/>
    <col min="13316" max="13316" width="18.5546875" style="2956" customWidth="1"/>
    <col min="13317" max="13317" width="16.33203125" style="2956" customWidth="1"/>
    <col min="13318" max="13318" width="8.109375" style="2956" bestFit="1" customWidth="1"/>
    <col min="13319" max="13569" width="9.109375" style="2956"/>
    <col min="13570" max="13570" width="76" style="2956" customWidth="1"/>
    <col min="13571" max="13571" width="17.109375" style="2956" customWidth="1"/>
    <col min="13572" max="13572" width="18.5546875" style="2956" customWidth="1"/>
    <col min="13573" max="13573" width="16.33203125" style="2956" customWidth="1"/>
    <col min="13574" max="13574" width="8.109375" style="2956" bestFit="1" customWidth="1"/>
    <col min="13575" max="13825" width="9.109375" style="2956"/>
    <col min="13826" max="13826" width="76" style="2956" customWidth="1"/>
    <col min="13827" max="13827" width="17.109375" style="2956" customWidth="1"/>
    <col min="13828" max="13828" width="18.5546875" style="2956" customWidth="1"/>
    <col min="13829" max="13829" width="16.33203125" style="2956" customWidth="1"/>
    <col min="13830" max="13830" width="8.109375" style="2956" bestFit="1" customWidth="1"/>
    <col min="13831" max="14081" width="9.109375" style="2956"/>
    <col min="14082" max="14082" width="76" style="2956" customWidth="1"/>
    <col min="14083" max="14083" width="17.109375" style="2956" customWidth="1"/>
    <col min="14084" max="14084" width="18.5546875" style="2956" customWidth="1"/>
    <col min="14085" max="14085" width="16.33203125" style="2956" customWidth="1"/>
    <col min="14086" max="14086" width="8.109375" style="2956" bestFit="1" customWidth="1"/>
    <col min="14087" max="14337" width="9.109375" style="2956"/>
    <col min="14338" max="14338" width="76" style="2956" customWidth="1"/>
    <col min="14339" max="14339" width="17.109375" style="2956" customWidth="1"/>
    <col min="14340" max="14340" width="18.5546875" style="2956" customWidth="1"/>
    <col min="14341" max="14341" width="16.33203125" style="2956" customWidth="1"/>
    <col min="14342" max="14342" width="8.109375" style="2956" bestFit="1" customWidth="1"/>
    <col min="14343" max="14593" width="9.109375" style="2956"/>
    <col min="14594" max="14594" width="76" style="2956" customWidth="1"/>
    <col min="14595" max="14595" width="17.109375" style="2956" customWidth="1"/>
    <col min="14596" max="14596" width="18.5546875" style="2956" customWidth="1"/>
    <col min="14597" max="14597" width="16.33203125" style="2956" customWidth="1"/>
    <col min="14598" max="14598" width="8.109375" style="2956" bestFit="1" customWidth="1"/>
    <col min="14599" max="14849" width="9.109375" style="2956"/>
    <col min="14850" max="14850" width="76" style="2956" customWidth="1"/>
    <col min="14851" max="14851" width="17.109375" style="2956" customWidth="1"/>
    <col min="14852" max="14852" width="18.5546875" style="2956" customWidth="1"/>
    <col min="14853" max="14853" width="16.33203125" style="2956" customWidth="1"/>
    <col min="14854" max="14854" width="8.109375" style="2956" bestFit="1" customWidth="1"/>
    <col min="14855" max="15105" width="9.109375" style="2956"/>
    <col min="15106" max="15106" width="76" style="2956" customWidth="1"/>
    <col min="15107" max="15107" width="17.109375" style="2956" customWidth="1"/>
    <col min="15108" max="15108" width="18.5546875" style="2956" customWidth="1"/>
    <col min="15109" max="15109" width="16.33203125" style="2956" customWidth="1"/>
    <col min="15110" max="15110" width="8.109375" style="2956" bestFit="1" customWidth="1"/>
    <col min="15111" max="15361" width="9.109375" style="2956"/>
    <col min="15362" max="15362" width="76" style="2956" customWidth="1"/>
    <col min="15363" max="15363" width="17.109375" style="2956" customWidth="1"/>
    <col min="15364" max="15364" width="18.5546875" style="2956" customWidth="1"/>
    <col min="15365" max="15365" width="16.33203125" style="2956" customWidth="1"/>
    <col min="15366" max="15366" width="8.109375" style="2956" bestFit="1" customWidth="1"/>
    <col min="15367" max="15617" width="9.109375" style="2956"/>
    <col min="15618" max="15618" width="76" style="2956" customWidth="1"/>
    <col min="15619" max="15619" width="17.109375" style="2956" customWidth="1"/>
    <col min="15620" max="15620" width="18.5546875" style="2956" customWidth="1"/>
    <col min="15621" max="15621" width="16.33203125" style="2956" customWidth="1"/>
    <col min="15622" max="15622" width="8.109375" style="2956" bestFit="1" customWidth="1"/>
    <col min="15623" max="15873" width="9.109375" style="2956"/>
    <col min="15874" max="15874" width="76" style="2956" customWidth="1"/>
    <col min="15875" max="15875" width="17.109375" style="2956" customWidth="1"/>
    <col min="15876" max="15876" width="18.5546875" style="2956" customWidth="1"/>
    <col min="15877" max="15877" width="16.33203125" style="2956" customWidth="1"/>
    <col min="15878" max="15878" width="8.109375" style="2956" bestFit="1" customWidth="1"/>
    <col min="15879" max="16129" width="9.109375" style="2956"/>
    <col min="16130" max="16130" width="76" style="2956" customWidth="1"/>
    <col min="16131" max="16131" width="17.109375" style="2956" customWidth="1"/>
    <col min="16132" max="16132" width="18.5546875" style="2956" customWidth="1"/>
    <col min="16133" max="16133" width="16.33203125" style="2956" customWidth="1"/>
    <col min="16134" max="16134" width="8.109375" style="2956" bestFit="1" customWidth="1"/>
    <col min="16135" max="16384" width="9.109375" style="2956"/>
  </cols>
  <sheetData>
    <row r="1" spans="1:12" ht="39" customHeight="1">
      <c r="B1" s="2954" t="s">
        <v>2984</v>
      </c>
      <c r="C1" s="2955"/>
      <c r="D1" s="2955"/>
    </row>
    <row r="3" spans="1:12" s="2959" customFormat="1" ht="33.75" customHeight="1">
      <c r="A3" s="2957"/>
      <c r="B3" s="2957" t="s">
        <v>902</v>
      </c>
      <c r="C3" s="2958" t="s">
        <v>2986</v>
      </c>
      <c r="D3" s="2958" t="s">
        <v>2987</v>
      </c>
    </row>
    <row r="4" spans="1:12" hidden="1">
      <c r="A4" s="2960"/>
      <c r="B4" s="2960"/>
      <c r="C4" s="2960"/>
      <c r="D4" s="2960"/>
    </row>
    <row r="5" spans="1:12">
      <c r="A5" s="2960">
        <v>1</v>
      </c>
      <c r="B5" s="2960" t="s">
        <v>2742</v>
      </c>
      <c r="C5" s="2961">
        <v>1677.4942000000001</v>
      </c>
      <c r="D5" s="2962">
        <v>1544.951</v>
      </c>
      <c r="F5" s="2956">
        <v>1546.0452819999998</v>
      </c>
    </row>
    <row r="6" spans="1:12">
      <c r="A6" s="2960">
        <v>2</v>
      </c>
      <c r="B6" s="2960" t="s">
        <v>2743</v>
      </c>
      <c r="C6" s="2961">
        <v>2574.4530145022259</v>
      </c>
      <c r="D6" s="2961">
        <v>2951.2068667549975</v>
      </c>
    </row>
    <row r="7" spans="1:12">
      <c r="A7" s="2960">
        <v>3</v>
      </c>
      <c r="B7" s="2960" t="s">
        <v>2744</v>
      </c>
      <c r="C7" s="2963">
        <v>4318.63</v>
      </c>
      <c r="D7" s="2963">
        <v>4559.47</v>
      </c>
      <c r="F7" s="2956">
        <v>3980.2209368018434</v>
      </c>
    </row>
    <row r="8" spans="1:12" ht="31.2">
      <c r="A8" s="2960">
        <v>4</v>
      </c>
      <c r="B8" s="2974" t="s">
        <v>2748</v>
      </c>
      <c r="C8" s="2962">
        <v>25510.419000000002</v>
      </c>
      <c r="D8" s="2962">
        <v>23512.508999999998</v>
      </c>
      <c r="F8" s="3132">
        <v>579.24906319815682</v>
      </c>
    </row>
    <row r="9" spans="1:12">
      <c r="A9" s="2960">
        <v>5</v>
      </c>
      <c r="B9" s="2960" t="s">
        <v>2745</v>
      </c>
      <c r="C9" s="2961">
        <v>27187.913200000003</v>
      </c>
      <c r="D9" s="2962">
        <v>25057.46</v>
      </c>
      <c r="F9" s="2964"/>
    </row>
    <row r="10" spans="1:12" ht="31.2" hidden="1">
      <c r="A10" s="3336">
        <v>6</v>
      </c>
      <c r="B10" s="3337" t="s">
        <v>2985</v>
      </c>
      <c r="C10" s="3336">
        <v>6.5757218648584331E-2</v>
      </c>
      <c r="D10" s="3336">
        <v>6.5707619718508137E-2</v>
      </c>
    </row>
    <row r="11" spans="1:12" ht="31.2">
      <c r="A11" s="2960">
        <v>6</v>
      </c>
      <c r="B11" s="3335" t="s">
        <v>2985</v>
      </c>
      <c r="C11" s="2965">
        <v>6.1699999999999998E-2</v>
      </c>
      <c r="D11" s="2965">
        <v>6.1656329093212163E-2</v>
      </c>
      <c r="F11" s="2965"/>
    </row>
    <row r="12" spans="1:12">
      <c r="A12" s="2960">
        <v>7</v>
      </c>
      <c r="B12" s="2966" t="s">
        <v>2746</v>
      </c>
      <c r="C12" s="2963"/>
      <c r="D12" s="3338">
        <v>240.84000000000015</v>
      </c>
    </row>
    <row r="13" spans="1:12" s="2964" customFormat="1">
      <c r="A13" s="2960"/>
      <c r="B13" s="2960" t="s">
        <v>643</v>
      </c>
      <c r="C13" s="2963"/>
      <c r="D13" s="2963"/>
      <c r="I13" s="2964" t="s">
        <v>2995</v>
      </c>
      <c r="J13" s="2964" t="s">
        <v>2996</v>
      </c>
      <c r="K13" s="2964" t="s">
        <v>2997</v>
      </c>
      <c r="L13" s="2964" t="s">
        <v>640</v>
      </c>
    </row>
    <row r="14" spans="1:12" s="2970" customFormat="1" ht="31.2">
      <c r="A14" s="2967" t="s">
        <v>2038</v>
      </c>
      <c r="B14" s="2968" t="s">
        <v>2998</v>
      </c>
      <c r="C14" s="2969"/>
      <c r="D14" s="2969"/>
      <c r="I14" s="3342">
        <v>632.00241872462243</v>
      </c>
      <c r="J14" s="3342">
        <v>-387.93308058074831</v>
      </c>
      <c r="K14" s="3342">
        <v>-3.2294525525661024</v>
      </c>
      <c r="L14" s="3342">
        <v>240.83988559130802</v>
      </c>
    </row>
    <row r="15" spans="1:12" s="2970" customFormat="1">
      <c r="A15" s="2971"/>
      <c r="B15" s="3341" t="s">
        <v>2993</v>
      </c>
      <c r="C15" s="2972"/>
      <c r="D15" s="2972"/>
    </row>
    <row r="16" spans="1:12" s="2970" customFormat="1" ht="21.6" customHeight="1">
      <c r="A16" s="3674"/>
      <c r="B16" s="3674" t="s">
        <v>2994</v>
      </c>
      <c r="C16" s="2973"/>
      <c r="D16" s="2973">
        <v>579.2490631981567</v>
      </c>
    </row>
    <row r="17" spans="1:6" hidden="1">
      <c r="A17" s="3339" t="s">
        <v>2989</v>
      </c>
      <c r="B17" s="3337" t="s">
        <v>2988</v>
      </c>
      <c r="C17" s="3340"/>
      <c r="D17" s="3340">
        <v>-3.4416835472554417</v>
      </c>
    </row>
    <row r="19" spans="1:6" s="2953" customFormat="1">
      <c r="A19" s="2953" t="s">
        <v>2990</v>
      </c>
    </row>
    <row r="20" spans="1:6" s="2953" customFormat="1">
      <c r="A20" s="2953" t="s">
        <v>2747</v>
      </c>
    </row>
    <row r="21" spans="1:6" s="2953" customFormat="1">
      <c r="A21" s="2953" t="s">
        <v>2991</v>
      </c>
      <c r="F21" s="2980"/>
    </row>
    <row r="22" spans="1:6" s="2953" customFormat="1">
      <c r="A22" s="2953" t="s">
        <v>3000</v>
      </c>
    </row>
    <row r="23" spans="1:6" s="2975" customFormat="1" ht="17.25" customHeight="1">
      <c r="A23" s="2953" t="s">
        <v>2992</v>
      </c>
    </row>
    <row r="24" spans="1:6" s="2975" customFormat="1" ht="17.25" customHeight="1">
      <c r="A24" s="2976" t="s">
        <v>3013</v>
      </c>
    </row>
    <row r="25" spans="1:6" s="2975" customFormat="1">
      <c r="B25" s="2953"/>
    </row>
    <row r="27" spans="1:6" s="2979" customFormat="1" ht="16.5" customHeight="1">
      <c r="A27" s="2977"/>
      <c r="B27" s="2978"/>
      <c r="C27" s="2977"/>
      <c r="D27" s="2977"/>
    </row>
    <row r="28" spans="1:6" ht="99" customHeight="1"/>
    <row r="29" spans="1:6">
      <c r="B29" s="2953" t="s">
        <v>1266</v>
      </c>
      <c r="D29" s="2953" t="s">
        <v>2876</v>
      </c>
    </row>
    <row r="30" spans="1:6">
      <c r="B30" s="2953" t="s">
        <v>1304</v>
      </c>
    </row>
  </sheetData>
  <printOptions horizontalCentered="1"/>
  <pageMargins left="0.78740157480314965" right="0.19685039370078741" top="0.94488188976377963" bottom="0.74803149606299213" header="0.31496062992125984" footer="0.31496062992125984"/>
  <pageSetup paperSize="9" scale="81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5">
    <tabColor rgb="FFFFC000"/>
  </sheetPr>
  <dimension ref="A1:T146"/>
  <sheetViews>
    <sheetView topLeftCell="B61" workbookViewId="0">
      <selection activeCell="B32" sqref="A1:XFD1048576"/>
    </sheetView>
  </sheetViews>
  <sheetFormatPr defaultRowHeight="13.2"/>
  <cols>
    <col min="1" max="1" width="5.33203125" style="10" customWidth="1"/>
    <col min="2" max="2" width="14.44140625" style="10" customWidth="1"/>
    <col min="3" max="3" width="12" style="6" customWidth="1"/>
    <col min="4" max="4" width="9.44140625" style="10" customWidth="1"/>
    <col min="5" max="5" width="12.5546875" style="10" customWidth="1"/>
    <col min="6" max="6" width="7.6640625" style="10" customWidth="1"/>
    <col min="7" max="8" width="12.33203125" style="10" customWidth="1"/>
    <col min="9" max="9" width="8.6640625" style="10" customWidth="1"/>
    <col min="10" max="10" width="9" style="10" customWidth="1"/>
    <col min="11" max="11" width="7.6640625" style="10" customWidth="1"/>
    <col min="12" max="13" width="12.33203125" style="10" customWidth="1"/>
    <col min="14" max="16" width="7.6640625" style="10" customWidth="1"/>
    <col min="17" max="17" width="10.44140625" style="10" customWidth="1"/>
    <col min="18" max="18" width="11.6640625" style="10" customWidth="1"/>
    <col min="19" max="256" width="9.109375" style="10"/>
    <col min="257" max="257" width="5.33203125" style="10" customWidth="1"/>
    <col min="258" max="258" width="14.44140625" style="10" customWidth="1"/>
    <col min="259" max="259" width="12" style="10" customWidth="1"/>
    <col min="260" max="260" width="9.44140625" style="10" customWidth="1"/>
    <col min="261" max="261" width="8" style="10" customWidth="1"/>
    <col min="262" max="262" width="7.6640625" style="10" customWidth="1"/>
    <col min="263" max="263" width="8.33203125" style="10" bestFit="1" customWidth="1"/>
    <col min="264" max="264" width="8.33203125" style="10" customWidth="1"/>
    <col min="265" max="265" width="8.6640625" style="10" customWidth="1"/>
    <col min="266" max="266" width="9" style="10" customWidth="1"/>
    <col min="267" max="274" width="7.6640625" style="10" customWidth="1"/>
    <col min="275" max="512" width="9.109375" style="10"/>
    <col min="513" max="513" width="5.33203125" style="10" customWidth="1"/>
    <col min="514" max="514" width="14.44140625" style="10" customWidth="1"/>
    <col min="515" max="515" width="12" style="10" customWidth="1"/>
    <col min="516" max="516" width="9.44140625" style="10" customWidth="1"/>
    <col min="517" max="517" width="8" style="10" customWidth="1"/>
    <col min="518" max="518" width="7.6640625" style="10" customWidth="1"/>
    <col min="519" max="519" width="8.33203125" style="10" bestFit="1" customWidth="1"/>
    <col min="520" max="520" width="8.33203125" style="10" customWidth="1"/>
    <col min="521" max="521" width="8.6640625" style="10" customWidth="1"/>
    <col min="522" max="522" width="9" style="10" customWidth="1"/>
    <col min="523" max="530" width="7.6640625" style="10" customWidth="1"/>
    <col min="531" max="768" width="9.109375" style="10"/>
    <col min="769" max="769" width="5.33203125" style="10" customWidth="1"/>
    <col min="770" max="770" width="14.44140625" style="10" customWidth="1"/>
    <col min="771" max="771" width="12" style="10" customWidth="1"/>
    <col min="772" max="772" width="9.44140625" style="10" customWidth="1"/>
    <col min="773" max="773" width="8" style="10" customWidth="1"/>
    <col min="774" max="774" width="7.6640625" style="10" customWidth="1"/>
    <col min="775" max="775" width="8.33203125" style="10" bestFit="1" customWidth="1"/>
    <col min="776" max="776" width="8.33203125" style="10" customWidth="1"/>
    <col min="777" max="777" width="8.6640625" style="10" customWidth="1"/>
    <col min="778" max="778" width="9" style="10" customWidth="1"/>
    <col min="779" max="786" width="7.6640625" style="10" customWidth="1"/>
    <col min="787" max="1024" width="9.109375" style="10"/>
    <col min="1025" max="1025" width="5.33203125" style="10" customWidth="1"/>
    <col min="1026" max="1026" width="14.44140625" style="10" customWidth="1"/>
    <col min="1027" max="1027" width="12" style="10" customWidth="1"/>
    <col min="1028" max="1028" width="9.44140625" style="10" customWidth="1"/>
    <col min="1029" max="1029" width="8" style="10" customWidth="1"/>
    <col min="1030" max="1030" width="7.6640625" style="10" customWidth="1"/>
    <col min="1031" max="1031" width="8.33203125" style="10" bestFit="1" customWidth="1"/>
    <col min="1032" max="1032" width="8.33203125" style="10" customWidth="1"/>
    <col min="1033" max="1033" width="8.6640625" style="10" customWidth="1"/>
    <col min="1034" max="1034" width="9" style="10" customWidth="1"/>
    <col min="1035" max="1042" width="7.6640625" style="10" customWidth="1"/>
    <col min="1043" max="1280" width="9.109375" style="10"/>
    <col min="1281" max="1281" width="5.33203125" style="10" customWidth="1"/>
    <col min="1282" max="1282" width="14.44140625" style="10" customWidth="1"/>
    <col min="1283" max="1283" width="12" style="10" customWidth="1"/>
    <col min="1284" max="1284" width="9.44140625" style="10" customWidth="1"/>
    <col min="1285" max="1285" width="8" style="10" customWidth="1"/>
    <col min="1286" max="1286" width="7.6640625" style="10" customWidth="1"/>
    <col min="1287" max="1287" width="8.33203125" style="10" bestFit="1" customWidth="1"/>
    <col min="1288" max="1288" width="8.33203125" style="10" customWidth="1"/>
    <col min="1289" max="1289" width="8.6640625" style="10" customWidth="1"/>
    <col min="1290" max="1290" width="9" style="10" customWidth="1"/>
    <col min="1291" max="1298" width="7.6640625" style="10" customWidth="1"/>
    <col min="1299" max="1536" width="9.109375" style="10"/>
    <col min="1537" max="1537" width="5.33203125" style="10" customWidth="1"/>
    <col min="1538" max="1538" width="14.44140625" style="10" customWidth="1"/>
    <col min="1539" max="1539" width="12" style="10" customWidth="1"/>
    <col min="1540" max="1540" width="9.44140625" style="10" customWidth="1"/>
    <col min="1541" max="1541" width="8" style="10" customWidth="1"/>
    <col min="1542" max="1542" width="7.6640625" style="10" customWidth="1"/>
    <col min="1543" max="1543" width="8.33203125" style="10" bestFit="1" customWidth="1"/>
    <col min="1544" max="1544" width="8.33203125" style="10" customWidth="1"/>
    <col min="1545" max="1545" width="8.6640625" style="10" customWidth="1"/>
    <col min="1546" max="1546" width="9" style="10" customWidth="1"/>
    <col min="1547" max="1554" width="7.6640625" style="10" customWidth="1"/>
    <col min="1555" max="1792" width="9.109375" style="10"/>
    <col min="1793" max="1793" width="5.33203125" style="10" customWidth="1"/>
    <col min="1794" max="1794" width="14.44140625" style="10" customWidth="1"/>
    <col min="1795" max="1795" width="12" style="10" customWidth="1"/>
    <col min="1796" max="1796" width="9.44140625" style="10" customWidth="1"/>
    <col min="1797" max="1797" width="8" style="10" customWidth="1"/>
    <col min="1798" max="1798" width="7.6640625" style="10" customWidth="1"/>
    <col min="1799" max="1799" width="8.33203125" style="10" bestFit="1" customWidth="1"/>
    <col min="1800" max="1800" width="8.33203125" style="10" customWidth="1"/>
    <col min="1801" max="1801" width="8.6640625" style="10" customWidth="1"/>
    <col min="1802" max="1802" width="9" style="10" customWidth="1"/>
    <col min="1803" max="1810" width="7.6640625" style="10" customWidth="1"/>
    <col min="1811" max="2048" width="9.109375" style="10"/>
    <col min="2049" max="2049" width="5.33203125" style="10" customWidth="1"/>
    <col min="2050" max="2050" width="14.44140625" style="10" customWidth="1"/>
    <col min="2051" max="2051" width="12" style="10" customWidth="1"/>
    <col min="2052" max="2052" width="9.44140625" style="10" customWidth="1"/>
    <col min="2053" max="2053" width="8" style="10" customWidth="1"/>
    <col min="2054" max="2054" width="7.6640625" style="10" customWidth="1"/>
    <col min="2055" max="2055" width="8.33203125" style="10" bestFit="1" customWidth="1"/>
    <col min="2056" max="2056" width="8.33203125" style="10" customWidth="1"/>
    <col min="2057" max="2057" width="8.6640625" style="10" customWidth="1"/>
    <col min="2058" max="2058" width="9" style="10" customWidth="1"/>
    <col min="2059" max="2066" width="7.6640625" style="10" customWidth="1"/>
    <col min="2067" max="2304" width="9.109375" style="10"/>
    <col min="2305" max="2305" width="5.33203125" style="10" customWidth="1"/>
    <col min="2306" max="2306" width="14.44140625" style="10" customWidth="1"/>
    <col min="2307" max="2307" width="12" style="10" customWidth="1"/>
    <col min="2308" max="2308" width="9.44140625" style="10" customWidth="1"/>
    <col min="2309" max="2309" width="8" style="10" customWidth="1"/>
    <col min="2310" max="2310" width="7.6640625" style="10" customWidth="1"/>
    <col min="2311" max="2311" width="8.33203125" style="10" bestFit="1" customWidth="1"/>
    <col min="2312" max="2312" width="8.33203125" style="10" customWidth="1"/>
    <col min="2313" max="2313" width="8.6640625" style="10" customWidth="1"/>
    <col min="2314" max="2314" width="9" style="10" customWidth="1"/>
    <col min="2315" max="2322" width="7.6640625" style="10" customWidth="1"/>
    <col min="2323" max="2560" width="9.109375" style="10"/>
    <col min="2561" max="2561" width="5.33203125" style="10" customWidth="1"/>
    <col min="2562" max="2562" width="14.44140625" style="10" customWidth="1"/>
    <col min="2563" max="2563" width="12" style="10" customWidth="1"/>
    <col min="2564" max="2564" width="9.44140625" style="10" customWidth="1"/>
    <col min="2565" max="2565" width="8" style="10" customWidth="1"/>
    <col min="2566" max="2566" width="7.6640625" style="10" customWidth="1"/>
    <col min="2567" max="2567" width="8.33203125" style="10" bestFit="1" customWidth="1"/>
    <col min="2568" max="2568" width="8.33203125" style="10" customWidth="1"/>
    <col min="2569" max="2569" width="8.6640625" style="10" customWidth="1"/>
    <col min="2570" max="2570" width="9" style="10" customWidth="1"/>
    <col min="2571" max="2578" width="7.6640625" style="10" customWidth="1"/>
    <col min="2579" max="2816" width="9.109375" style="10"/>
    <col min="2817" max="2817" width="5.33203125" style="10" customWidth="1"/>
    <col min="2818" max="2818" width="14.44140625" style="10" customWidth="1"/>
    <col min="2819" max="2819" width="12" style="10" customWidth="1"/>
    <col min="2820" max="2820" width="9.44140625" style="10" customWidth="1"/>
    <col min="2821" max="2821" width="8" style="10" customWidth="1"/>
    <col min="2822" max="2822" width="7.6640625" style="10" customWidth="1"/>
    <col min="2823" max="2823" width="8.33203125" style="10" bestFit="1" customWidth="1"/>
    <col min="2824" max="2824" width="8.33203125" style="10" customWidth="1"/>
    <col min="2825" max="2825" width="8.6640625" style="10" customWidth="1"/>
    <col min="2826" max="2826" width="9" style="10" customWidth="1"/>
    <col min="2827" max="2834" width="7.6640625" style="10" customWidth="1"/>
    <col min="2835" max="3072" width="9.109375" style="10"/>
    <col min="3073" max="3073" width="5.33203125" style="10" customWidth="1"/>
    <col min="3074" max="3074" width="14.44140625" style="10" customWidth="1"/>
    <col min="3075" max="3075" width="12" style="10" customWidth="1"/>
    <col min="3076" max="3076" width="9.44140625" style="10" customWidth="1"/>
    <col min="3077" max="3077" width="8" style="10" customWidth="1"/>
    <col min="3078" max="3078" width="7.6640625" style="10" customWidth="1"/>
    <col min="3079" max="3079" width="8.33203125" style="10" bestFit="1" customWidth="1"/>
    <col min="3080" max="3080" width="8.33203125" style="10" customWidth="1"/>
    <col min="3081" max="3081" width="8.6640625" style="10" customWidth="1"/>
    <col min="3082" max="3082" width="9" style="10" customWidth="1"/>
    <col min="3083" max="3090" width="7.6640625" style="10" customWidth="1"/>
    <col min="3091" max="3328" width="9.109375" style="10"/>
    <col min="3329" max="3329" width="5.33203125" style="10" customWidth="1"/>
    <col min="3330" max="3330" width="14.44140625" style="10" customWidth="1"/>
    <col min="3331" max="3331" width="12" style="10" customWidth="1"/>
    <col min="3332" max="3332" width="9.44140625" style="10" customWidth="1"/>
    <col min="3333" max="3333" width="8" style="10" customWidth="1"/>
    <col min="3334" max="3334" width="7.6640625" style="10" customWidth="1"/>
    <col min="3335" max="3335" width="8.33203125" style="10" bestFit="1" customWidth="1"/>
    <col min="3336" max="3336" width="8.33203125" style="10" customWidth="1"/>
    <col min="3337" max="3337" width="8.6640625" style="10" customWidth="1"/>
    <col min="3338" max="3338" width="9" style="10" customWidth="1"/>
    <col min="3339" max="3346" width="7.6640625" style="10" customWidth="1"/>
    <col min="3347" max="3584" width="9.109375" style="10"/>
    <col min="3585" max="3585" width="5.33203125" style="10" customWidth="1"/>
    <col min="3586" max="3586" width="14.44140625" style="10" customWidth="1"/>
    <col min="3587" max="3587" width="12" style="10" customWidth="1"/>
    <col min="3588" max="3588" width="9.44140625" style="10" customWidth="1"/>
    <col min="3589" max="3589" width="8" style="10" customWidth="1"/>
    <col min="3590" max="3590" width="7.6640625" style="10" customWidth="1"/>
    <col min="3591" max="3591" width="8.33203125" style="10" bestFit="1" customWidth="1"/>
    <col min="3592" max="3592" width="8.33203125" style="10" customWidth="1"/>
    <col min="3593" max="3593" width="8.6640625" style="10" customWidth="1"/>
    <col min="3594" max="3594" width="9" style="10" customWidth="1"/>
    <col min="3595" max="3602" width="7.6640625" style="10" customWidth="1"/>
    <col min="3603" max="3840" width="9.109375" style="10"/>
    <col min="3841" max="3841" width="5.33203125" style="10" customWidth="1"/>
    <col min="3842" max="3842" width="14.44140625" style="10" customWidth="1"/>
    <col min="3843" max="3843" width="12" style="10" customWidth="1"/>
    <col min="3844" max="3844" width="9.44140625" style="10" customWidth="1"/>
    <col min="3845" max="3845" width="8" style="10" customWidth="1"/>
    <col min="3846" max="3846" width="7.6640625" style="10" customWidth="1"/>
    <col min="3847" max="3847" width="8.33203125" style="10" bestFit="1" customWidth="1"/>
    <col min="3848" max="3848" width="8.33203125" style="10" customWidth="1"/>
    <col min="3849" max="3849" width="8.6640625" style="10" customWidth="1"/>
    <col min="3850" max="3850" width="9" style="10" customWidth="1"/>
    <col min="3851" max="3858" width="7.6640625" style="10" customWidth="1"/>
    <col min="3859" max="4096" width="9.109375" style="10"/>
    <col min="4097" max="4097" width="5.33203125" style="10" customWidth="1"/>
    <col min="4098" max="4098" width="14.44140625" style="10" customWidth="1"/>
    <col min="4099" max="4099" width="12" style="10" customWidth="1"/>
    <col min="4100" max="4100" width="9.44140625" style="10" customWidth="1"/>
    <col min="4101" max="4101" width="8" style="10" customWidth="1"/>
    <col min="4102" max="4102" width="7.6640625" style="10" customWidth="1"/>
    <col min="4103" max="4103" width="8.33203125" style="10" bestFit="1" customWidth="1"/>
    <col min="4104" max="4104" width="8.33203125" style="10" customWidth="1"/>
    <col min="4105" max="4105" width="8.6640625" style="10" customWidth="1"/>
    <col min="4106" max="4106" width="9" style="10" customWidth="1"/>
    <col min="4107" max="4114" width="7.6640625" style="10" customWidth="1"/>
    <col min="4115" max="4352" width="9.109375" style="10"/>
    <col min="4353" max="4353" width="5.33203125" style="10" customWidth="1"/>
    <col min="4354" max="4354" width="14.44140625" style="10" customWidth="1"/>
    <col min="4355" max="4355" width="12" style="10" customWidth="1"/>
    <col min="4356" max="4356" width="9.44140625" style="10" customWidth="1"/>
    <col min="4357" max="4357" width="8" style="10" customWidth="1"/>
    <col min="4358" max="4358" width="7.6640625" style="10" customWidth="1"/>
    <col min="4359" max="4359" width="8.33203125" style="10" bestFit="1" customWidth="1"/>
    <col min="4360" max="4360" width="8.33203125" style="10" customWidth="1"/>
    <col min="4361" max="4361" width="8.6640625" style="10" customWidth="1"/>
    <col min="4362" max="4362" width="9" style="10" customWidth="1"/>
    <col min="4363" max="4370" width="7.6640625" style="10" customWidth="1"/>
    <col min="4371" max="4608" width="9.109375" style="10"/>
    <col min="4609" max="4609" width="5.33203125" style="10" customWidth="1"/>
    <col min="4610" max="4610" width="14.44140625" style="10" customWidth="1"/>
    <col min="4611" max="4611" width="12" style="10" customWidth="1"/>
    <col min="4612" max="4612" width="9.44140625" style="10" customWidth="1"/>
    <col min="4613" max="4613" width="8" style="10" customWidth="1"/>
    <col min="4614" max="4614" width="7.6640625" style="10" customWidth="1"/>
    <col min="4615" max="4615" width="8.33203125" style="10" bestFit="1" customWidth="1"/>
    <col min="4616" max="4616" width="8.33203125" style="10" customWidth="1"/>
    <col min="4617" max="4617" width="8.6640625" style="10" customWidth="1"/>
    <col min="4618" max="4618" width="9" style="10" customWidth="1"/>
    <col min="4619" max="4626" width="7.6640625" style="10" customWidth="1"/>
    <col min="4627" max="4864" width="9.109375" style="10"/>
    <col min="4865" max="4865" width="5.33203125" style="10" customWidth="1"/>
    <col min="4866" max="4866" width="14.44140625" style="10" customWidth="1"/>
    <col min="4867" max="4867" width="12" style="10" customWidth="1"/>
    <col min="4868" max="4868" width="9.44140625" style="10" customWidth="1"/>
    <col min="4869" max="4869" width="8" style="10" customWidth="1"/>
    <col min="4870" max="4870" width="7.6640625" style="10" customWidth="1"/>
    <col min="4871" max="4871" width="8.33203125" style="10" bestFit="1" customWidth="1"/>
    <col min="4872" max="4872" width="8.33203125" style="10" customWidth="1"/>
    <col min="4873" max="4873" width="8.6640625" style="10" customWidth="1"/>
    <col min="4874" max="4874" width="9" style="10" customWidth="1"/>
    <col min="4875" max="4882" width="7.6640625" style="10" customWidth="1"/>
    <col min="4883" max="5120" width="9.109375" style="10"/>
    <col min="5121" max="5121" width="5.33203125" style="10" customWidth="1"/>
    <col min="5122" max="5122" width="14.44140625" style="10" customWidth="1"/>
    <col min="5123" max="5123" width="12" style="10" customWidth="1"/>
    <col min="5124" max="5124" width="9.44140625" style="10" customWidth="1"/>
    <col min="5125" max="5125" width="8" style="10" customWidth="1"/>
    <col min="5126" max="5126" width="7.6640625" style="10" customWidth="1"/>
    <col min="5127" max="5127" width="8.33203125" style="10" bestFit="1" customWidth="1"/>
    <col min="5128" max="5128" width="8.33203125" style="10" customWidth="1"/>
    <col min="5129" max="5129" width="8.6640625" style="10" customWidth="1"/>
    <col min="5130" max="5130" width="9" style="10" customWidth="1"/>
    <col min="5131" max="5138" width="7.6640625" style="10" customWidth="1"/>
    <col min="5139" max="5376" width="9.109375" style="10"/>
    <col min="5377" max="5377" width="5.33203125" style="10" customWidth="1"/>
    <col min="5378" max="5378" width="14.44140625" style="10" customWidth="1"/>
    <col min="5379" max="5379" width="12" style="10" customWidth="1"/>
    <col min="5380" max="5380" width="9.44140625" style="10" customWidth="1"/>
    <col min="5381" max="5381" width="8" style="10" customWidth="1"/>
    <col min="5382" max="5382" width="7.6640625" style="10" customWidth="1"/>
    <col min="5383" max="5383" width="8.33203125" style="10" bestFit="1" customWidth="1"/>
    <col min="5384" max="5384" width="8.33203125" style="10" customWidth="1"/>
    <col min="5385" max="5385" width="8.6640625" style="10" customWidth="1"/>
    <col min="5386" max="5386" width="9" style="10" customWidth="1"/>
    <col min="5387" max="5394" width="7.6640625" style="10" customWidth="1"/>
    <col min="5395" max="5632" width="9.109375" style="10"/>
    <col min="5633" max="5633" width="5.33203125" style="10" customWidth="1"/>
    <col min="5634" max="5634" width="14.44140625" style="10" customWidth="1"/>
    <col min="5635" max="5635" width="12" style="10" customWidth="1"/>
    <col min="5636" max="5636" width="9.44140625" style="10" customWidth="1"/>
    <col min="5637" max="5637" width="8" style="10" customWidth="1"/>
    <col min="5638" max="5638" width="7.6640625" style="10" customWidth="1"/>
    <col min="5639" max="5639" width="8.33203125" style="10" bestFit="1" customWidth="1"/>
    <col min="5640" max="5640" width="8.33203125" style="10" customWidth="1"/>
    <col min="5641" max="5641" width="8.6640625" style="10" customWidth="1"/>
    <col min="5642" max="5642" width="9" style="10" customWidth="1"/>
    <col min="5643" max="5650" width="7.6640625" style="10" customWidth="1"/>
    <col min="5651" max="5888" width="9.109375" style="10"/>
    <col min="5889" max="5889" width="5.33203125" style="10" customWidth="1"/>
    <col min="5890" max="5890" width="14.44140625" style="10" customWidth="1"/>
    <col min="5891" max="5891" width="12" style="10" customWidth="1"/>
    <col min="5892" max="5892" width="9.44140625" style="10" customWidth="1"/>
    <col min="5893" max="5893" width="8" style="10" customWidth="1"/>
    <col min="5894" max="5894" width="7.6640625" style="10" customWidth="1"/>
    <col min="5895" max="5895" width="8.33203125" style="10" bestFit="1" customWidth="1"/>
    <col min="5896" max="5896" width="8.33203125" style="10" customWidth="1"/>
    <col min="5897" max="5897" width="8.6640625" style="10" customWidth="1"/>
    <col min="5898" max="5898" width="9" style="10" customWidth="1"/>
    <col min="5899" max="5906" width="7.6640625" style="10" customWidth="1"/>
    <col min="5907" max="6144" width="9.109375" style="10"/>
    <col min="6145" max="6145" width="5.33203125" style="10" customWidth="1"/>
    <col min="6146" max="6146" width="14.44140625" style="10" customWidth="1"/>
    <col min="6147" max="6147" width="12" style="10" customWidth="1"/>
    <col min="6148" max="6148" width="9.44140625" style="10" customWidth="1"/>
    <col min="6149" max="6149" width="8" style="10" customWidth="1"/>
    <col min="6150" max="6150" width="7.6640625" style="10" customWidth="1"/>
    <col min="6151" max="6151" width="8.33203125" style="10" bestFit="1" customWidth="1"/>
    <col min="6152" max="6152" width="8.33203125" style="10" customWidth="1"/>
    <col min="6153" max="6153" width="8.6640625" style="10" customWidth="1"/>
    <col min="6154" max="6154" width="9" style="10" customWidth="1"/>
    <col min="6155" max="6162" width="7.6640625" style="10" customWidth="1"/>
    <col min="6163" max="6400" width="9.109375" style="10"/>
    <col min="6401" max="6401" width="5.33203125" style="10" customWidth="1"/>
    <col min="6402" max="6402" width="14.44140625" style="10" customWidth="1"/>
    <col min="6403" max="6403" width="12" style="10" customWidth="1"/>
    <col min="6404" max="6404" width="9.44140625" style="10" customWidth="1"/>
    <col min="6405" max="6405" width="8" style="10" customWidth="1"/>
    <col min="6406" max="6406" width="7.6640625" style="10" customWidth="1"/>
    <col min="6407" max="6407" width="8.33203125" style="10" bestFit="1" customWidth="1"/>
    <col min="6408" max="6408" width="8.33203125" style="10" customWidth="1"/>
    <col min="6409" max="6409" width="8.6640625" style="10" customWidth="1"/>
    <col min="6410" max="6410" width="9" style="10" customWidth="1"/>
    <col min="6411" max="6418" width="7.6640625" style="10" customWidth="1"/>
    <col min="6419" max="6656" width="9.109375" style="10"/>
    <col min="6657" max="6657" width="5.33203125" style="10" customWidth="1"/>
    <col min="6658" max="6658" width="14.44140625" style="10" customWidth="1"/>
    <col min="6659" max="6659" width="12" style="10" customWidth="1"/>
    <col min="6660" max="6660" width="9.44140625" style="10" customWidth="1"/>
    <col min="6661" max="6661" width="8" style="10" customWidth="1"/>
    <col min="6662" max="6662" width="7.6640625" style="10" customWidth="1"/>
    <col min="6663" max="6663" width="8.33203125" style="10" bestFit="1" customWidth="1"/>
    <col min="6664" max="6664" width="8.33203125" style="10" customWidth="1"/>
    <col min="6665" max="6665" width="8.6640625" style="10" customWidth="1"/>
    <col min="6666" max="6666" width="9" style="10" customWidth="1"/>
    <col min="6667" max="6674" width="7.6640625" style="10" customWidth="1"/>
    <col min="6675" max="6912" width="9.109375" style="10"/>
    <col min="6913" max="6913" width="5.33203125" style="10" customWidth="1"/>
    <col min="6914" max="6914" width="14.44140625" style="10" customWidth="1"/>
    <col min="6915" max="6915" width="12" style="10" customWidth="1"/>
    <col min="6916" max="6916" width="9.44140625" style="10" customWidth="1"/>
    <col min="6917" max="6917" width="8" style="10" customWidth="1"/>
    <col min="6918" max="6918" width="7.6640625" style="10" customWidth="1"/>
    <col min="6919" max="6919" width="8.33203125" style="10" bestFit="1" customWidth="1"/>
    <col min="6920" max="6920" width="8.33203125" style="10" customWidth="1"/>
    <col min="6921" max="6921" width="8.6640625" style="10" customWidth="1"/>
    <col min="6922" max="6922" width="9" style="10" customWidth="1"/>
    <col min="6923" max="6930" width="7.6640625" style="10" customWidth="1"/>
    <col min="6931" max="7168" width="9.109375" style="10"/>
    <col min="7169" max="7169" width="5.33203125" style="10" customWidth="1"/>
    <col min="7170" max="7170" width="14.44140625" style="10" customWidth="1"/>
    <col min="7171" max="7171" width="12" style="10" customWidth="1"/>
    <col min="7172" max="7172" width="9.44140625" style="10" customWidth="1"/>
    <col min="7173" max="7173" width="8" style="10" customWidth="1"/>
    <col min="7174" max="7174" width="7.6640625" style="10" customWidth="1"/>
    <col min="7175" max="7175" width="8.33203125" style="10" bestFit="1" customWidth="1"/>
    <col min="7176" max="7176" width="8.33203125" style="10" customWidth="1"/>
    <col min="7177" max="7177" width="8.6640625" style="10" customWidth="1"/>
    <col min="7178" max="7178" width="9" style="10" customWidth="1"/>
    <col min="7179" max="7186" width="7.6640625" style="10" customWidth="1"/>
    <col min="7187" max="7424" width="9.109375" style="10"/>
    <col min="7425" max="7425" width="5.33203125" style="10" customWidth="1"/>
    <col min="7426" max="7426" width="14.44140625" style="10" customWidth="1"/>
    <col min="7427" max="7427" width="12" style="10" customWidth="1"/>
    <col min="7428" max="7428" width="9.44140625" style="10" customWidth="1"/>
    <col min="7429" max="7429" width="8" style="10" customWidth="1"/>
    <col min="7430" max="7430" width="7.6640625" style="10" customWidth="1"/>
    <col min="7431" max="7431" width="8.33203125" style="10" bestFit="1" customWidth="1"/>
    <col min="7432" max="7432" width="8.33203125" style="10" customWidth="1"/>
    <col min="7433" max="7433" width="8.6640625" style="10" customWidth="1"/>
    <col min="7434" max="7434" width="9" style="10" customWidth="1"/>
    <col min="7435" max="7442" width="7.6640625" style="10" customWidth="1"/>
    <col min="7443" max="7680" width="9.109375" style="10"/>
    <col min="7681" max="7681" width="5.33203125" style="10" customWidth="1"/>
    <col min="7682" max="7682" width="14.44140625" style="10" customWidth="1"/>
    <col min="7683" max="7683" width="12" style="10" customWidth="1"/>
    <col min="7684" max="7684" width="9.44140625" style="10" customWidth="1"/>
    <col min="7685" max="7685" width="8" style="10" customWidth="1"/>
    <col min="7686" max="7686" width="7.6640625" style="10" customWidth="1"/>
    <col min="7687" max="7687" width="8.33203125" style="10" bestFit="1" customWidth="1"/>
    <col min="7688" max="7688" width="8.33203125" style="10" customWidth="1"/>
    <col min="7689" max="7689" width="8.6640625" style="10" customWidth="1"/>
    <col min="7690" max="7690" width="9" style="10" customWidth="1"/>
    <col min="7691" max="7698" width="7.6640625" style="10" customWidth="1"/>
    <col min="7699" max="7936" width="9.109375" style="10"/>
    <col min="7937" max="7937" width="5.33203125" style="10" customWidth="1"/>
    <col min="7938" max="7938" width="14.44140625" style="10" customWidth="1"/>
    <col min="7939" max="7939" width="12" style="10" customWidth="1"/>
    <col min="7940" max="7940" width="9.44140625" style="10" customWidth="1"/>
    <col min="7941" max="7941" width="8" style="10" customWidth="1"/>
    <col min="7942" max="7942" width="7.6640625" style="10" customWidth="1"/>
    <col min="7943" max="7943" width="8.33203125" style="10" bestFit="1" customWidth="1"/>
    <col min="7944" max="7944" width="8.33203125" style="10" customWidth="1"/>
    <col min="7945" max="7945" width="8.6640625" style="10" customWidth="1"/>
    <col min="7946" max="7946" width="9" style="10" customWidth="1"/>
    <col min="7947" max="7954" width="7.6640625" style="10" customWidth="1"/>
    <col min="7955" max="8192" width="9.109375" style="10"/>
    <col min="8193" max="8193" width="5.33203125" style="10" customWidth="1"/>
    <col min="8194" max="8194" width="14.44140625" style="10" customWidth="1"/>
    <col min="8195" max="8195" width="12" style="10" customWidth="1"/>
    <col min="8196" max="8196" width="9.44140625" style="10" customWidth="1"/>
    <col min="8197" max="8197" width="8" style="10" customWidth="1"/>
    <col min="8198" max="8198" width="7.6640625" style="10" customWidth="1"/>
    <col min="8199" max="8199" width="8.33203125" style="10" bestFit="1" customWidth="1"/>
    <col min="8200" max="8200" width="8.33203125" style="10" customWidth="1"/>
    <col min="8201" max="8201" width="8.6640625" style="10" customWidth="1"/>
    <col min="8202" max="8202" width="9" style="10" customWidth="1"/>
    <col min="8203" max="8210" width="7.6640625" style="10" customWidth="1"/>
    <col min="8211" max="8448" width="9.109375" style="10"/>
    <col min="8449" max="8449" width="5.33203125" style="10" customWidth="1"/>
    <col min="8450" max="8450" width="14.44140625" style="10" customWidth="1"/>
    <col min="8451" max="8451" width="12" style="10" customWidth="1"/>
    <col min="8452" max="8452" width="9.44140625" style="10" customWidth="1"/>
    <col min="8453" max="8453" width="8" style="10" customWidth="1"/>
    <col min="8454" max="8454" width="7.6640625" style="10" customWidth="1"/>
    <col min="8455" max="8455" width="8.33203125" style="10" bestFit="1" customWidth="1"/>
    <col min="8456" max="8456" width="8.33203125" style="10" customWidth="1"/>
    <col min="8457" max="8457" width="8.6640625" style="10" customWidth="1"/>
    <col min="8458" max="8458" width="9" style="10" customWidth="1"/>
    <col min="8459" max="8466" width="7.6640625" style="10" customWidth="1"/>
    <col min="8467" max="8704" width="9.109375" style="10"/>
    <col min="8705" max="8705" width="5.33203125" style="10" customWidth="1"/>
    <col min="8706" max="8706" width="14.44140625" style="10" customWidth="1"/>
    <col min="8707" max="8707" width="12" style="10" customWidth="1"/>
    <col min="8708" max="8708" width="9.44140625" style="10" customWidth="1"/>
    <col min="8709" max="8709" width="8" style="10" customWidth="1"/>
    <col min="8710" max="8710" width="7.6640625" style="10" customWidth="1"/>
    <col min="8711" max="8711" width="8.33203125" style="10" bestFit="1" customWidth="1"/>
    <col min="8712" max="8712" width="8.33203125" style="10" customWidth="1"/>
    <col min="8713" max="8713" width="8.6640625" style="10" customWidth="1"/>
    <col min="8714" max="8714" width="9" style="10" customWidth="1"/>
    <col min="8715" max="8722" width="7.6640625" style="10" customWidth="1"/>
    <col min="8723" max="8960" width="9.109375" style="10"/>
    <col min="8961" max="8961" width="5.33203125" style="10" customWidth="1"/>
    <col min="8962" max="8962" width="14.44140625" style="10" customWidth="1"/>
    <col min="8963" max="8963" width="12" style="10" customWidth="1"/>
    <col min="8964" max="8964" width="9.44140625" style="10" customWidth="1"/>
    <col min="8965" max="8965" width="8" style="10" customWidth="1"/>
    <col min="8966" max="8966" width="7.6640625" style="10" customWidth="1"/>
    <col min="8967" max="8967" width="8.33203125" style="10" bestFit="1" customWidth="1"/>
    <col min="8968" max="8968" width="8.33203125" style="10" customWidth="1"/>
    <col min="8969" max="8969" width="8.6640625" style="10" customWidth="1"/>
    <col min="8970" max="8970" width="9" style="10" customWidth="1"/>
    <col min="8971" max="8978" width="7.6640625" style="10" customWidth="1"/>
    <col min="8979" max="9216" width="9.109375" style="10"/>
    <col min="9217" max="9217" width="5.33203125" style="10" customWidth="1"/>
    <col min="9218" max="9218" width="14.44140625" style="10" customWidth="1"/>
    <col min="9219" max="9219" width="12" style="10" customWidth="1"/>
    <col min="9220" max="9220" width="9.44140625" style="10" customWidth="1"/>
    <col min="9221" max="9221" width="8" style="10" customWidth="1"/>
    <col min="9222" max="9222" width="7.6640625" style="10" customWidth="1"/>
    <col min="9223" max="9223" width="8.33203125" style="10" bestFit="1" customWidth="1"/>
    <col min="9224" max="9224" width="8.33203125" style="10" customWidth="1"/>
    <col min="9225" max="9225" width="8.6640625" style="10" customWidth="1"/>
    <col min="9226" max="9226" width="9" style="10" customWidth="1"/>
    <col min="9227" max="9234" width="7.6640625" style="10" customWidth="1"/>
    <col min="9235" max="9472" width="9.109375" style="10"/>
    <col min="9473" max="9473" width="5.33203125" style="10" customWidth="1"/>
    <col min="9474" max="9474" width="14.44140625" style="10" customWidth="1"/>
    <col min="9475" max="9475" width="12" style="10" customWidth="1"/>
    <col min="9476" max="9476" width="9.44140625" style="10" customWidth="1"/>
    <col min="9477" max="9477" width="8" style="10" customWidth="1"/>
    <col min="9478" max="9478" width="7.6640625" style="10" customWidth="1"/>
    <col min="9479" max="9479" width="8.33203125" style="10" bestFit="1" customWidth="1"/>
    <col min="9480" max="9480" width="8.33203125" style="10" customWidth="1"/>
    <col min="9481" max="9481" width="8.6640625" style="10" customWidth="1"/>
    <col min="9482" max="9482" width="9" style="10" customWidth="1"/>
    <col min="9483" max="9490" width="7.6640625" style="10" customWidth="1"/>
    <col min="9491" max="9728" width="9.109375" style="10"/>
    <col min="9729" max="9729" width="5.33203125" style="10" customWidth="1"/>
    <col min="9730" max="9730" width="14.44140625" style="10" customWidth="1"/>
    <col min="9731" max="9731" width="12" style="10" customWidth="1"/>
    <col min="9732" max="9732" width="9.44140625" style="10" customWidth="1"/>
    <col min="9733" max="9733" width="8" style="10" customWidth="1"/>
    <col min="9734" max="9734" width="7.6640625" style="10" customWidth="1"/>
    <col min="9735" max="9735" width="8.33203125" style="10" bestFit="1" customWidth="1"/>
    <col min="9736" max="9736" width="8.33203125" style="10" customWidth="1"/>
    <col min="9737" max="9737" width="8.6640625" style="10" customWidth="1"/>
    <col min="9738" max="9738" width="9" style="10" customWidth="1"/>
    <col min="9739" max="9746" width="7.6640625" style="10" customWidth="1"/>
    <col min="9747" max="9984" width="9.109375" style="10"/>
    <col min="9985" max="9985" width="5.33203125" style="10" customWidth="1"/>
    <col min="9986" max="9986" width="14.44140625" style="10" customWidth="1"/>
    <col min="9987" max="9987" width="12" style="10" customWidth="1"/>
    <col min="9988" max="9988" width="9.44140625" style="10" customWidth="1"/>
    <col min="9989" max="9989" width="8" style="10" customWidth="1"/>
    <col min="9990" max="9990" width="7.6640625" style="10" customWidth="1"/>
    <col min="9991" max="9991" width="8.33203125" style="10" bestFit="1" customWidth="1"/>
    <col min="9992" max="9992" width="8.33203125" style="10" customWidth="1"/>
    <col min="9993" max="9993" width="8.6640625" style="10" customWidth="1"/>
    <col min="9994" max="9994" width="9" style="10" customWidth="1"/>
    <col min="9995" max="10002" width="7.6640625" style="10" customWidth="1"/>
    <col min="10003" max="10240" width="9.109375" style="10"/>
    <col min="10241" max="10241" width="5.33203125" style="10" customWidth="1"/>
    <col min="10242" max="10242" width="14.44140625" style="10" customWidth="1"/>
    <col min="10243" max="10243" width="12" style="10" customWidth="1"/>
    <col min="10244" max="10244" width="9.44140625" style="10" customWidth="1"/>
    <col min="10245" max="10245" width="8" style="10" customWidth="1"/>
    <col min="10246" max="10246" width="7.6640625" style="10" customWidth="1"/>
    <col min="10247" max="10247" width="8.33203125" style="10" bestFit="1" customWidth="1"/>
    <col min="10248" max="10248" width="8.33203125" style="10" customWidth="1"/>
    <col min="10249" max="10249" width="8.6640625" style="10" customWidth="1"/>
    <col min="10250" max="10250" width="9" style="10" customWidth="1"/>
    <col min="10251" max="10258" width="7.6640625" style="10" customWidth="1"/>
    <col min="10259" max="10496" width="9.109375" style="10"/>
    <col min="10497" max="10497" width="5.33203125" style="10" customWidth="1"/>
    <col min="10498" max="10498" width="14.44140625" style="10" customWidth="1"/>
    <col min="10499" max="10499" width="12" style="10" customWidth="1"/>
    <col min="10500" max="10500" width="9.44140625" style="10" customWidth="1"/>
    <col min="10501" max="10501" width="8" style="10" customWidth="1"/>
    <col min="10502" max="10502" width="7.6640625" style="10" customWidth="1"/>
    <col min="10503" max="10503" width="8.33203125" style="10" bestFit="1" customWidth="1"/>
    <col min="10504" max="10504" width="8.33203125" style="10" customWidth="1"/>
    <col min="10505" max="10505" width="8.6640625" style="10" customWidth="1"/>
    <col min="10506" max="10506" width="9" style="10" customWidth="1"/>
    <col min="10507" max="10514" width="7.6640625" style="10" customWidth="1"/>
    <col min="10515" max="10752" width="9.109375" style="10"/>
    <col min="10753" max="10753" width="5.33203125" style="10" customWidth="1"/>
    <col min="10754" max="10754" width="14.44140625" style="10" customWidth="1"/>
    <col min="10755" max="10755" width="12" style="10" customWidth="1"/>
    <col min="10756" max="10756" width="9.44140625" style="10" customWidth="1"/>
    <col min="10757" max="10757" width="8" style="10" customWidth="1"/>
    <col min="10758" max="10758" width="7.6640625" style="10" customWidth="1"/>
    <col min="10759" max="10759" width="8.33203125" style="10" bestFit="1" customWidth="1"/>
    <col min="10760" max="10760" width="8.33203125" style="10" customWidth="1"/>
    <col min="10761" max="10761" width="8.6640625" style="10" customWidth="1"/>
    <col min="10762" max="10762" width="9" style="10" customWidth="1"/>
    <col min="10763" max="10770" width="7.6640625" style="10" customWidth="1"/>
    <col min="10771" max="11008" width="9.109375" style="10"/>
    <col min="11009" max="11009" width="5.33203125" style="10" customWidth="1"/>
    <col min="11010" max="11010" width="14.44140625" style="10" customWidth="1"/>
    <col min="11011" max="11011" width="12" style="10" customWidth="1"/>
    <col min="11012" max="11012" width="9.44140625" style="10" customWidth="1"/>
    <col min="11013" max="11013" width="8" style="10" customWidth="1"/>
    <col min="11014" max="11014" width="7.6640625" style="10" customWidth="1"/>
    <col min="11015" max="11015" width="8.33203125" style="10" bestFit="1" customWidth="1"/>
    <col min="11016" max="11016" width="8.33203125" style="10" customWidth="1"/>
    <col min="11017" max="11017" width="8.6640625" style="10" customWidth="1"/>
    <col min="11018" max="11018" width="9" style="10" customWidth="1"/>
    <col min="11019" max="11026" width="7.6640625" style="10" customWidth="1"/>
    <col min="11027" max="11264" width="9.109375" style="10"/>
    <col min="11265" max="11265" width="5.33203125" style="10" customWidth="1"/>
    <col min="11266" max="11266" width="14.44140625" style="10" customWidth="1"/>
    <col min="11267" max="11267" width="12" style="10" customWidth="1"/>
    <col min="11268" max="11268" width="9.44140625" style="10" customWidth="1"/>
    <col min="11269" max="11269" width="8" style="10" customWidth="1"/>
    <col min="11270" max="11270" width="7.6640625" style="10" customWidth="1"/>
    <col min="11271" max="11271" width="8.33203125" style="10" bestFit="1" customWidth="1"/>
    <col min="11272" max="11272" width="8.33203125" style="10" customWidth="1"/>
    <col min="11273" max="11273" width="8.6640625" style="10" customWidth="1"/>
    <col min="11274" max="11274" width="9" style="10" customWidth="1"/>
    <col min="11275" max="11282" width="7.6640625" style="10" customWidth="1"/>
    <col min="11283" max="11520" width="9.109375" style="10"/>
    <col min="11521" max="11521" width="5.33203125" style="10" customWidth="1"/>
    <col min="11522" max="11522" width="14.44140625" style="10" customWidth="1"/>
    <col min="11523" max="11523" width="12" style="10" customWidth="1"/>
    <col min="11524" max="11524" width="9.44140625" style="10" customWidth="1"/>
    <col min="11525" max="11525" width="8" style="10" customWidth="1"/>
    <col min="11526" max="11526" width="7.6640625" style="10" customWidth="1"/>
    <col min="11527" max="11527" width="8.33203125" style="10" bestFit="1" customWidth="1"/>
    <col min="11528" max="11528" width="8.33203125" style="10" customWidth="1"/>
    <col min="11529" max="11529" width="8.6640625" style="10" customWidth="1"/>
    <col min="11530" max="11530" width="9" style="10" customWidth="1"/>
    <col min="11531" max="11538" width="7.6640625" style="10" customWidth="1"/>
    <col min="11539" max="11776" width="9.109375" style="10"/>
    <col min="11777" max="11777" width="5.33203125" style="10" customWidth="1"/>
    <col min="11778" max="11778" width="14.44140625" style="10" customWidth="1"/>
    <col min="11779" max="11779" width="12" style="10" customWidth="1"/>
    <col min="11780" max="11780" width="9.44140625" style="10" customWidth="1"/>
    <col min="11781" max="11781" width="8" style="10" customWidth="1"/>
    <col min="11782" max="11782" width="7.6640625" style="10" customWidth="1"/>
    <col min="11783" max="11783" width="8.33203125" style="10" bestFit="1" customWidth="1"/>
    <col min="11784" max="11784" width="8.33203125" style="10" customWidth="1"/>
    <col min="11785" max="11785" width="8.6640625" style="10" customWidth="1"/>
    <col min="11786" max="11786" width="9" style="10" customWidth="1"/>
    <col min="11787" max="11794" width="7.6640625" style="10" customWidth="1"/>
    <col min="11795" max="12032" width="9.109375" style="10"/>
    <col min="12033" max="12033" width="5.33203125" style="10" customWidth="1"/>
    <col min="12034" max="12034" width="14.44140625" style="10" customWidth="1"/>
    <col min="12035" max="12035" width="12" style="10" customWidth="1"/>
    <col min="12036" max="12036" width="9.44140625" style="10" customWidth="1"/>
    <col min="12037" max="12037" width="8" style="10" customWidth="1"/>
    <col min="12038" max="12038" width="7.6640625" style="10" customWidth="1"/>
    <col min="12039" max="12039" width="8.33203125" style="10" bestFit="1" customWidth="1"/>
    <col min="12040" max="12040" width="8.33203125" style="10" customWidth="1"/>
    <col min="12041" max="12041" width="8.6640625" style="10" customWidth="1"/>
    <col min="12042" max="12042" width="9" style="10" customWidth="1"/>
    <col min="12043" max="12050" width="7.6640625" style="10" customWidth="1"/>
    <col min="12051" max="12288" width="9.109375" style="10"/>
    <col min="12289" max="12289" width="5.33203125" style="10" customWidth="1"/>
    <col min="12290" max="12290" width="14.44140625" style="10" customWidth="1"/>
    <col min="12291" max="12291" width="12" style="10" customWidth="1"/>
    <col min="12292" max="12292" width="9.44140625" style="10" customWidth="1"/>
    <col min="12293" max="12293" width="8" style="10" customWidth="1"/>
    <col min="12294" max="12294" width="7.6640625" style="10" customWidth="1"/>
    <col min="12295" max="12295" width="8.33203125" style="10" bestFit="1" customWidth="1"/>
    <col min="12296" max="12296" width="8.33203125" style="10" customWidth="1"/>
    <col min="12297" max="12297" width="8.6640625" style="10" customWidth="1"/>
    <col min="12298" max="12298" width="9" style="10" customWidth="1"/>
    <col min="12299" max="12306" width="7.6640625" style="10" customWidth="1"/>
    <col min="12307" max="12544" width="9.109375" style="10"/>
    <col min="12545" max="12545" width="5.33203125" style="10" customWidth="1"/>
    <col min="12546" max="12546" width="14.44140625" style="10" customWidth="1"/>
    <col min="12547" max="12547" width="12" style="10" customWidth="1"/>
    <col min="12548" max="12548" width="9.44140625" style="10" customWidth="1"/>
    <col min="12549" max="12549" width="8" style="10" customWidth="1"/>
    <col min="12550" max="12550" width="7.6640625" style="10" customWidth="1"/>
    <col min="12551" max="12551" width="8.33203125" style="10" bestFit="1" customWidth="1"/>
    <col min="12552" max="12552" width="8.33203125" style="10" customWidth="1"/>
    <col min="12553" max="12553" width="8.6640625" style="10" customWidth="1"/>
    <col min="12554" max="12554" width="9" style="10" customWidth="1"/>
    <col min="12555" max="12562" width="7.6640625" style="10" customWidth="1"/>
    <col min="12563" max="12800" width="9.109375" style="10"/>
    <col min="12801" max="12801" width="5.33203125" style="10" customWidth="1"/>
    <col min="12802" max="12802" width="14.44140625" style="10" customWidth="1"/>
    <col min="12803" max="12803" width="12" style="10" customWidth="1"/>
    <col min="12804" max="12804" width="9.44140625" style="10" customWidth="1"/>
    <col min="12805" max="12805" width="8" style="10" customWidth="1"/>
    <col min="12806" max="12806" width="7.6640625" style="10" customWidth="1"/>
    <col min="12807" max="12807" width="8.33203125" style="10" bestFit="1" customWidth="1"/>
    <col min="12808" max="12808" width="8.33203125" style="10" customWidth="1"/>
    <col min="12809" max="12809" width="8.6640625" style="10" customWidth="1"/>
    <col min="12810" max="12810" width="9" style="10" customWidth="1"/>
    <col min="12811" max="12818" width="7.6640625" style="10" customWidth="1"/>
    <col min="12819" max="13056" width="9.109375" style="10"/>
    <col min="13057" max="13057" width="5.33203125" style="10" customWidth="1"/>
    <col min="13058" max="13058" width="14.44140625" style="10" customWidth="1"/>
    <col min="13059" max="13059" width="12" style="10" customWidth="1"/>
    <col min="13060" max="13060" width="9.44140625" style="10" customWidth="1"/>
    <col min="13061" max="13061" width="8" style="10" customWidth="1"/>
    <col min="13062" max="13062" width="7.6640625" style="10" customWidth="1"/>
    <col min="13063" max="13063" width="8.33203125" style="10" bestFit="1" customWidth="1"/>
    <col min="13064" max="13064" width="8.33203125" style="10" customWidth="1"/>
    <col min="13065" max="13065" width="8.6640625" style="10" customWidth="1"/>
    <col min="13066" max="13066" width="9" style="10" customWidth="1"/>
    <col min="13067" max="13074" width="7.6640625" style="10" customWidth="1"/>
    <col min="13075" max="13312" width="9.109375" style="10"/>
    <col min="13313" max="13313" width="5.33203125" style="10" customWidth="1"/>
    <col min="13314" max="13314" width="14.44140625" style="10" customWidth="1"/>
    <col min="13315" max="13315" width="12" style="10" customWidth="1"/>
    <col min="13316" max="13316" width="9.44140625" style="10" customWidth="1"/>
    <col min="13317" max="13317" width="8" style="10" customWidth="1"/>
    <col min="13318" max="13318" width="7.6640625" style="10" customWidth="1"/>
    <col min="13319" max="13319" width="8.33203125" style="10" bestFit="1" customWidth="1"/>
    <col min="13320" max="13320" width="8.33203125" style="10" customWidth="1"/>
    <col min="13321" max="13321" width="8.6640625" style="10" customWidth="1"/>
    <col min="13322" max="13322" width="9" style="10" customWidth="1"/>
    <col min="13323" max="13330" width="7.6640625" style="10" customWidth="1"/>
    <col min="13331" max="13568" width="9.109375" style="10"/>
    <col min="13569" max="13569" width="5.33203125" style="10" customWidth="1"/>
    <col min="13570" max="13570" width="14.44140625" style="10" customWidth="1"/>
    <col min="13571" max="13571" width="12" style="10" customWidth="1"/>
    <col min="13572" max="13572" width="9.44140625" style="10" customWidth="1"/>
    <col min="13573" max="13573" width="8" style="10" customWidth="1"/>
    <col min="13574" max="13574" width="7.6640625" style="10" customWidth="1"/>
    <col min="13575" max="13575" width="8.33203125" style="10" bestFit="1" customWidth="1"/>
    <col min="13576" max="13576" width="8.33203125" style="10" customWidth="1"/>
    <col min="13577" max="13577" width="8.6640625" style="10" customWidth="1"/>
    <col min="13578" max="13578" width="9" style="10" customWidth="1"/>
    <col min="13579" max="13586" width="7.6640625" style="10" customWidth="1"/>
    <col min="13587" max="13824" width="9.109375" style="10"/>
    <col min="13825" max="13825" width="5.33203125" style="10" customWidth="1"/>
    <col min="13826" max="13826" width="14.44140625" style="10" customWidth="1"/>
    <col min="13827" max="13827" width="12" style="10" customWidth="1"/>
    <col min="13828" max="13828" width="9.44140625" style="10" customWidth="1"/>
    <col min="13829" max="13829" width="8" style="10" customWidth="1"/>
    <col min="13830" max="13830" width="7.6640625" style="10" customWidth="1"/>
    <col min="13831" max="13831" width="8.33203125" style="10" bestFit="1" customWidth="1"/>
    <col min="13832" max="13832" width="8.33203125" style="10" customWidth="1"/>
    <col min="13833" max="13833" width="8.6640625" style="10" customWidth="1"/>
    <col min="13834" max="13834" width="9" style="10" customWidth="1"/>
    <col min="13835" max="13842" width="7.6640625" style="10" customWidth="1"/>
    <col min="13843" max="14080" width="9.109375" style="10"/>
    <col min="14081" max="14081" width="5.33203125" style="10" customWidth="1"/>
    <col min="14082" max="14082" width="14.44140625" style="10" customWidth="1"/>
    <col min="14083" max="14083" width="12" style="10" customWidth="1"/>
    <col min="14084" max="14084" width="9.44140625" style="10" customWidth="1"/>
    <col min="14085" max="14085" width="8" style="10" customWidth="1"/>
    <col min="14086" max="14086" width="7.6640625" style="10" customWidth="1"/>
    <col min="14087" max="14087" width="8.33203125" style="10" bestFit="1" customWidth="1"/>
    <col min="14088" max="14088" width="8.33203125" style="10" customWidth="1"/>
    <col min="14089" max="14089" width="8.6640625" style="10" customWidth="1"/>
    <col min="14090" max="14090" width="9" style="10" customWidth="1"/>
    <col min="14091" max="14098" width="7.6640625" style="10" customWidth="1"/>
    <col min="14099" max="14336" width="9.109375" style="10"/>
    <col min="14337" max="14337" width="5.33203125" style="10" customWidth="1"/>
    <col min="14338" max="14338" width="14.44140625" style="10" customWidth="1"/>
    <col min="14339" max="14339" width="12" style="10" customWidth="1"/>
    <col min="14340" max="14340" width="9.44140625" style="10" customWidth="1"/>
    <col min="14341" max="14341" width="8" style="10" customWidth="1"/>
    <col min="14342" max="14342" width="7.6640625" style="10" customWidth="1"/>
    <col min="14343" max="14343" width="8.33203125" style="10" bestFit="1" customWidth="1"/>
    <col min="14344" max="14344" width="8.33203125" style="10" customWidth="1"/>
    <col min="14345" max="14345" width="8.6640625" style="10" customWidth="1"/>
    <col min="14346" max="14346" width="9" style="10" customWidth="1"/>
    <col min="14347" max="14354" width="7.6640625" style="10" customWidth="1"/>
    <col min="14355" max="14592" width="9.109375" style="10"/>
    <col min="14593" max="14593" width="5.33203125" style="10" customWidth="1"/>
    <col min="14594" max="14594" width="14.44140625" style="10" customWidth="1"/>
    <col min="14595" max="14595" width="12" style="10" customWidth="1"/>
    <col min="14596" max="14596" width="9.44140625" style="10" customWidth="1"/>
    <col min="14597" max="14597" width="8" style="10" customWidth="1"/>
    <col min="14598" max="14598" width="7.6640625" style="10" customWidth="1"/>
    <col min="14599" max="14599" width="8.33203125" style="10" bestFit="1" customWidth="1"/>
    <col min="14600" max="14600" width="8.33203125" style="10" customWidth="1"/>
    <col min="14601" max="14601" width="8.6640625" style="10" customWidth="1"/>
    <col min="14602" max="14602" width="9" style="10" customWidth="1"/>
    <col min="14603" max="14610" width="7.6640625" style="10" customWidth="1"/>
    <col min="14611" max="14848" width="9.109375" style="10"/>
    <col min="14849" max="14849" width="5.33203125" style="10" customWidth="1"/>
    <col min="14850" max="14850" width="14.44140625" style="10" customWidth="1"/>
    <col min="14851" max="14851" width="12" style="10" customWidth="1"/>
    <col min="14852" max="14852" width="9.44140625" style="10" customWidth="1"/>
    <col min="14853" max="14853" width="8" style="10" customWidth="1"/>
    <col min="14854" max="14854" width="7.6640625" style="10" customWidth="1"/>
    <col min="14855" max="14855" width="8.33203125" style="10" bestFit="1" customWidth="1"/>
    <col min="14856" max="14856" width="8.33203125" style="10" customWidth="1"/>
    <col min="14857" max="14857" width="8.6640625" style="10" customWidth="1"/>
    <col min="14858" max="14858" width="9" style="10" customWidth="1"/>
    <col min="14859" max="14866" width="7.6640625" style="10" customWidth="1"/>
    <col min="14867" max="15104" width="9.109375" style="10"/>
    <col min="15105" max="15105" width="5.33203125" style="10" customWidth="1"/>
    <col min="15106" max="15106" width="14.44140625" style="10" customWidth="1"/>
    <col min="15107" max="15107" width="12" style="10" customWidth="1"/>
    <col min="15108" max="15108" width="9.44140625" style="10" customWidth="1"/>
    <col min="15109" max="15109" width="8" style="10" customWidth="1"/>
    <col min="15110" max="15110" width="7.6640625" style="10" customWidth="1"/>
    <col min="15111" max="15111" width="8.33203125" style="10" bestFit="1" customWidth="1"/>
    <col min="15112" max="15112" width="8.33203125" style="10" customWidth="1"/>
    <col min="15113" max="15113" width="8.6640625" style="10" customWidth="1"/>
    <col min="15114" max="15114" width="9" style="10" customWidth="1"/>
    <col min="15115" max="15122" width="7.6640625" style="10" customWidth="1"/>
    <col min="15123" max="15360" width="9.109375" style="10"/>
    <col min="15361" max="15361" width="5.33203125" style="10" customWidth="1"/>
    <col min="15362" max="15362" width="14.44140625" style="10" customWidth="1"/>
    <col min="15363" max="15363" width="12" style="10" customWidth="1"/>
    <col min="15364" max="15364" width="9.44140625" style="10" customWidth="1"/>
    <col min="15365" max="15365" width="8" style="10" customWidth="1"/>
    <col min="15366" max="15366" width="7.6640625" style="10" customWidth="1"/>
    <col min="15367" max="15367" width="8.33203125" style="10" bestFit="1" customWidth="1"/>
    <col min="15368" max="15368" width="8.33203125" style="10" customWidth="1"/>
    <col min="15369" max="15369" width="8.6640625" style="10" customWidth="1"/>
    <col min="15370" max="15370" width="9" style="10" customWidth="1"/>
    <col min="15371" max="15378" width="7.6640625" style="10" customWidth="1"/>
    <col min="15379" max="15616" width="9.109375" style="10"/>
    <col min="15617" max="15617" width="5.33203125" style="10" customWidth="1"/>
    <col min="15618" max="15618" width="14.44140625" style="10" customWidth="1"/>
    <col min="15619" max="15619" width="12" style="10" customWidth="1"/>
    <col min="15620" max="15620" width="9.44140625" style="10" customWidth="1"/>
    <col min="15621" max="15621" width="8" style="10" customWidth="1"/>
    <col min="15622" max="15622" width="7.6640625" style="10" customWidth="1"/>
    <col min="15623" max="15623" width="8.33203125" style="10" bestFit="1" customWidth="1"/>
    <col min="15624" max="15624" width="8.33203125" style="10" customWidth="1"/>
    <col min="15625" max="15625" width="8.6640625" style="10" customWidth="1"/>
    <col min="15626" max="15626" width="9" style="10" customWidth="1"/>
    <col min="15627" max="15634" width="7.6640625" style="10" customWidth="1"/>
    <col min="15635" max="15872" width="9.109375" style="10"/>
    <col min="15873" max="15873" width="5.33203125" style="10" customWidth="1"/>
    <col min="15874" max="15874" width="14.44140625" style="10" customWidth="1"/>
    <col min="15875" max="15875" width="12" style="10" customWidth="1"/>
    <col min="15876" max="15876" width="9.44140625" style="10" customWidth="1"/>
    <col min="15877" max="15877" width="8" style="10" customWidth="1"/>
    <col min="15878" max="15878" width="7.6640625" style="10" customWidth="1"/>
    <col min="15879" max="15879" width="8.33203125" style="10" bestFit="1" customWidth="1"/>
    <col min="15880" max="15880" width="8.33203125" style="10" customWidth="1"/>
    <col min="15881" max="15881" width="8.6640625" style="10" customWidth="1"/>
    <col min="15882" max="15882" width="9" style="10" customWidth="1"/>
    <col min="15883" max="15890" width="7.6640625" style="10" customWidth="1"/>
    <col min="15891" max="16128" width="9.109375" style="10"/>
    <col min="16129" max="16129" width="5.33203125" style="10" customWidth="1"/>
    <col min="16130" max="16130" width="14.44140625" style="10" customWidth="1"/>
    <col min="16131" max="16131" width="12" style="10" customWidth="1"/>
    <col min="16132" max="16132" width="9.44140625" style="10" customWidth="1"/>
    <col min="16133" max="16133" width="8" style="10" customWidth="1"/>
    <col min="16134" max="16134" width="7.6640625" style="10" customWidth="1"/>
    <col min="16135" max="16135" width="8.33203125" style="10" bestFit="1" customWidth="1"/>
    <col min="16136" max="16136" width="8.33203125" style="10" customWidth="1"/>
    <col min="16137" max="16137" width="8.6640625" style="10" customWidth="1"/>
    <col min="16138" max="16138" width="9" style="10" customWidth="1"/>
    <col min="16139" max="16146" width="7.6640625" style="10" customWidth="1"/>
    <col min="16147" max="16384" width="9.109375" style="10"/>
  </cols>
  <sheetData>
    <row r="1" spans="1:18">
      <c r="R1" s="11" t="s">
        <v>276</v>
      </c>
    </row>
    <row r="2" spans="1:18" ht="15.6">
      <c r="A2" s="109" t="s">
        <v>277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</row>
    <row r="3" spans="1:18" ht="15.6">
      <c r="A3" s="109" t="s">
        <v>278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</row>
    <row r="4" spans="1:18" ht="15.6">
      <c r="A4" s="109" t="s">
        <v>279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</row>
    <row r="5" spans="1:18" ht="17.25" customHeight="1">
      <c r="A5" s="109" t="s">
        <v>2487</v>
      </c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</row>
    <row r="6" spans="1:18" ht="15.6">
      <c r="A6" s="109" t="s">
        <v>2896</v>
      </c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</row>
    <row r="7" spans="1:18">
      <c r="A7" s="18"/>
    </row>
    <row r="8" spans="1:18">
      <c r="A8" s="4305" t="s">
        <v>803</v>
      </c>
      <c r="B8" s="4305" t="s">
        <v>708</v>
      </c>
      <c r="C8" s="4305" t="s">
        <v>280</v>
      </c>
      <c r="D8" s="119" t="s">
        <v>281</v>
      </c>
      <c r="E8" s="120"/>
      <c r="F8" s="120"/>
      <c r="G8" s="120"/>
      <c r="H8" s="121"/>
      <c r="I8" s="4290" t="s">
        <v>282</v>
      </c>
      <c r="J8" s="4291"/>
      <c r="K8" s="4291"/>
      <c r="L8" s="4291"/>
      <c r="M8" s="4292"/>
      <c r="N8" s="4284" t="s">
        <v>283</v>
      </c>
      <c r="O8" s="4285"/>
      <c r="P8" s="4285"/>
      <c r="Q8" s="4285"/>
      <c r="R8" s="4286"/>
    </row>
    <row r="9" spans="1:18">
      <c r="A9" s="4306"/>
      <c r="B9" s="4306"/>
      <c r="C9" s="4306"/>
      <c r="D9" s="122"/>
      <c r="E9" s="123"/>
      <c r="F9" s="123"/>
      <c r="G9" s="123"/>
      <c r="H9" s="124"/>
      <c r="I9" s="4290" t="s">
        <v>284</v>
      </c>
      <c r="J9" s="4291"/>
      <c r="K9" s="4291"/>
      <c r="L9" s="4291"/>
      <c r="M9" s="4292"/>
      <c r="N9" s="4287"/>
      <c r="O9" s="4288"/>
      <c r="P9" s="4288"/>
      <c r="Q9" s="4288"/>
      <c r="R9" s="4289"/>
    </row>
    <row r="10" spans="1:18" s="6" customFormat="1">
      <c r="A10" s="4307"/>
      <c r="B10" s="4307"/>
      <c r="C10" s="4307"/>
      <c r="D10" s="33" t="s">
        <v>679</v>
      </c>
      <c r="E10" s="104" t="s">
        <v>697</v>
      </c>
      <c r="F10" s="104" t="s">
        <v>676</v>
      </c>
      <c r="G10" s="104" t="s">
        <v>677</v>
      </c>
      <c r="H10" s="104" t="s">
        <v>681</v>
      </c>
      <c r="I10" s="33" t="s">
        <v>679</v>
      </c>
      <c r="J10" s="33" t="s">
        <v>697</v>
      </c>
      <c r="K10" s="33" t="s">
        <v>676</v>
      </c>
      <c r="L10" s="33" t="s">
        <v>677</v>
      </c>
      <c r="M10" s="33" t="s">
        <v>678</v>
      </c>
      <c r="N10" s="518" t="s">
        <v>679</v>
      </c>
      <c r="O10" s="518" t="s">
        <v>697</v>
      </c>
      <c r="P10" s="518" t="s">
        <v>676</v>
      </c>
      <c r="Q10" s="518" t="s">
        <v>677</v>
      </c>
      <c r="R10" s="518" t="s">
        <v>681</v>
      </c>
    </row>
    <row r="11" spans="1:18" s="6" customFormat="1">
      <c r="A11" s="102">
        <v>1</v>
      </c>
      <c r="B11" s="33">
        <v>2</v>
      </c>
      <c r="C11" s="33">
        <v>3</v>
      </c>
      <c r="D11" s="33">
        <v>4</v>
      </c>
      <c r="E11" s="33">
        <v>5</v>
      </c>
      <c r="F11" s="33">
        <v>6</v>
      </c>
      <c r="G11" s="33">
        <v>7</v>
      </c>
      <c r="H11" s="33">
        <v>8</v>
      </c>
      <c r="I11" s="33">
        <v>9</v>
      </c>
      <c r="J11" s="33">
        <v>10</v>
      </c>
      <c r="K11" s="33">
        <v>11</v>
      </c>
      <c r="L11" s="33">
        <v>12</v>
      </c>
      <c r="M11" s="33">
        <v>13</v>
      </c>
      <c r="N11" s="518">
        <v>14</v>
      </c>
      <c r="O11" s="518">
        <v>15</v>
      </c>
      <c r="P11" s="518">
        <v>16</v>
      </c>
      <c r="Q11" s="518">
        <v>17</v>
      </c>
      <c r="R11" s="518">
        <v>18</v>
      </c>
    </row>
    <row r="12" spans="1:18" ht="24">
      <c r="A12" s="30" t="s">
        <v>682</v>
      </c>
      <c r="B12" s="31" t="s">
        <v>322</v>
      </c>
      <c r="C12" s="33" t="s">
        <v>687</v>
      </c>
      <c r="D12" s="125"/>
      <c r="E12" s="125"/>
      <c r="F12" s="125"/>
      <c r="G12" s="125"/>
      <c r="H12" s="125"/>
      <c r="I12" s="125"/>
      <c r="J12" s="125"/>
      <c r="K12" s="125"/>
      <c r="L12" s="125"/>
      <c r="M12" s="125"/>
      <c r="N12" s="519">
        <v>0.5702813914</v>
      </c>
      <c r="O12" s="125">
        <v>5.8370999999999999E-2</v>
      </c>
      <c r="P12" s="666">
        <v>0</v>
      </c>
      <c r="Q12" s="519">
        <v>0.30107699999999998</v>
      </c>
      <c r="R12" s="519">
        <v>0.21083339140000001</v>
      </c>
    </row>
    <row r="13" spans="1:18" ht="26.25" customHeight="1">
      <c r="A13" s="30" t="s">
        <v>684</v>
      </c>
      <c r="B13" s="31" t="s">
        <v>285</v>
      </c>
      <c r="C13" s="33" t="s">
        <v>286</v>
      </c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2110">
        <v>7.7893497683378832E-2</v>
      </c>
      <c r="O13" s="125">
        <v>7.7947099898078845E-3</v>
      </c>
      <c r="P13" s="666">
        <v>0</v>
      </c>
      <c r="Q13" s="2110">
        <v>4.0205028930283888E-2</v>
      </c>
      <c r="R13" s="2110">
        <v>2.9893758763287051E-2</v>
      </c>
    </row>
    <row r="14" spans="1:18" ht="50.25" customHeight="1">
      <c r="A14" s="30" t="s">
        <v>685</v>
      </c>
      <c r="B14" s="31" t="s">
        <v>287</v>
      </c>
      <c r="C14" s="33" t="s">
        <v>288</v>
      </c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25">
        <v>0</v>
      </c>
      <c r="O14" s="125">
        <v>0</v>
      </c>
      <c r="P14" s="125">
        <v>0</v>
      </c>
      <c r="Q14" s="125">
        <v>0</v>
      </c>
      <c r="R14" s="125">
        <v>0</v>
      </c>
    </row>
    <row r="15" spans="1:18" ht="24">
      <c r="A15" s="30" t="s">
        <v>289</v>
      </c>
      <c r="B15" s="31" t="s">
        <v>290</v>
      </c>
      <c r="C15" s="33" t="s">
        <v>291</v>
      </c>
      <c r="D15" s="125"/>
      <c r="E15" s="125"/>
      <c r="F15" s="125"/>
      <c r="G15" s="125"/>
      <c r="H15" s="125"/>
      <c r="I15" s="125"/>
      <c r="J15" s="125"/>
      <c r="K15" s="125"/>
      <c r="L15" s="125"/>
      <c r="M15" s="125"/>
      <c r="N15" s="125">
        <v>0</v>
      </c>
      <c r="O15" s="125">
        <v>0</v>
      </c>
      <c r="P15" s="125">
        <v>0</v>
      </c>
      <c r="Q15" s="125">
        <v>0</v>
      </c>
      <c r="R15" s="125">
        <v>0</v>
      </c>
    </row>
    <row r="16" spans="1:18">
      <c r="A16" s="30" t="s">
        <v>292</v>
      </c>
      <c r="B16" s="31" t="s">
        <v>293</v>
      </c>
      <c r="C16" s="33" t="s">
        <v>288</v>
      </c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125">
        <v>0</v>
      </c>
      <c r="O16" s="125">
        <v>0</v>
      </c>
      <c r="P16" s="125">
        <v>0</v>
      </c>
      <c r="Q16" s="125">
        <v>0</v>
      </c>
      <c r="R16" s="125">
        <v>0</v>
      </c>
    </row>
    <row r="17" spans="1:18" ht="25.5" customHeight="1">
      <c r="A17" s="30" t="s">
        <v>686</v>
      </c>
      <c r="B17" s="31" t="s">
        <v>355</v>
      </c>
      <c r="C17" s="33" t="s">
        <v>288</v>
      </c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  <c r="O17" s="943"/>
      <c r="P17" s="667">
        <v>0</v>
      </c>
      <c r="Q17" s="943">
        <v>2881</v>
      </c>
      <c r="R17" s="943">
        <v>6573</v>
      </c>
    </row>
    <row r="18" spans="1:18" ht="60.75" customHeight="1">
      <c r="A18" s="30" t="s">
        <v>100</v>
      </c>
      <c r="B18" s="31" t="s">
        <v>294</v>
      </c>
      <c r="C18" s="33" t="s">
        <v>288</v>
      </c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528"/>
      <c r="P18" s="528">
        <v>0</v>
      </c>
      <c r="Q18" s="528">
        <v>2881</v>
      </c>
      <c r="R18" s="528">
        <v>6573</v>
      </c>
    </row>
    <row r="19" spans="1:18" ht="39" customHeight="1">
      <c r="A19" s="30" t="s">
        <v>295</v>
      </c>
      <c r="B19" s="31" t="s">
        <v>296</v>
      </c>
      <c r="C19" s="33" t="s">
        <v>297</v>
      </c>
      <c r="D19" s="125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2111"/>
      <c r="P19" s="667">
        <v>0</v>
      </c>
      <c r="Q19" s="306">
        <v>1667312.0227943519</v>
      </c>
      <c r="R19" s="306">
        <v>3973470.4872150314</v>
      </c>
    </row>
    <row r="20" spans="1:18" ht="24">
      <c r="A20" s="30" t="s">
        <v>298</v>
      </c>
      <c r="B20" s="31" t="s">
        <v>299</v>
      </c>
      <c r="C20" s="33" t="s">
        <v>288</v>
      </c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O20" s="943"/>
      <c r="P20" s="667">
        <v>0</v>
      </c>
      <c r="Q20" s="306">
        <v>329.79723235795052</v>
      </c>
      <c r="R20" s="306">
        <v>493.28960130879062</v>
      </c>
    </row>
    <row r="21" spans="1:18" ht="24">
      <c r="A21" s="29" t="s">
        <v>106</v>
      </c>
      <c r="B21" s="2086" t="s">
        <v>300</v>
      </c>
      <c r="C21" s="104" t="s">
        <v>297</v>
      </c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>
        <v>0</v>
      </c>
      <c r="P21" s="97">
        <v>0</v>
      </c>
      <c r="Q21" s="97">
        <v>0</v>
      </c>
      <c r="R21" s="97">
        <v>0</v>
      </c>
    </row>
    <row r="22" spans="1:18" ht="12.75" customHeight="1">
      <c r="A22" s="37"/>
      <c r="B22" s="37"/>
      <c r="C22" s="105"/>
      <c r="D22" s="8"/>
      <c r="E22" s="8"/>
      <c r="F22" s="8"/>
      <c r="G22" s="8"/>
      <c r="H22" s="8"/>
      <c r="I22" s="8"/>
      <c r="J22" s="8"/>
      <c r="K22" s="8"/>
      <c r="L22" s="8"/>
      <c r="M22" s="8"/>
      <c r="N22" s="2088"/>
      <c r="O22" s="4304" t="s">
        <v>613</v>
      </c>
      <c r="P22" s="4304"/>
      <c r="Q22" s="4304"/>
      <c r="R22" s="4304"/>
    </row>
    <row r="23" spans="1:18">
      <c r="A23" s="4305" t="s">
        <v>803</v>
      </c>
      <c r="B23" s="4305" t="s">
        <v>708</v>
      </c>
      <c r="C23" s="4305" t="s">
        <v>280</v>
      </c>
      <c r="D23" s="119" t="s">
        <v>281</v>
      </c>
      <c r="E23" s="120"/>
      <c r="F23" s="120"/>
      <c r="G23" s="120"/>
      <c r="H23" s="121"/>
      <c r="I23" s="4290" t="s">
        <v>282</v>
      </c>
      <c r="J23" s="4291"/>
      <c r="K23" s="4291"/>
      <c r="L23" s="4291"/>
      <c r="M23" s="4292"/>
      <c r="N23" s="4284" t="s">
        <v>283</v>
      </c>
      <c r="O23" s="4285"/>
      <c r="P23" s="4285"/>
      <c r="Q23" s="4285"/>
      <c r="R23" s="4286"/>
    </row>
    <row r="24" spans="1:18">
      <c r="A24" s="4306"/>
      <c r="B24" s="4306"/>
      <c r="C24" s="4306"/>
      <c r="D24" s="122"/>
      <c r="E24" s="123"/>
      <c r="F24" s="123"/>
      <c r="G24" s="123"/>
      <c r="H24" s="124"/>
      <c r="I24" s="4290" t="s">
        <v>284</v>
      </c>
      <c r="J24" s="4291"/>
      <c r="K24" s="4291"/>
      <c r="L24" s="4291"/>
      <c r="M24" s="4292"/>
      <c r="N24" s="4287"/>
      <c r="O24" s="4288"/>
      <c r="P24" s="4288"/>
      <c r="Q24" s="4288"/>
      <c r="R24" s="4289"/>
    </row>
    <row r="25" spans="1:18" s="6" customFormat="1">
      <c r="A25" s="4307"/>
      <c r="B25" s="4307"/>
      <c r="C25" s="4307"/>
      <c r="D25" s="33" t="s">
        <v>679</v>
      </c>
      <c r="E25" s="104" t="s">
        <v>697</v>
      </c>
      <c r="F25" s="104" t="s">
        <v>676</v>
      </c>
      <c r="G25" s="104" t="s">
        <v>677</v>
      </c>
      <c r="H25" s="104" t="s">
        <v>681</v>
      </c>
      <c r="I25" s="33" t="s">
        <v>679</v>
      </c>
      <c r="J25" s="33" t="s">
        <v>697</v>
      </c>
      <c r="K25" s="33" t="s">
        <v>676</v>
      </c>
      <c r="L25" s="33" t="s">
        <v>677</v>
      </c>
      <c r="M25" s="33" t="s">
        <v>678</v>
      </c>
      <c r="N25" s="518" t="s">
        <v>679</v>
      </c>
      <c r="O25" s="518" t="s">
        <v>697</v>
      </c>
      <c r="P25" s="518" t="s">
        <v>676</v>
      </c>
      <c r="Q25" s="518" t="s">
        <v>677</v>
      </c>
      <c r="R25" s="518" t="s">
        <v>681</v>
      </c>
    </row>
    <row r="26" spans="1:18" s="6" customFormat="1">
      <c r="A26" s="102">
        <v>1</v>
      </c>
      <c r="B26" s="33">
        <v>2</v>
      </c>
      <c r="C26" s="33">
        <v>3</v>
      </c>
      <c r="D26" s="33">
        <v>4</v>
      </c>
      <c r="E26" s="33">
        <v>5</v>
      </c>
      <c r="F26" s="33">
        <v>6</v>
      </c>
      <c r="G26" s="33">
        <v>7</v>
      </c>
      <c r="H26" s="33">
        <v>8</v>
      </c>
      <c r="I26" s="33">
        <v>9</v>
      </c>
      <c r="J26" s="33">
        <v>10</v>
      </c>
      <c r="K26" s="33">
        <v>11</v>
      </c>
      <c r="L26" s="33">
        <v>12</v>
      </c>
      <c r="M26" s="33">
        <v>13</v>
      </c>
      <c r="N26" s="518">
        <v>14</v>
      </c>
      <c r="O26" s="518">
        <v>15</v>
      </c>
      <c r="P26" s="518">
        <v>16</v>
      </c>
      <c r="Q26" s="518">
        <v>17</v>
      </c>
      <c r="R26" s="518">
        <v>18</v>
      </c>
    </row>
    <row r="27" spans="1:18" ht="48">
      <c r="A27" s="30" t="s">
        <v>741</v>
      </c>
      <c r="B27" s="31" t="s">
        <v>356</v>
      </c>
      <c r="C27" s="33" t="s">
        <v>288</v>
      </c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>
        <v>0</v>
      </c>
      <c r="P27" s="667">
        <v>0</v>
      </c>
      <c r="Q27" s="667">
        <v>2881</v>
      </c>
      <c r="R27" s="667">
        <v>6573</v>
      </c>
    </row>
    <row r="28" spans="1:18" ht="49.5" customHeight="1">
      <c r="A28" s="30" t="s">
        <v>743</v>
      </c>
      <c r="B28" s="31" t="s">
        <v>302</v>
      </c>
      <c r="C28" s="33" t="s">
        <v>297</v>
      </c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5"/>
      <c r="R28" s="125"/>
    </row>
    <row r="29" spans="1:18" ht="35.25" customHeight="1">
      <c r="A29" s="30" t="s">
        <v>745</v>
      </c>
      <c r="B29" s="31" t="s">
        <v>303</v>
      </c>
      <c r="C29" s="33" t="s">
        <v>288</v>
      </c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5"/>
      <c r="R29" s="125"/>
    </row>
    <row r="30" spans="1:18" ht="37.5" customHeight="1">
      <c r="A30" s="30" t="s">
        <v>747</v>
      </c>
      <c r="B30" s="31" t="s">
        <v>304</v>
      </c>
      <c r="C30" s="33" t="s">
        <v>305</v>
      </c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>
        <v>2253.2107186722001</v>
      </c>
      <c r="O30" s="125">
        <v>0</v>
      </c>
      <c r="P30" s="125">
        <v>0</v>
      </c>
      <c r="Q30" s="125">
        <v>867.40283699999998</v>
      </c>
      <c r="R30" s="125">
        <v>1385.8078816722</v>
      </c>
    </row>
    <row r="31" spans="1:18" ht="12.75" customHeight="1">
      <c r="A31" s="2082"/>
      <c r="B31" s="31" t="s">
        <v>306</v>
      </c>
      <c r="C31" s="2084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  <c r="P31" s="125"/>
      <c r="Q31" s="125"/>
      <c r="R31" s="125"/>
    </row>
    <row r="32" spans="1:18" ht="48" customHeight="1">
      <c r="A32" s="30" t="s">
        <v>307</v>
      </c>
      <c r="B32" s="31" t="s">
        <v>308</v>
      </c>
      <c r="C32" s="33" t="s">
        <v>305</v>
      </c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5"/>
      <c r="P32" s="125"/>
      <c r="Q32" s="125"/>
      <c r="R32" s="125"/>
    </row>
    <row r="33" spans="1:18" ht="24">
      <c r="A33" s="30" t="s">
        <v>309</v>
      </c>
      <c r="B33" s="31" t="s">
        <v>310</v>
      </c>
      <c r="C33" s="33" t="s">
        <v>305</v>
      </c>
      <c r="D33" s="125"/>
      <c r="E33" s="125"/>
      <c r="F33" s="125"/>
      <c r="G33" s="125"/>
      <c r="H33" s="125"/>
      <c r="I33" s="125"/>
      <c r="J33" s="125"/>
      <c r="K33" s="125"/>
      <c r="L33" s="125"/>
      <c r="M33" s="125"/>
      <c r="N33" s="125">
        <v>2253.2107186722001</v>
      </c>
      <c r="O33" s="125">
        <v>0</v>
      </c>
      <c r="P33" s="125">
        <v>0</v>
      </c>
      <c r="Q33" s="125">
        <v>867.40283699999998</v>
      </c>
      <c r="R33" s="125">
        <v>1385.8078816722</v>
      </c>
    </row>
    <row r="34" spans="1:18">
      <c r="A34" s="4290" t="s">
        <v>311</v>
      </c>
      <c r="B34" s="4292"/>
      <c r="C34" s="2084"/>
      <c r="D34" s="125"/>
      <c r="E34" s="125"/>
      <c r="F34" s="125"/>
      <c r="G34" s="125"/>
      <c r="H34" s="125"/>
      <c r="I34" s="125"/>
      <c r="J34" s="125"/>
      <c r="K34" s="125"/>
      <c r="L34" s="125"/>
      <c r="M34" s="125"/>
      <c r="N34" s="125"/>
      <c r="O34" s="125"/>
      <c r="P34" s="125"/>
      <c r="Q34" s="125"/>
      <c r="R34" s="125"/>
    </row>
    <row r="35" spans="1:18" ht="24">
      <c r="A35" s="30" t="s">
        <v>307</v>
      </c>
      <c r="B35" s="31" t="s">
        <v>312</v>
      </c>
      <c r="C35" s="33" t="s">
        <v>305</v>
      </c>
      <c r="D35" s="125"/>
      <c r="E35" s="125"/>
      <c r="F35" s="125"/>
      <c r="G35" s="125"/>
      <c r="H35" s="125"/>
      <c r="I35" s="125"/>
      <c r="J35" s="125"/>
      <c r="K35" s="125"/>
      <c r="L35" s="125"/>
      <c r="M35" s="125"/>
      <c r="N35" s="125"/>
      <c r="O35" s="125"/>
      <c r="P35" s="125"/>
      <c r="Q35" s="125"/>
      <c r="R35" s="125"/>
    </row>
    <row r="36" spans="1:18" ht="52.5" customHeight="1">
      <c r="A36" s="29" t="s">
        <v>309</v>
      </c>
      <c r="B36" s="2086" t="s">
        <v>313</v>
      </c>
      <c r="C36" s="104" t="s">
        <v>305</v>
      </c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97"/>
      <c r="P36" s="97"/>
      <c r="Q36" s="97"/>
      <c r="R36" s="97"/>
    </row>
    <row r="37" spans="1:18" ht="14.25" customHeight="1"/>
    <row r="38" spans="1:18" ht="16.5" customHeight="1">
      <c r="A38" s="11"/>
    </row>
    <row r="39" spans="1:18">
      <c r="A39" s="11"/>
    </row>
    <row r="40" spans="1:18">
      <c r="A40" s="11"/>
    </row>
    <row r="41" spans="1:18">
      <c r="A41" s="11"/>
    </row>
    <row r="42" spans="1:18">
      <c r="A42" s="11"/>
    </row>
    <row r="43" spans="1:18">
      <c r="A43" s="11"/>
    </row>
    <row r="44" spans="1:18">
      <c r="A44" s="11"/>
    </row>
    <row r="45" spans="1:18">
      <c r="A45" s="11"/>
    </row>
    <row r="46" spans="1:18">
      <c r="A46" s="11"/>
    </row>
    <row r="47" spans="1:18">
      <c r="R47" s="11" t="s">
        <v>613</v>
      </c>
    </row>
    <row r="48" spans="1:18" ht="12.75" customHeight="1">
      <c r="A48" s="4305" t="s">
        <v>314</v>
      </c>
      <c r="B48" s="4305" t="s">
        <v>315</v>
      </c>
      <c r="C48" s="4305" t="s">
        <v>805</v>
      </c>
      <c r="D48" s="4293" t="s">
        <v>316</v>
      </c>
      <c r="E48" s="4294"/>
      <c r="F48" s="4294"/>
      <c r="G48" s="4294"/>
      <c r="H48" s="4295"/>
      <c r="I48" s="4299" t="s">
        <v>317</v>
      </c>
      <c r="J48" s="4300"/>
      <c r="K48" s="4300"/>
      <c r="L48" s="4300"/>
      <c r="M48" s="4301"/>
      <c r="N48" s="4293" t="s">
        <v>318</v>
      </c>
      <c r="O48" s="4294"/>
      <c r="P48" s="4294"/>
      <c r="Q48" s="4294"/>
      <c r="R48" s="4295"/>
    </row>
    <row r="49" spans="1:18" ht="12.75" customHeight="1">
      <c r="A49" s="4306"/>
      <c r="B49" s="4306"/>
      <c r="C49" s="4306"/>
      <c r="D49" s="4296"/>
      <c r="E49" s="4297"/>
      <c r="F49" s="4297"/>
      <c r="G49" s="4297"/>
      <c r="H49" s="4298"/>
      <c r="I49" s="4299" t="s">
        <v>319</v>
      </c>
      <c r="J49" s="4300"/>
      <c r="K49" s="4300"/>
      <c r="L49" s="4300"/>
      <c r="M49" s="4301"/>
      <c r="N49" s="4296"/>
      <c r="O49" s="4297"/>
      <c r="P49" s="4297"/>
      <c r="Q49" s="4297"/>
      <c r="R49" s="4298"/>
    </row>
    <row r="50" spans="1:18" s="6" customFormat="1" ht="14.25" customHeight="1">
      <c r="A50" s="4307"/>
      <c r="B50" s="4307"/>
      <c r="C50" s="4307"/>
      <c r="D50" s="518" t="s">
        <v>679</v>
      </c>
      <c r="E50" s="2087" t="s">
        <v>320</v>
      </c>
      <c r="F50" s="2087" t="s">
        <v>321</v>
      </c>
      <c r="G50" s="2087" t="s">
        <v>677</v>
      </c>
      <c r="H50" s="2087" t="s">
        <v>678</v>
      </c>
      <c r="I50" s="518" t="s">
        <v>679</v>
      </c>
      <c r="J50" s="518" t="s">
        <v>675</v>
      </c>
      <c r="K50" s="518" t="s">
        <v>676</v>
      </c>
      <c r="L50" s="518" t="s">
        <v>677</v>
      </c>
      <c r="M50" s="518" t="s">
        <v>678</v>
      </c>
      <c r="N50" s="518" t="s">
        <v>679</v>
      </c>
      <c r="O50" s="518" t="s">
        <v>697</v>
      </c>
      <c r="P50" s="518" t="s">
        <v>321</v>
      </c>
      <c r="Q50" s="518" t="s">
        <v>677</v>
      </c>
      <c r="R50" s="518" t="s">
        <v>678</v>
      </c>
    </row>
    <row r="51" spans="1:18" s="6" customFormat="1">
      <c r="A51" s="102">
        <v>1</v>
      </c>
      <c r="B51" s="33">
        <v>2</v>
      </c>
      <c r="C51" s="33">
        <v>3</v>
      </c>
      <c r="D51" s="518">
        <v>4</v>
      </c>
      <c r="E51" s="518">
        <v>5</v>
      </c>
      <c r="F51" s="518">
        <v>6</v>
      </c>
      <c r="G51" s="518">
        <v>7</v>
      </c>
      <c r="H51" s="518">
        <v>8</v>
      </c>
      <c r="I51" s="518">
        <v>9</v>
      </c>
      <c r="J51" s="518">
        <v>10</v>
      </c>
      <c r="K51" s="518">
        <v>11</v>
      </c>
      <c r="L51" s="518">
        <v>12</v>
      </c>
      <c r="M51" s="518">
        <v>13</v>
      </c>
      <c r="N51" s="518">
        <v>14</v>
      </c>
      <c r="O51" s="518">
        <v>15</v>
      </c>
      <c r="P51" s="518">
        <v>16</v>
      </c>
      <c r="Q51" s="518">
        <v>17</v>
      </c>
      <c r="R51" s="518">
        <v>18</v>
      </c>
    </row>
    <row r="52" spans="1:18" ht="24">
      <c r="A52" s="30" t="s">
        <v>682</v>
      </c>
      <c r="B52" s="31" t="s">
        <v>322</v>
      </c>
      <c r="C52" s="111" t="s">
        <v>687</v>
      </c>
      <c r="D52" s="2112">
        <v>22.774405000000002</v>
      </c>
      <c r="E52" s="519">
        <v>14.38673</v>
      </c>
      <c r="F52" s="666">
        <v>0</v>
      </c>
      <c r="G52" s="666">
        <v>8.2553429999999999</v>
      </c>
      <c r="H52" s="666">
        <v>0.13233199999999995</v>
      </c>
      <c r="I52" s="125">
        <v>0</v>
      </c>
      <c r="J52" s="202"/>
      <c r="K52" s="202"/>
      <c r="L52" s="202"/>
      <c r="M52" s="125">
        <v>0</v>
      </c>
      <c r="N52" s="519"/>
      <c r="O52" s="519"/>
      <c r="P52" s="519"/>
      <c r="Q52" s="519"/>
      <c r="R52" s="519"/>
    </row>
    <row r="53" spans="1:18" ht="25.5" customHeight="1">
      <c r="A53" s="30" t="s">
        <v>684</v>
      </c>
      <c r="B53" s="31" t="s">
        <v>285</v>
      </c>
      <c r="C53" s="111" t="s">
        <v>323</v>
      </c>
      <c r="D53" s="2113">
        <v>2.9037529651308214</v>
      </c>
      <c r="E53" s="2114">
        <v>1.8447352900101919</v>
      </c>
      <c r="F53" s="520">
        <v>0</v>
      </c>
      <c r="G53" s="2115">
        <v>1.0415314338839166</v>
      </c>
      <c r="H53" s="2115">
        <v>1.7486241236712947E-2</v>
      </c>
      <c r="I53" s="97">
        <v>0</v>
      </c>
      <c r="J53" s="202"/>
      <c r="K53" s="202"/>
      <c r="L53" s="202"/>
      <c r="M53" s="97">
        <v>0</v>
      </c>
      <c r="N53" s="520"/>
      <c r="O53" s="520"/>
      <c r="P53" s="520"/>
      <c r="Q53" s="520"/>
      <c r="R53" s="520"/>
    </row>
    <row r="54" spans="1:18" ht="36">
      <c r="A54" s="30" t="s">
        <v>685</v>
      </c>
      <c r="B54" s="31" t="s">
        <v>287</v>
      </c>
      <c r="C54" s="111" t="s">
        <v>288</v>
      </c>
      <c r="D54" s="202"/>
      <c r="E54" s="202"/>
      <c r="F54" s="202"/>
      <c r="G54" s="202"/>
      <c r="H54" s="202"/>
      <c r="I54" s="202"/>
      <c r="J54" s="202"/>
      <c r="K54" s="202"/>
      <c r="L54" s="202"/>
      <c r="M54" s="202"/>
      <c r="N54" s="202"/>
      <c r="O54" s="202"/>
      <c r="P54" s="202"/>
      <c r="Q54" s="202"/>
      <c r="R54" s="202"/>
    </row>
    <row r="55" spans="1:18" ht="24">
      <c r="A55" s="30" t="s">
        <v>289</v>
      </c>
      <c r="B55" s="31" t="s">
        <v>290</v>
      </c>
      <c r="C55" s="111" t="s">
        <v>291</v>
      </c>
      <c r="D55" s="202"/>
      <c r="E55" s="202"/>
      <c r="F55" s="202"/>
      <c r="G55" s="202"/>
      <c r="H55" s="202"/>
      <c r="I55" s="202"/>
      <c r="J55" s="202"/>
      <c r="K55" s="202"/>
      <c r="L55" s="202"/>
      <c r="M55" s="202"/>
      <c r="N55" s="202"/>
      <c r="O55" s="202"/>
      <c r="P55" s="202"/>
      <c r="Q55" s="202"/>
      <c r="R55" s="202"/>
    </row>
    <row r="56" spans="1:18">
      <c r="A56" s="30" t="s">
        <v>292</v>
      </c>
      <c r="B56" s="31" t="s">
        <v>293</v>
      </c>
      <c r="C56" s="111" t="s">
        <v>288</v>
      </c>
      <c r="D56" s="202"/>
      <c r="E56" s="202"/>
      <c r="F56" s="202"/>
      <c r="G56" s="202"/>
      <c r="H56" s="202"/>
      <c r="I56" s="202"/>
      <c r="J56" s="202"/>
      <c r="K56" s="202"/>
      <c r="L56" s="202"/>
      <c r="M56" s="202"/>
      <c r="N56" s="202"/>
      <c r="O56" s="202"/>
      <c r="P56" s="202"/>
      <c r="Q56" s="202"/>
      <c r="R56" s="202"/>
    </row>
    <row r="57" spans="1:18" ht="27" customHeight="1">
      <c r="A57" s="30" t="s">
        <v>686</v>
      </c>
      <c r="B57" s="31" t="s">
        <v>324</v>
      </c>
      <c r="C57" s="111" t="s">
        <v>288</v>
      </c>
      <c r="D57" s="521"/>
      <c r="E57" s="528">
        <v>742.16240132531379</v>
      </c>
      <c r="F57" s="668">
        <v>0</v>
      </c>
      <c r="G57" s="528">
        <v>2881</v>
      </c>
      <c r="H57" s="528">
        <v>6573</v>
      </c>
      <c r="I57" s="521"/>
      <c r="J57" s="521"/>
      <c r="K57" s="521"/>
      <c r="L57" s="521"/>
      <c r="M57" s="521"/>
      <c r="N57" s="521"/>
      <c r="O57" s="519"/>
      <c r="P57" s="521"/>
      <c r="Q57" s="521"/>
      <c r="R57" s="521"/>
    </row>
    <row r="58" spans="1:18" ht="60" customHeight="1">
      <c r="A58" s="30" t="s">
        <v>100</v>
      </c>
      <c r="B58" s="31" t="s">
        <v>294</v>
      </c>
      <c r="C58" s="111" t="s">
        <v>288</v>
      </c>
      <c r="D58" s="521"/>
      <c r="E58" s="528">
        <v>742.16240132531379</v>
      </c>
      <c r="F58" s="668">
        <v>0</v>
      </c>
      <c r="G58" s="528">
        <v>2881</v>
      </c>
      <c r="H58" s="528">
        <v>6573</v>
      </c>
      <c r="I58" s="521"/>
      <c r="J58" s="521"/>
      <c r="K58" s="521"/>
      <c r="L58" s="521"/>
      <c r="M58" s="521"/>
      <c r="N58" s="521"/>
      <c r="O58" s="519"/>
      <c r="P58" s="521"/>
      <c r="Q58" s="521"/>
      <c r="R58" s="521"/>
    </row>
    <row r="59" spans="1:18" ht="36" customHeight="1">
      <c r="A59" s="30" t="s">
        <v>295</v>
      </c>
      <c r="B59" s="31" t="s">
        <v>296</v>
      </c>
      <c r="C59" s="111" t="s">
        <v>291</v>
      </c>
      <c r="D59" s="521"/>
      <c r="E59" s="2111">
        <v>403675.95304593485</v>
      </c>
      <c r="F59" s="2116">
        <v>0</v>
      </c>
      <c r="G59" s="306">
        <v>1667312.0227943519</v>
      </c>
      <c r="H59" s="306">
        <v>3973470.4872150314</v>
      </c>
      <c r="I59" s="521"/>
      <c r="J59" s="521"/>
      <c r="K59" s="521"/>
      <c r="L59" s="521"/>
      <c r="M59" s="521"/>
      <c r="N59" s="521"/>
      <c r="O59" s="519"/>
      <c r="P59" s="521"/>
      <c r="Q59" s="521"/>
      <c r="R59" s="521"/>
    </row>
    <row r="60" spans="1:18" ht="25.5" customHeight="1">
      <c r="A60" s="30" t="s">
        <v>298</v>
      </c>
      <c r="B60" s="31" t="s">
        <v>325</v>
      </c>
      <c r="C60" s="111" t="s">
        <v>288</v>
      </c>
      <c r="D60" s="521"/>
      <c r="E60" s="943">
        <v>124.53472028118894</v>
      </c>
      <c r="F60" s="519">
        <v>0</v>
      </c>
      <c r="G60" s="306">
        <v>329.79723235795052</v>
      </c>
      <c r="H60" s="306">
        <v>493.28960130879062</v>
      </c>
      <c r="I60" s="521"/>
      <c r="J60" s="521"/>
      <c r="K60" s="521"/>
      <c r="L60" s="521"/>
      <c r="M60" s="521"/>
      <c r="N60" s="521"/>
      <c r="O60" s="519"/>
      <c r="P60" s="521"/>
      <c r="Q60" s="521"/>
      <c r="R60" s="521"/>
    </row>
    <row r="61" spans="1:18" ht="25.5" customHeight="1">
      <c r="A61" s="30" t="s">
        <v>106</v>
      </c>
      <c r="B61" s="31" t="s">
        <v>300</v>
      </c>
      <c r="C61" s="111" t="s">
        <v>326</v>
      </c>
      <c r="D61" s="521"/>
      <c r="E61" s="943"/>
      <c r="F61" s="519"/>
      <c r="G61" s="306"/>
      <c r="H61" s="306"/>
      <c r="I61" s="521"/>
      <c r="J61" s="521"/>
      <c r="K61" s="521"/>
      <c r="L61" s="521"/>
      <c r="M61" s="521"/>
      <c r="N61" s="521"/>
      <c r="O61" s="519"/>
      <c r="P61" s="521"/>
      <c r="Q61" s="521"/>
      <c r="R61" s="521"/>
    </row>
    <row r="62" spans="1:18" ht="36">
      <c r="A62" s="30" t="s">
        <v>741</v>
      </c>
      <c r="B62" s="31" t="s">
        <v>301</v>
      </c>
      <c r="C62" s="111" t="s">
        <v>288</v>
      </c>
      <c r="D62" s="521"/>
      <c r="E62" s="943">
        <v>742.16240132531379</v>
      </c>
      <c r="F62" s="667">
        <v>0</v>
      </c>
      <c r="G62" s="306">
        <v>2881</v>
      </c>
      <c r="H62" s="306">
        <v>6573</v>
      </c>
      <c r="I62" s="521"/>
      <c r="J62" s="521"/>
      <c r="K62" s="521"/>
      <c r="L62" s="521"/>
      <c r="M62" s="521"/>
      <c r="N62" s="521"/>
      <c r="O62" s="519"/>
      <c r="P62" s="521"/>
      <c r="Q62" s="521"/>
      <c r="R62" s="521"/>
    </row>
    <row r="63" spans="1:18" ht="39" customHeight="1">
      <c r="A63" s="29" t="s">
        <v>743</v>
      </c>
      <c r="B63" s="2086" t="s">
        <v>327</v>
      </c>
      <c r="C63" s="112" t="s">
        <v>326</v>
      </c>
      <c r="D63" s="522"/>
      <c r="E63" s="522"/>
      <c r="F63" s="522"/>
      <c r="G63" s="522"/>
      <c r="H63" s="522"/>
      <c r="I63" s="522"/>
      <c r="J63" s="522"/>
      <c r="K63" s="522"/>
      <c r="L63" s="522"/>
      <c r="M63" s="522"/>
      <c r="N63" s="522"/>
      <c r="O63" s="522"/>
      <c r="P63" s="522"/>
      <c r="Q63" s="522"/>
      <c r="R63" s="522"/>
    </row>
    <row r="64" spans="1:18" ht="15" customHeight="1">
      <c r="A64" s="37"/>
      <c r="B64" s="37"/>
      <c r="C64" s="2117"/>
      <c r="D64" s="2088"/>
      <c r="E64" s="2088"/>
      <c r="F64" s="2088"/>
      <c r="G64" s="2088"/>
      <c r="H64" s="2088"/>
      <c r="I64" s="2088"/>
      <c r="J64" s="2088"/>
      <c r="K64" s="2088"/>
      <c r="L64" s="2088"/>
      <c r="M64" s="2088"/>
      <c r="N64" s="2088"/>
      <c r="O64" s="2088"/>
      <c r="P64" s="2088"/>
      <c r="Q64" s="2088"/>
      <c r="R64" s="2088"/>
    </row>
    <row r="65" spans="1:18" ht="16.5" customHeight="1">
      <c r="A65" s="37"/>
      <c r="B65" s="37"/>
      <c r="C65" s="2117"/>
      <c r="D65" s="2088"/>
      <c r="E65" s="2088"/>
      <c r="F65" s="2088"/>
      <c r="G65" s="2088"/>
      <c r="H65" s="2088"/>
      <c r="I65" s="2088"/>
      <c r="J65" s="2088"/>
      <c r="K65" s="2088"/>
      <c r="L65" s="2088"/>
      <c r="M65" s="2088"/>
      <c r="N65" s="2118"/>
      <c r="O65" s="4302" t="s">
        <v>613</v>
      </c>
      <c r="P65" s="4302"/>
      <c r="Q65" s="4302"/>
      <c r="R65" s="4303"/>
    </row>
    <row r="66" spans="1:18" ht="12.75" customHeight="1">
      <c r="A66" s="4305" t="s">
        <v>314</v>
      </c>
      <c r="B66" s="4305" t="s">
        <v>315</v>
      </c>
      <c r="C66" s="4305" t="s">
        <v>805</v>
      </c>
      <c r="D66" s="4293" t="s">
        <v>316</v>
      </c>
      <c r="E66" s="4294"/>
      <c r="F66" s="4294"/>
      <c r="G66" s="4294"/>
      <c r="H66" s="4295"/>
      <c r="I66" s="4299" t="s">
        <v>317</v>
      </c>
      <c r="J66" s="4300"/>
      <c r="K66" s="4300"/>
      <c r="L66" s="4300"/>
      <c r="M66" s="4301"/>
      <c r="N66" s="4293" t="s">
        <v>318</v>
      </c>
      <c r="O66" s="4294"/>
      <c r="P66" s="4294"/>
      <c r="Q66" s="4294"/>
      <c r="R66" s="4295"/>
    </row>
    <row r="67" spans="1:18" ht="12.75" customHeight="1">
      <c r="A67" s="4306"/>
      <c r="B67" s="4306"/>
      <c r="C67" s="4306"/>
      <c r="D67" s="4296"/>
      <c r="E67" s="4297"/>
      <c r="F67" s="4297"/>
      <c r="G67" s="4297"/>
      <c r="H67" s="4298"/>
      <c r="I67" s="4299" t="s">
        <v>319</v>
      </c>
      <c r="J67" s="4300"/>
      <c r="K67" s="4300"/>
      <c r="L67" s="4300"/>
      <c r="M67" s="4301"/>
      <c r="N67" s="4296"/>
      <c r="O67" s="4297"/>
      <c r="P67" s="4297"/>
      <c r="Q67" s="4297"/>
      <c r="R67" s="4298"/>
    </row>
    <row r="68" spans="1:18" s="6" customFormat="1" ht="14.25" customHeight="1">
      <c r="A68" s="4307"/>
      <c r="B68" s="4307"/>
      <c r="C68" s="4307"/>
      <c r="D68" s="518" t="s">
        <v>679</v>
      </c>
      <c r="E68" s="2087" t="s">
        <v>320</v>
      </c>
      <c r="F68" s="2087" t="s">
        <v>321</v>
      </c>
      <c r="G68" s="2087" t="s">
        <v>677</v>
      </c>
      <c r="H68" s="2087" t="s">
        <v>678</v>
      </c>
      <c r="I68" s="518" t="s">
        <v>679</v>
      </c>
      <c r="J68" s="518" t="s">
        <v>675</v>
      </c>
      <c r="K68" s="518" t="s">
        <v>676</v>
      </c>
      <c r="L68" s="518" t="s">
        <v>677</v>
      </c>
      <c r="M68" s="518" t="s">
        <v>678</v>
      </c>
      <c r="N68" s="518" t="s">
        <v>679</v>
      </c>
      <c r="O68" s="518" t="s">
        <v>697</v>
      </c>
      <c r="P68" s="518" t="s">
        <v>321</v>
      </c>
      <c r="Q68" s="518" t="s">
        <v>677</v>
      </c>
      <c r="R68" s="518" t="s">
        <v>678</v>
      </c>
    </row>
    <row r="69" spans="1:18" s="6" customFormat="1">
      <c r="A69" s="102">
        <v>1</v>
      </c>
      <c r="B69" s="33">
        <v>2</v>
      </c>
      <c r="C69" s="33">
        <v>3</v>
      </c>
      <c r="D69" s="518">
        <v>4</v>
      </c>
      <c r="E69" s="518">
        <v>5</v>
      </c>
      <c r="F69" s="518">
        <v>6</v>
      </c>
      <c r="G69" s="518">
        <v>7</v>
      </c>
      <c r="H69" s="518">
        <v>8</v>
      </c>
      <c r="I69" s="518">
        <v>9</v>
      </c>
      <c r="J69" s="518">
        <v>10</v>
      </c>
      <c r="K69" s="518">
        <v>11</v>
      </c>
      <c r="L69" s="518">
        <v>12</v>
      </c>
      <c r="M69" s="518">
        <v>13</v>
      </c>
      <c r="N69" s="518">
        <v>14</v>
      </c>
      <c r="O69" s="518">
        <v>15</v>
      </c>
      <c r="P69" s="518">
        <v>16</v>
      </c>
      <c r="Q69" s="518">
        <v>17</v>
      </c>
      <c r="R69" s="518">
        <v>18</v>
      </c>
    </row>
    <row r="70" spans="1:18" ht="37.5" customHeight="1">
      <c r="A70" s="30" t="s">
        <v>745</v>
      </c>
      <c r="B70" s="31" t="s">
        <v>328</v>
      </c>
      <c r="C70" s="111" t="s">
        <v>288</v>
      </c>
      <c r="D70" s="202"/>
      <c r="E70" s="202"/>
      <c r="F70" s="202"/>
      <c r="G70" s="202"/>
      <c r="H70" s="202"/>
      <c r="I70" s="202"/>
      <c r="J70" s="202"/>
      <c r="K70" s="202"/>
      <c r="L70" s="202"/>
      <c r="M70" s="202"/>
      <c r="N70" s="202"/>
      <c r="O70" s="202"/>
      <c r="P70" s="202"/>
      <c r="Q70" s="202"/>
      <c r="R70" s="202"/>
    </row>
    <row r="71" spans="1:18" ht="36">
      <c r="A71" s="30" t="s">
        <v>747</v>
      </c>
      <c r="B71" s="31" t="s">
        <v>329</v>
      </c>
      <c r="C71" s="111" t="s">
        <v>305</v>
      </c>
      <c r="D71" s="523">
        <v>35330.751503018932</v>
      </c>
      <c r="E71" s="125">
        <v>10677.290084018932</v>
      </c>
      <c r="F71" s="519">
        <v>0</v>
      </c>
      <c r="G71" s="523">
        <v>23783.643183</v>
      </c>
      <c r="H71" s="523">
        <v>869.81823599999962</v>
      </c>
      <c r="I71" s="523"/>
      <c r="J71" s="523"/>
      <c r="K71" s="523"/>
      <c r="L71" s="523"/>
      <c r="M71" s="523"/>
      <c r="N71" s="523"/>
      <c r="O71" s="519"/>
      <c r="P71" s="523"/>
      <c r="Q71" s="523"/>
      <c r="R71" s="523"/>
    </row>
    <row r="72" spans="1:18" ht="13.5" customHeight="1">
      <c r="A72" s="2082"/>
      <c r="B72" s="31" t="s">
        <v>724</v>
      </c>
      <c r="C72" s="111"/>
      <c r="D72" s="523"/>
      <c r="E72" s="125"/>
      <c r="F72" s="519"/>
      <c r="G72" s="523"/>
      <c r="H72" s="523"/>
      <c r="I72" s="523"/>
      <c r="J72" s="523"/>
      <c r="K72" s="523"/>
      <c r="L72" s="523"/>
      <c r="M72" s="523"/>
      <c r="N72" s="523"/>
      <c r="O72" s="519"/>
      <c r="P72" s="523"/>
      <c r="Q72" s="523"/>
      <c r="R72" s="523"/>
    </row>
    <row r="73" spans="1:18" ht="48" customHeight="1">
      <c r="A73" s="30" t="s">
        <v>307</v>
      </c>
      <c r="B73" s="31" t="s">
        <v>330</v>
      </c>
      <c r="C73" s="111" t="s">
        <v>305</v>
      </c>
      <c r="D73" s="523"/>
      <c r="E73" s="125"/>
      <c r="F73" s="519"/>
      <c r="G73" s="523"/>
      <c r="H73" s="523"/>
      <c r="I73" s="523"/>
      <c r="J73" s="523"/>
      <c r="K73" s="523"/>
      <c r="L73" s="523"/>
      <c r="M73" s="523"/>
      <c r="N73" s="523"/>
      <c r="O73" s="519"/>
      <c r="P73" s="523"/>
      <c r="Q73" s="523"/>
      <c r="R73" s="523"/>
    </row>
    <row r="74" spans="1:18" ht="24">
      <c r="A74" s="30" t="s">
        <v>309</v>
      </c>
      <c r="B74" s="31" t="s">
        <v>331</v>
      </c>
      <c r="C74" s="111" t="s">
        <v>305</v>
      </c>
      <c r="D74" s="523">
        <v>35330.751503018932</v>
      </c>
      <c r="E74" s="125">
        <v>10677.290084018932</v>
      </c>
      <c r="F74" s="519">
        <v>0</v>
      </c>
      <c r="G74" s="524">
        <v>23783.643183</v>
      </c>
      <c r="H74" s="524">
        <v>869.81823599999962</v>
      </c>
      <c r="I74" s="524"/>
      <c r="J74" s="524"/>
      <c r="K74" s="524"/>
      <c r="L74" s="524"/>
      <c r="M74" s="524"/>
      <c r="N74" s="524"/>
      <c r="O74" s="525"/>
      <c r="P74" s="523"/>
      <c r="Q74" s="523"/>
      <c r="R74" s="523"/>
    </row>
    <row r="75" spans="1:18">
      <c r="A75" s="4290" t="s">
        <v>311</v>
      </c>
      <c r="B75" s="4292"/>
      <c r="C75" s="111"/>
      <c r="D75" s="202"/>
      <c r="E75" s="203"/>
      <c r="F75" s="204"/>
      <c r="G75" s="204"/>
      <c r="H75" s="204"/>
      <c r="I75" s="204"/>
      <c r="J75" s="204"/>
      <c r="K75" s="204"/>
      <c r="L75" s="204"/>
      <c r="M75" s="204"/>
      <c r="N75" s="204"/>
      <c r="O75" s="204"/>
      <c r="P75" s="202"/>
      <c r="Q75" s="202"/>
      <c r="R75" s="202"/>
    </row>
    <row r="76" spans="1:18" ht="25.5" customHeight="1">
      <c r="A76" s="30" t="s">
        <v>307</v>
      </c>
      <c r="B76" s="31" t="s">
        <v>332</v>
      </c>
      <c r="C76" s="111" t="s">
        <v>305</v>
      </c>
      <c r="D76" s="202"/>
      <c r="E76" s="202"/>
      <c r="F76" s="202"/>
      <c r="G76" s="202"/>
      <c r="H76" s="202"/>
      <c r="I76" s="202"/>
      <c r="J76" s="202"/>
      <c r="K76" s="202"/>
      <c r="L76" s="202"/>
      <c r="M76" s="202"/>
      <c r="N76" s="202"/>
      <c r="O76" s="202"/>
      <c r="P76" s="202"/>
      <c r="Q76" s="202"/>
      <c r="R76" s="202"/>
    </row>
    <row r="77" spans="1:18" ht="49.5" customHeight="1">
      <c r="A77" s="30" t="s">
        <v>309</v>
      </c>
      <c r="B77" s="31" t="s">
        <v>333</v>
      </c>
      <c r="C77" s="111" t="s">
        <v>305</v>
      </c>
      <c r="D77" s="202"/>
      <c r="E77" s="202"/>
      <c r="F77" s="202"/>
      <c r="G77" s="202"/>
      <c r="H77" s="202"/>
      <c r="I77" s="202"/>
      <c r="J77" s="202"/>
      <c r="K77" s="202"/>
      <c r="L77" s="202"/>
      <c r="M77" s="202"/>
      <c r="N77" s="202"/>
      <c r="O77" s="202"/>
      <c r="P77" s="202"/>
      <c r="Q77" s="202"/>
      <c r="R77" s="202"/>
    </row>
    <row r="78" spans="1:18">
      <c r="C78" s="117"/>
      <c r="D78" s="201"/>
      <c r="E78" s="201"/>
      <c r="F78" s="201"/>
      <c r="G78" s="201"/>
      <c r="H78" s="201"/>
      <c r="I78" s="201"/>
      <c r="J78" s="201"/>
      <c r="K78" s="201"/>
      <c r="L78" s="201"/>
      <c r="M78" s="201"/>
    </row>
    <row r="79" spans="1:18">
      <c r="A79" s="11"/>
      <c r="C79" s="117"/>
      <c r="D79" s="201"/>
      <c r="E79" s="201"/>
      <c r="F79" s="201"/>
      <c r="G79" s="201"/>
      <c r="H79" s="201"/>
      <c r="I79" s="201"/>
      <c r="J79" s="201"/>
      <c r="K79" s="201"/>
      <c r="L79" s="201"/>
      <c r="M79" s="201"/>
    </row>
    <row r="80" spans="1:18">
      <c r="A80" s="11"/>
      <c r="C80" s="117"/>
      <c r="D80" s="201"/>
      <c r="E80" s="201"/>
      <c r="F80" s="201"/>
      <c r="G80" s="201"/>
      <c r="H80" s="201"/>
      <c r="I80" s="201"/>
      <c r="J80" s="201"/>
      <c r="K80" s="201"/>
      <c r="L80" s="201"/>
      <c r="M80" s="201"/>
    </row>
    <row r="81" spans="1:13">
      <c r="A81" s="11"/>
      <c r="C81" s="117"/>
      <c r="D81" s="201"/>
      <c r="E81" s="201"/>
      <c r="F81" s="201"/>
      <c r="G81" s="201"/>
      <c r="H81" s="201"/>
      <c r="I81" s="201"/>
      <c r="J81" s="201"/>
      <c r="K81" s="201"/>
      <c r="L81" s="201"/>
      <c r="M81" s="201"/>
    </row>
    <row r="82" spans="1:13">
      <c r="A82" s="11"/>
      <c r="C82" s="117"/>
      <c r="D82" s="201"/>
      <c r="E82" s="201"/>
      <c r="F82" s="201"/>
      <c r="G82" s="201"/>
      <c r="H82" s="201"/>
      <c r="I82" s="201"/>
      <c r="J82" s="201"/>
      <c r="K82" s="201"/>
      <c r="L82" s="201"/>
      <c r="M82" s="201"/>
    </row>
    <row r="83" spans="1:13">
      <c r="A83" s="11"/>
      <c r="C83" s="117"/>
      <c r="D83" s="201"/>
      <c r="E83" s="201"/>
      <c r="F83" s="201"/>
      <c r="G83" s="201"/>
      <c r="H83" s="201"/>
      <c r="I83" s="201"/>
      <c r="J83" s="201"/>
      <c r="K83" s="201"/>
      <c r="L83" s="201"/>
      <c r="M83" s="201"/>
    </row>
    <row r="84" spans="1:13">
      <c r="A84" s="11"/>
      <c r="C84" s="117"/>
      <c r="D84" s="201"/>
      <c r="E84" s="201"/>
      <c r="F84" s="201"/>
      <c r="G84" s="201"/>
      <c r="H84" s="201"/>
      <c r="I84" s="201"/>
      <c r="J84" s="201"/>
      <c r="K84" s="201"/>
      <c r="L84" s="201"/>
      <c r="M84" s="201"/>
    </row>
    <row r="85" spans="1:13">
      <c r="A85" s="11"/>
      <c r="C85" s="117"/>
      <c r="D85" s="201"/>
      <c r="E85" s="201"/>
      <c r="F85" s="201"/>
      <c r="G85" s="201"/>
      <c r="H85" s="201"/>
      <c r="I85" s="201"/>
      <c r="J85" s="201"/>
      <c r="K85" s="201"/>
      <c r="L85" s="201"/>
      <c r="M85" s="201"/>
    </row>
    <row r="86" spans="1:13">
      <c r="A86" s="11"/>
      <c r="C86" s="117"/>
      <c r="D86" s="201"/>
      <c r="E86" s="201"/>
      <c r="F86" s="201"/>
      <c r="G86" s="201"/>
      <c r="H86" s="201"/>
      <c r="I86" s="201"/>
      <c r="J86" s="201"/>
      <c r="K86" s="201"/>
      <c r="L86" s="201"/>
      <c r="M86" s="201"/>
    </row>
    <row r="87" spans="1:13">
      <c r="A87" s="11"/>
      <c r="C87" s="117"/>
      <c r="D87" s="201"/>
      <c r="E87" s="201"/>
      <c r="F87" s="201"/>
      <c r="G87" s="201"/>
      <c r="H87" s="201"/>
      <c r="I87" s="201"/>
      <c r="J87" s="201"/>
      <c r="K87" s="201"/>
      <c r="L87" s="201"/>
      <c r="M87" s="201"/>
    </row>
    <row r="88" spans="1:13">
      <c r="A88" s="11"/>
      <c r="C88" s="117"/>
      <c r="D88" s="201"/>
      <c r="E88" s="201"/>
      <c r="F88" s="201"/>
      <c r="G88" s="201"/>
      <c r="H88" s="201"/>
      <c r="I88" s="201"/>
      <c r="J88" s="201"/>
      <c r="K88" s="201"/>
      <c r="L88" s="201"/>
      <c r="M88" s="201"/>
    </row>
    <row r="89" spans="1:13">
      <c r="A89" s="11"/>
      <c r="C89" s="117"/>
      <c r="D89" s="201"/>
      <c r="E89" s="201"/>
      <c r="F89" s="201"/>
      <c r="G89" s="201"/>
      <c r="H89" s="201"/>
      <c r="I89" s="201"/>
      <c r="J89" s="201"/>
      <c r="K89" s="201"/>
      <c r="L89" s="201"/>
      <c r="M89" s="201"/>
    </row>
    <row r="90" spans="1:13">
      <c r="A90" s="11"/>
      <c r="C90" s="117"/>
      <c r="D90" s="201"/>
      <c r="E90" s="201"/>
      <c r="F90" s="201"/>
      <c r="G90" s="201"/>
      <c r="H90" s="201"/>
      <c r="I90" s="201"/>
      <c r="J90" s="201"/>
      <c r="K90" s="201"/>
      <c r="L90" s="201"/>
      <c r="M90" s="201"/>
    </row>
    <row r="91" spans="1:13">
      <c r="A91" s="11"/>
      <c r="C91" s="117"/>
      <c r="D91" s="201"/>
      <c r="E91" s="201"/>
      <c r="F91" s="201"/>
      <c r="G91" s="201"/>
      <c r="H91" s="201"/>
      <c r="I91" s="201"/>
      <c r="J91" s="201"/>
      <c r="K91" s="201"/>
      <c r="L91" s="201"/>
      <c r="M91" s="201"/>
    </row>
    <row r="92" spans="1:13">
      <c r="A92" s="11"/>
      <c r="C92" s="117"/>
      <c r="D92" s="201"/>
      <c r="E92" s="201"/>
      <c r="F92" s="201"/>
      <c r="G92" s="201"/>
      <c r="H92" s="201"/>
      <c r="I92" s="201"/>
      <c r="J92" s="201"/>
      <c r="K92" s="201"/>
      <c r="L92" s="201"/>
      <c r="M92" s="201"/>
    </row>
    <row r="93" spans="1:13">
      <c r="A93" s="11"/>
      <c r="C93" s="117"/>
      <c r="D93" s="201"/>
      <c r="E93" s="201"/>
      <c r="F93" s="201"/>
      <c r="G93" s="201"/>
      <c r="H93" s="201"/>
      <c r="I93" s="201"/>
      <c r="J93" s="201"/>
      <c r="K93" s="201"/>
      <c r="L93" s="201"/>
      <c r="M93" s="201"/>
    </row>
    <row r="94" spans="1:13">
      <c r="A94" s="11"/>
      <c r="C94" s="117"/>
      <c r="D94" s="201"/>
      <c r="E94" s="201"/>
      <c r="F94" s="201"/>
      <c r="G94" s="201"/>
      <c r="H94" s="201"/>
      <c r="I94" s="201"/>
      <c r="J94" s="201"/>
      <c r="K94" s="201"/>
      <c r="L94" s="201"/>
      <c r="M94" s="201"/>
    </row>
    <row r="95" spans="1:13">
      <c r="C95" s="117"/>
      <c r="D95" s="201"/>
      <c r="E95" s="201"/>
      <c r="F95" s="201"/>
      <c r="G95" s="201"/>
      <c r="H95" s="201"/>
      <c r="I95" s="201"/>
      <c r="J95" s="201"/>
      <c r="K95" s="201"/>
      <c r="L95" s="201"/>
      <c r="M95" s="278" t="s">
        <v>613</v>
      </c>
    </row>
    <row r="96" spans="1:13">
      <c r="C96" s="117"/>
      <c r="D96" s="201"/>
      <c r="E96" s="201"/>
      <c r="F96" s="201"/>
      <c r="G96" s="201"/>
      <c r="H96" s="201"/>
      <c r="I96" s="201"/>
      <c r="J96" s="201"/>
      <c r="K96" s="201"/>
      <c r="L96" s="201"/>
      <c r="M96" s="201"/>
    </row>
    <row r="97" spans="1:20" ht="25.5" customHeight="1">
      <c r="A97" s="4209" t="s">
        <v>314</v>
      </c>
      <c r="B97" s="4209" t="s">
        <v>315</v>
      </c>
      <c r="C97" s="4280" t="s">
        <v>805</v>
      </c>
      <c r="D97" s="4308" t="s">
        <v>334</v>
      </c>
      <c r="E97" s="4309"/>
      <c r="F97" s="4309"/>
      <c r="G97" s="4309"/>
      <c r="H97" s="4310"/>
      <c r="I97" s="4308" t="s">
        <v>679</v>
      </c>
      <c r="J97" s="4309"/>
      <c r="K97" s="4309"/>
      <c r="L97" s="4309"/>
      <c r="M97" s="4310"/>
    </row>
    <row r="98" spans="1:20" s="6" customFormat="1">
      <c r="A98" s="4210"/>
      <c r="B98" s="4210"/>
      <c r="C98" s="4281"/>
      <c r="D98" s="302" t="s">
        <v>679</v>
      </c>
      <c r="E98" s="2119" t="s">
        <v>697</v>
      </c>
      <c r="F98" s="2119" t="s">
        <v>676</v>
      </c>
      <c r="G98" s="2119" t="s">
        <v>677</v>
      </c>
      <c r="H98" s="2119" t="s">
        <v>681</v>
      </c>
      <c r="I98" s="302" t="s">
        <v>679</v>
      </c>
      <c r="J98" s="302" t="s">
        <v>697</v>
      </c>
      <c r="K98" s="302" t="s">
        <v>676</v>
      </c>
      <c r="L98" s="302" t="s">
        <v>677</v>
      </c>
      <c r="M98" s="302" t="s">
        <v>681</v>
      </c>
    </row>
    <row r="99" spans="1:20" s="6" customFormat="1">
      <c r="A99" s="2081">
        <v>1</v>
      </c>
      <c r="B99" s="2084">
        <v>2</v>
      </c>
      <c r="C99" s="111">
        <v>3</v>
      </c>
      <c r="D99" s="302">
        <v>4</v>
      </c>
      <c r="E99" s="302">
        <v>5</v>
      </c>
      <c r="F99" s="302">
        <v>6</v>
      </c>
      <c r="G99" s="302">
        <v>7</v>
      </c>
      <c r="H99" s="302">
        <v>8</v>
      </c>
      <c r="I99" s="302">
        <v>9</v>
      </c>
      <c r="J99" s="302">
        <v>10</v>
      </c>
      <c r="K99" s="302">
        <v>11</v>
      </c>
      <c r="L99" s="302">
        <v>12</v>
      </c>
      <c r="M99" s="302">
        <v>13</v>
      </c>
    </row>
    <row r="100" spans="1:20" ht="39.6">
      <c r="A100" s="2082" t="s">
        <v>335</v>
      </c>
      <c r="B100" s="9" t="s">
        <v>322</v>
      </c>
      <c r="C100" s="111" t="s">
        <v>687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525">
        <v>23.344686391399996</v>
      </c>
      <c r="J100" s="525">
        <v>14.445100999999999</v>
      </c>
      <c r="K100" s="520">
        <v>0</v>
      </c>
      <c r="L100" s="525">
        <v>8.5564199999999992</v>
      </c>
      <c r="M100" s="525">
        <v>0.34316539139999996</v>
      </c>
      <c r="T100" s="2120">
        <v>31984.329000000002</v>
      </c>
    </row>
    <row r="101" spans="1:20" ht="28.5" customHeight="1">
      <c r="A101" s="2082" t="s">
        <v>690</v>
      </c>
      <c r="B101" s="9" t="s">
        <v>336</v>
      </c>
      <c r="C101" s="111" t="s">
        <v>337</v>
      </c>
      <c r="D101" s="97">
        <v>0</v>
      </c>
      <c r="E101" s="97">
        <v>0</v>
      </c>
      <c r="F101" s="97">
        <v>0</v>
      </c>
      <c r="G101" s="97">
        <v>0</v>
      </c>
      <c r="H101" s="97">
        <v>0</v>
      </c>
      <c r="I101" s="2115">
        <v>2.9816464628142003</v>
      </c>
      <c r="J101" s="2115">
        <v>1.8525299999999998</v>
      </c>
      <c r="K101" s="520">
        <v>0</v>
      </c>
      <c r="L101" s="2115">
        <v>1.0817364628142006</v>
      </c>
      <c r="M101" s="2115">
        <v>4.7379999999999999E-2</v>
      </c>
      <c r="T101" s="2121">
        <v>4.0700999999999992</v>
      </c>
    </row>
    <row r="102" spans="1:20" ht="51.75" customHeight="1">
      <c r="A102" s="2082" t="s">
        <v>691</v>
      </c>
      <c r="B102" s="9" t="s">
        <v>287</v>
      </c>
      <c r="C102" s="111" t="s">
        <v>251</v>
      </c>
      <c r="D102" s="97">
        <v>0</v>
      </c>
      <c r="E102" s="97">
        <v>0</v>
      </c>
      <c r="F102" s="97">
        <v>0</v>
      </c>
      <c r="G102" s="97">
        <v>0</v>
      </c>
      <c r="H102" s="97">
        <v>0</v>
      </c>
      <c r="I102" s="97">
        <v>0</v>
      </c>
      <c r="J102" s="97">
        <v>0</v>
      </c>
      <c r="K102" s="97">
        <v>0</v>
      </c>
      <c r="L102" s="97">
        <v>0</v>
      </c>
      <c r="M102" s="97">
        <v>0</v>
      </c>
    </row>
    <row r="103" spans="1:20" ht="25.5" customHeight="1">
      <c r="A103" s="2" t="s">
        <v>339</v>
      </c>
      <c r="B103" s="2" t="s">
        <v>340</v>
      </c>
      <c r="C103" s="118" t="s">
        <v>326</v>
      </c>
      <c r="D103" s="97">
        <v>0</v>
      </c>
      <c r="E103" s="97">
        <v>0</v>
      </c>
      <c r="F103" s="97">
        <v>0</v>
      </c>
      <c r="G103" s="97">
        <v>0</v>
      </c>
      <c r="H103" s="97">
        <v>0</v>
      </c>
      <c r="I103" s="97">
        <v>0</v>
      </c>
      <c r="J103" s="97">
        <v>0</v>
      </c>
      <c r="K103" s="97">
        <v>0</v>
      </c>
      <c r="L103" s="97">
        <v>0</v>
      </c>
      <c r="M103" s="97">
        <v>0</v>
      </c>
    </row>
    <row r="104" spans="1:20" ht="26.4">
      <c r="A104" s="2082" t="s">
        <v>341</v>
      </c>
      <c r="B104" s="9" t="s">
        <v>342</v>
      </c>
      <c r="C104" s="111" t="s">
        <v>251</v>
      </c>
      <c r="D104" s="97">
        <v>0</v>
      </c>
      <c r="E104" s="97">
        <v>0</v>
      </c>
      <c r="F104" s="97">
        <v>0</v>
      </c>
      <c r="G104" s="97">
        <v>0</v>
      </c>
      <c r="H104" s="97">
        <v>0</v>
      </c>
      <c r="I104" s="97">
        <v>0</v>
      </c>
      <c r="J104" s="528">
        <v>0</v>
      </c>
      <c r="K104" s="668">
        <v>0</v>
      </c>
      <c r="L104" s="668">
        <v>0</v>
      </c>
      <c r="M104" s="668">
        <v>0</v>
      </c>
    </row>
    <row r="105" spans="1:20" ht="27" customHeight="1">
      <c r="A105" s="2082" t="s">
        <v>692</v>
      </c>
      <c r="B105" s="9" t="s">
        <v>343</v>
      </c>
      <c r="C105" s="111" t="s">
        <v>251</v>
      </c>
      <c r="D105" s="97">
        <v>0</v>
      </c>
      <c r="E105" s="97">
        <v>0</v>
      </c>
      <c r="F105" s="97">
        <v>0</v>
      </c>
      <c r="G105" s="97">
        <v>0</v>
      </c>
      <c r="H105" s="97">
        <v>0</v>
      </c>
      <c r="I105" s="97"/>
      <c r="J105" s="528">
        <v>742.16240132531379</v>
      </c>
      <c r="K105" s="668">
        <v>0</v>
      </c>
      <c r="L105" s="668">
        <v>2881</v>
      </c>
      <c r="M105" s="668">
        <v>6573</v>
      </c>
    </row>
    <row r="106" spans="1:20" ht="66" customHeight="1">
      <c r="A106" s="2082" t="s">
        <v>693</v>
      </c>
      <c r="B106" s="9" t="s">
        <v>294</v>
      </c>
      <c r="C106" s="111" t="s">
        <v>251</v>
      </c>
      <c r="D106" s="97">
        <v>0</v>
      </c>
      <c r="E106" s="97">
        <v>0</v>
      </c>
      <c r="F106" s="97">
        <v>0</v>
      </c>
      <c r="G106" s="97">
        <v>0</v>
      </c>
      <c r="H106" s="97">
        <v>0</v>
      </c>
      <c r="I106" s="97"/>
      <c r="J106" s="528">
        <v>742.16240132531379</v>
      </c>
      <c r="K106" s="528">
        <v>0</v>
      </c>
      <c r="L106" s="528">
        <v>2881</v>
      </c>
      <c r="M106" s="528">
        <v>6573</v>
      </c>
    </row>
    <row r="107" spans="1:20" ht="39" customHeight="1">
      <c r="A107" s="2082" t="s">
        <v>295</v>
      </c>
      <c r="B107" s="9" t="s">
        <v>296</v>
      </c>
      <c r="C107" s="111" t="s">
        <v>326</v>
      </c>
      <c r="D107" s="97">
        <v>0</v>
      </c>
      <c r="E107" s="97">
        <v>0</v>
      </c>
      <c r="F107" s="97">
        <v>0</v>
      </c>
      <c r="G107" s="97">
        <v>0</v>
      </c>
      <c r="H107" s="97">
        <v>0</v>
      </c>
      <c r="I107" s="97"/>
      <c r="J107" s="2111">
        <v>403675.95304593485</v>
      </c>
      <c r="K107" s="528">
        <v>0</v>
      </c>
      <c r="L107" s="528">
        <v>1667312.0227943519</v>
      </c>
      <c r="M107" s="528">
        <v>3973470.4872150314</v>
      </c>
    </row>
    <row r="108" spans="1:20" ht="25.5" customHeight="1">
      <c r="A108" s="2082" t="s">
        <v>298</v>
      </c>
      <c r="B108" s="9" t="s">
        <v>299</v>
      </c>
      <c r="C108" s="111" t="s">
        <v>251</v>
      </c>
      <c r="D108" s="97">
        <v>0</v>
      </c>
      <c r="E108" s="97">
        <v>0</v>
      </c>
      <c r="F108" s="97">
        <v>0</v>
      </c>
      <c r="G108" s="97">
        <v>0</v>
      </c>
      <c r="H108" s="97">
        <v>0</v>
      </c>
      <c r="I108" s="97"/>
      <c r="J108" s="943">
        <v>124.53472028118894</v>
      </c>
      <c r="K108" s="2880">
        <v>0</v>
      </c>
      <c r="L108" s="521">
        <v>329.79723235795052</v>
      </c>
      <c r="M108" s="521">
        <v>493.28960130879062</v>
      </c>
    </row>
    <row r="109" spans="1:20" ht="25.5" customHeight="1">
      <c r="A109" s="2082" t="s">
        <v>694</v>
      </c>
      <c r="B109" s="9" t="s">
        <v>300</v>
      </c>
      <c r="C109" s="111" t="s">
        <v>326</v>
      </c>
      <c r="D109" s="97">
        <v>0</v>
      </c>
      <c r="E109" s="97">
        <v>0</v>
      </c>
      <c r="F109" s="97">
        <v>0</v>
      </c>
      <c r="G109" s="97">
        <v>0</v>
      </c>
      <c r="H109" s="97">
        <v>0</v>
      </c>
      <c r="I109" s="97"/>
      <c r="J109" s="528">
        <v>0</v>
      </c>
      <c r="K109" s="97">
        <v>0</v>
      </c>
      <c r="L109" s="97">
        <v>0</v>
      </c>
      <c r="M109" s="97">
        <v>0</v>
      </c>
    </row>
    <row r="110" spans="1:20" ht="53.25" customHeight="1">
      <c r="A110" s="2" t="s">
        <v>344</v>
      </c>
      <c r="B110" s="32" t="s">
        <v>345</v>
      </c>
      <c r="C110" s="112" t="s">
        <v>251</v>
      </c>
      <c r="D110" s="97">
        <v>0</v>
      </c>
      <c r="E110" s="97">
        <v>0</v>
      </c>
      <c r="F110" s="97">
        <v>0</v>
      </c>
      <c r="G110" s="97">
        <v>0</v>
      </c>
      <c r="H110" s="97">
        <v>0</v>
      </c>
      <c r="I110" s="97"/>
      <c r="J110" s="528">
        <v>742.16240132531379</v>
      </c>
      <c r="K110" s="668">
        <v>0</v>
      </c>
      <c r="L110" s="668">
        <v>2881</v>
      </c>
      <c r="M110" s="668">
        <v>6573</v>
      </c>
    </row>
    <row r="111" spans="1:20" ht="15.75" customHeight="1">
      <c r="A111" s="2122"/>
      <c r="B111" s="2122"/>
      <c r="C111" s="2123"/>
      <c r="D111" s="2118"/>
      <c r="E111" s="2118"/>
      <c r="F111" s="2118"/>
      <c r="G111" s="2118"/>
      <c r="H111" s="2118"/>
      <c r="I111" s="2118"/>
      <c r="J111" s="2118"/>
      <c r="K111" s="2118"/>
      <c r="L111" s="2118"/>
      <c r="M111" s="2124" t="s">
        <v>613</v>
      </c>
    </row>
    <row r="112" spans="1:20" s="6" customFormat="1">
      <c r="A112" s="2"/>
      <c r="B112" s="32"/>
      <c r="C112" s="112"/>
      <c r="D112" s="302" t="s">
        <v>679</v>
      </c>
      <c r="E112" s="2119" t="s">
        <v>697</v>
      </c>
      <c r="F112" s="2119" t="s">
        <v>676</v>
      </c>
      <c r="G112" s="2119" t="s">
        <v>677</v>
      </c>
      <c r="H112" s="2119" t="s">
        <v>681</v>
      </c>
      <c r="I112" s="302" t="s">
        <v>679</v>
      </c>
      <c r="J112" s="302" t="s">
        <v>697</v>
      </c>
      <c r="K112" s="302" t="s">
        <v>676</v>
      </c>
      <c r="L112" s="302" t="s">
        <v>677</v>
      </c>
      <c r="M112" s="281" t="s">
        <v>681</v>
      </c>
    </row>
    <row r="113" spans="1:20" s="6" customFormat="1">
      <c r="A113" s="2081">
        <v>1</v>
      </c>
      <c r="B113" s="2084">
        <v>2</v>
      </c>
      <c r="C113" s="111">
        <v>3</v>
      </c>
      <c r="D113" s="302">
        <v>4</v>
      </c>
      <c r="E113" s="302">
        <v>5</v>
      </c>
      <c r="F113" s="302">
        <v>6</v>
      </c>
      <c r="G113" s="302">
        <v>7</v>
      </c>
      <c r="H113" s="302">
        <v>8</v>
      </c>
      <c r="I113" s="302">
        <v>9</v>
      </c>
      <c r="J113" s="302">
        <v>10</v>
      </c>
      <c r="K113" s="302">
        <v>11</v>
      </c>
      <c r="L113" s="302">
        <v>12</v>
      </c>
      <c r="M113" s="302">
        <v>13</v>
      </c>
    </row>
    <row r="114" spans="1:20" ht="50.25" customHeight="1">
      <c r="A114" s="2" t="s">
        <v>346</v>
      </c>
      <c r="B114" s="32" t="s">
        <v>302</v>
      </c>
      <c r="C114" s="112" t="s">
        <v>326</v>
      </c>
      <c r="D114" s="97">
        <v>0</v>
      </c>
      <c r="E114" s="97">
        <v>0</v>
      </c>
      <c r="F114" s="97">
        <v>0</v>
      </c>
      <c r="G114" s="97">
        <v>0</v>
      </c>
      <c r="H114" s="97">
        <v>0</v>
      </c>
      <c r="I114" s="97"/>
      <c r="J114" s="97"/>
      <c r="K114" s="97"/>
      <c r="L114" s="97"/>
      <c r="M114" s="97"/>
    </row>
    <row r="115" spans="1:20" ht="39" customHeight="1">
      <c r="A115" s="2082" t="s">
        <v>347</v>
      </c>
      <c r="B115" s="9" t="s">
        <v>303</v>
      </c>
      <c r="C115" s="111" t="s">
        <v>251</v>
      </c>
      <c r="D115" s="97">
        <v>0</v>
      </c>
      <c r="E115" s="97">
        <v>0</v>
      </c>
      <c r="F115" s="97">
        <v>0</v>
      </c>
      <c r="G115" s="97">
        <v>0</v>
      </c>
      <c r="H115" s="97">
        <v>0</v>
      </c>
      <c r="I115" s="97"/>
      <c r="J115" s="97"/>
      <c r="K115" s="97"/>
      <c r="L115" s="97"/>
      <c r="M115" s="97"/>
      <c r="T115" s="2125" t="s">
        <v>1122</v>
      </c>
    </row>
    <row r="116" spans="1:20" ht="40.5" customHeight="1">
      <c r="A116" s="2082" t="s">
        <v>348</v>
      </c>
      <c r="B116" s="9" t="s">
        <v>357</v>
      </c>
      <c r="C116" s="111" t="s">
        <v>24</v>
      </c>
      <c r="D116" s="97">
        <v>0</v>
      </c>
      <c r="E116" s="97">
        <v>0</v>
      </c>
      <c r="F116" s="97">
        <v>0</v>
      </c>
      <c r="G116" s="97">
        <v>0</v>
      </c>
      <c r="H116" s="97">
        <v>0</v>
      </c>
      <c r="I116" s="97">
        <v>37627.282983218887</v>
      </c>
      <c r="J116" s="97">
        <v>10720.610845546691</v>
      </c>
      <c r="K116" s="97">
        <v>0</v>
      </c>
      <c r="L116" s="97">
        <v>24651.046019999998</v>
      </c>
      <c r="M116" s="97">
        <v>2255.6261176721996</v>
      </c>
      <c r="S116" s="160">
        <v>37666.446571518871</v>
      </c>
      <c r="T116" s="665">
        <v>37666.446571518871</v>
      </c>
    </row>
    <row r="117" spans="1:20" ht="14.25" customHeight="1">
      <c r="A117" s="2082"/>
      <c r="B117" s="9" t="s">
        <v>349</v>
      </c>
      <c r="C117" s="111"/>
      <c r="D117" s="97">
        <v>0</v>
      </c>
      <c r="E117" s="97">
        <v>0</v>
      </c>
      <c r="F117" s="97">
        <v>0</v>
      </c>
      <c r="G117" s="97">
        <v>0</v>
      </c>
      <c r="H117" s="97">
        <v>0</v>
      </c>
      <c r="I117" s="97"/>
      <c r="J117" s="97"/>
      <c r="K117" s="97"/>
      <c r="L117" s="97"/>
      <c r="M117" s="97"/>
    </row>
    <row r="118" spans="1:20" ht="52.5" customHeight="1">
      <c r="A118" s="2082" t="s">
        <v>350</v>
      </c>
      <c r="B118" s="9" t="s">
        <v>308</v>
      </c>
      <c r="C118" s="111" t="s">
        <v>24</v>
      </c>
      <c r="D118" s="97">
        <v>0</v>
      </c>
      <c r="E118" s="97">
        <v>0</v>
      </c>
      <c r="F118" s="97">
        <v>0</v>
      </c>
      <c r="G118" s="97">
        <v>0</v>
      </c>
      <c r="H118" s="97">
        <v>0</v>
      </c>
      <c r="I118" s="97"/>
      <c r="J118" s="97"/>
      <c r="K118" s="97"/>
      <c r="L118" s="97"/>
      <c r="M118" s="97"/>
      <c r="S118" s="153">
        <v>37666.446571518871</v>
      </c>
      <c r="T118" s="153">
        <v>37666.446571518871</v>
      </c>
    </row>
    <row r="119" spans="1:20" ht="24" customHeight="1">
      <c r="A119" s="2" t="s">
        <v>351</v>
      </c>
      <c r="B119" s="2" t="s">
        <v>358</v>
      </c>
      <c r="C119" s="118" t="s">
        <v>24</v>
      </c>
      <c r="D119" s="97">
        <v>0</v>
      </c>
      <c r="E119" s="97">
        <v>0</v>
      </c>
      <c r="F119" s="97">
        <v>0</v>
      </c>
      <c r="G119" s="97">
        <v>0</v>
      </c>
      <c r="H119" s="97">
        <v>0</v>
      </c>
      <c r="I119" s="97">
        <v>0</v>
      </c>
      <c r="J119" s="97">
        <v>0</v>
      </c>
      <c r="K119" s="97">
        <v>0</v>
      </c>
      <c r="L119" s="97">
        <v>0</v>
      </c>
      <c r="M119" s="97">
        <v>0</v>
      </c>
      <c r="S119" s="153">
        <v>38446.31808062108</v>
      </c>
    </row>
    <row r="120" spans="1:20" ht="12.75" customHeight="1">
      <c r="A120" s="4282" t="s">
        <v>352</v>
      </c>
      <c r="B120" s="4283"/>
      <c r="C120" s="111"/>
      <c r="D120" s="97">
        <v>0</v>
      </c>
      <c r="E120" s="97">
        <v>0</v>
      </c>
      <c r="F120" s="97">
        <v>0</v>
      </c>
      <c r="G120" s="97">
        <v>0</v>
      </c>
      <c r="H120" s="97">
        <v>0</v>
      </c>
      <c r="I120" s="97"/>
      <c r="J120" s="97"/>
      <c r="K120" s="97"/>
      <c r="L120" s="97"/>
      <c r="M120" s="97"/>
    </row>
    <row r="121" spans="1:20" ht="37.5" customHeight="1">
      <c r="A121" s="2082" t="s">
        <v>350</v>
      </c>
      <c r="B121" s="20" t="s">
        <v>353</v>
      </c>
      <c r="C121" s="111" t="s">
        <v>24</v>
      </c>
      <c r="D121" s="97">
        <v>0</v>
      </c>
      <c r="E121" s="97">
        <v>0</v>
      </c>
      <c r="F121" s="97">
        <v>0</v>
      </c>
      <c r="G121" s="97">
        <v>0</v>
      </c>
      <c r="H121" s="97">
        <v>0</v>
      </c>
      <c r="I121" s="97"/>
      <c r="J121" s="97"/>
      <c r="K121" s="97"/>
      <c r="L121" s="97"/>
      <c r="M121" s="97"/>
    </row>
    <row r="122" spans="1:20" ht="24.75" customHeight="1">
      <c r="A122" s="4279" t="s">
        <v>351</v>
      </c>
      <c r="B122" s="2083" t="s">
        <v>354</v>
      </c>
      <c r="C122" s="4226" t="s">
        <v>24</v>
      </c>
      <c r="D122" s="97">
        <v>0</v>
      </c>
      <c r="E122" s="97">
        <v>0</v>
      </c>
      <c r="F122" s="97">
        <v>0</v>
      </c>
      <c r="G122" s="97">
        <v>0</v>
      </c>
      <c r="H122" s="97">
        <v>0</v>
      </c>
      <c r="I122" s="97"/>
      <c r="J122" s="97"/>
      <c r="K122" s="97"/>
      <c r="L122" s="97"/>
      <c r="M122" s="97"/>
    </row>
    <row r="123" spans="1:20" ht="25.5" customHeight="1">
      <c r="A123" s="4279"/>
      <c r="B123" s="2082" t="s">
        <v>359</v>
      </c>
      <c r="C123" s="4226"/>
      <c r="D123" s="97">
        <v>0</v>
      </c>
      <c r="E123" s="97">
        <v>0</v>
      </c>
      <c r="F123" s="97">
        <v>0</v>
      </c>
      <c r="G123" s="97">
        <v>0</v>
      </c>
      <c r="H123" s="97">
        <v>0</v>
      </c>
      <c r="I123" s="97"/>
      <c r="J123" s="97"/>
      <c r="K123" s="97"/>
      <c r="L123" s="97"/>
      <c r="M123" s="97"/>
    </row>
    <row r="126" spans="1:20" s="776" customFormat="1" ht="23.25" customHeight="1">
      <c r="B126" s="774"/>
      <c r="C126" s="775"/>
      <c r="H126" s="2068"/>
    </row>
    <row r="127" spans="1:20" s="776" customFormat="1" ht="15" customHeight="1">
      <c r="B127" s="778"/>
      <c r="C127" s="775"/>
      <c r="K127" s="779" t="s">
        <v>2876</v>
      </c>
    </row>
    <row r="128" spans="1:20">
      <c r="C128" s="10"/>
    </row>
    <row r="129" spans="1:7">
      <c r="A129" s="19"/>
      <c r="C129" s="10"/>
    </row>
    <row r="130" spans="1:7" ht="15.6">
      <c r="A130" s="839" t="s">
        <v>1266</v>
      </c>
      <c r="B130" s="2080"/>
      <c r="C130" s="2080"/>
      <c r="D130" s="2080"/>
      <c r="E130" s="2080"/>
      <c r="F130" s="2080"/>
      <c r="G130" s="2080"/>
    </row>
    <row r="131" spans="1:7" ht="15.6">
      <c r="A131" s="839" t="s">
        <v>1304</v>
      </c>
      <c r="B131" s="95"/>
      <c r="C131" s="95"/>
      <c r="D131" s="95"/>
      <c r="E131" s="95"/>
      <c r="F131" s="95"/>
      <c r="G131" s="95"/>
    </row>
    <row r="145" spans="1:1">
      <c r="A145" s="98"/>
    </row>
    <row r="146" spans="1:1">
      <c r="A146" s="98"/>
    </row>
  </sheetData>
  <mergeCells count="38">
    <mergeCell ref="I97:M97"/>
    <mergeCell ref="D97:H97"/>
    <mergeCell ref="A75:B75"/>
    <mergeCell ref="A48:A50"/>
    <mergeCell ref="B48:B50"/>
    <mergeCell ref="B66:B68"/>
    <mergeCell ref="C66:C68"/>
    <mergeCell ref="D48:H49"/>
    <mergeCell ref="A66:A68"/>
    <mergeCell ref="A8:A10"/>
    <mergeCell ref="B8:B10"/>
    <mergeCell ref="C8:C10"/>
    <mergeCell ref="A23:A25"/>
    <mergeCell ref="B23:B25"/>
    <mergeCell ref="C23:C25"/>
    <mergeCell ref="A34:B34"/>
    <mergeCell ref="C48:C50"/>
    <mergeCell ref="I66:M66"/>
    <mergeCell ref="D66:H67"/>
    <mergeCell ref="N23:R24"/>
    <mergeCell ref="I48:M48"/>
    <mergeCell ref="N8:R9"/>
    <mergeCell ref="I9:M9"/>
    <mergeCell ref="N66:R67"/>
    <mergeCell ref="I67:M67"/>
    <mergeCell ref="O65:R65"/>
    <mergeCell ref="I23:M23"/>
    <mergeCell ref="N48:R49"/>
    <mergeCell ref="I49:M49"/>
    <mergeCell ref="I8:M8"/>
    <mergeCell ref="I24:M24"/>
    <mergeCell ref="O22:R22"/>
    <mergeCell ref="A122:A123"/>
    <mergeCell ref="C122:C123"/>
    <mergeCell ref="C97:C98"/>
    <mergeCell ref="A97:A98"/>
    <mergeCell ref="A120:B120"/>
    <mergeCell ref="B97:B98"/>
  </mergeCells>
  <phoneticPr fontId="0" type="noConversion"/>
  <printOptions horizontalCentered="1"/>
  <pageMargins left="0.39370078740157483" right="0.39370078740157483" top="0.78740157480314965" bottom="0.11811023622047245" header="0.51181102362204722" footer="3.937007874015748E-2"/>
  <pageSetup paperSize="9" scale="77" orientation="landscape" r:id="rId1"/>
  <headerFooter alignWithMargins="0">
    <oddFooter>&amp;R&amp;8&amp;P</oddFooter>
  </headerFooter>
  <rowBreaks count="5" manualBreakCount="5">
    <brk id="21" max="16383" man="1"/>
    <brk id="46" max="16383" man="1"/>
    <brk id="64" max="16383" man="1"/>
    <brk id="94" max="16383" man="1"/>
    <brk id="110" max="16383" man="1"/>
  </rowBreaks>
  <colBreaks count="1" manualBreakCount="1">
    <brk id="1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 enableFormatConditionsCalculation="0">
    <tabColor rgb="FFCCFF66"/>
  </sheetPr>
  <dimension ref="A1:P71"/>
  <sheetViews>
    <sheetView workbookViewId="0">
      <pane xSplit="3" ySplit="7" topLeftCell="D54" activePane="bottomRight" state="frozenSplit"/>
      <selection activeCell="B32" sqref="A1:XFD1048576"/>
      <selection pane="topRight" activeCell="B32" sqref="A1:XFD1048576"/>
      <selection pane="bottomLeft" activeCell="B32" sqref="A1:XFD1048576"/>
      <selection pane="bottomRight" activeCell="A53" sqref="A53:XFD62"/>
    </sheetView>
  </sheetViews>
  <sheetFormatPr defaultRowHeight="13.2"/>
  <cols>
    <col min="1" max="1" width="9.109375" style="2006"/>
    <col min="2" max="2" width="18" style="2006" customWidth="1"/>
    <col min="3" max="3" width="12.88671875" style="2006" customWidth="1"/>
    <col min="4" max="4" width="12.33203125" style="2006" customWidth="1"/>
    <col min="5" max="5" width="11" style="2006" customWidth="1"/>
    <col min="6" max="6" width="10.5546875" style="2006" customWidth="1"/>
    <col min="7" max="8" width="9.109375" style="2006"/>
    <col min="9" max="18" width="0" style="2006" hidden="1" customWidth="1"/>
    <col min="19" max="257" width="9.109375" style="2006"/>
    <col min="258" max="258" width="18" style="2006" customWidth="1"/>
    <col min="259" max="259" width="12.88671875" style="2006" customWidth="1"/>
    <col min="260" max="260" width="12.33203125" style="2006" customWidth="1"/>
    <col min="261" max="261" width="11" style="2006" customWidth="1"/>
    <col min="262" max="262" width="10.5546875" style="2006" customWidth="1"/>
    <col min="263" max="513" width="9.109375" style="2006"/>
    <col min="514" max="514" width="18" style="2006" customWidth="1"/>
    <col min="515" max="515" width="12.88671875" style="2006" customWidth="1"/>
    <col min="516" max="516" width="12.33203125" style="2006" customWidth="1"/>
    <col min="517" max="517" width="11" style="2006" customWidth="1"/>
    <col min="518" max="518" width="10.5546875" style="2006" customWidth="1"/>
    <col min="519" max="769" width="9.109375" style="2006"/>
    <col min="770" max="770" width="18" style="2006" customWidth="1"/>
    <col min="771" max="771" width="12.88671875" style="2006" customWidth="1"/>
    <col min="772" max="772" width="12.33203125" style="2006" customWidth="1"/>
    <col min="773" max="773" width="11" style="2006" customWidth="1"/>
    <col min="774" max="774" width="10.5546875" style="2006" customWidth="1"/>
    <col min="775" max="1025" width="9.109375" style="2006"/>
    <col min="1026" max="1026" width="18" style="2006" customWidth="1"/>
    <col min="1027" max="1027" width="12.88671875" style="2006" customWidth="1"/>
    <col min="1028" max="1028" width="12.33203125" style="2006" customWidth="1"/>
    <col min="1029" max="1029" width="11" style="2006" customWidth="1"/>
    <col min="1030" max="1030" width="10.5546875" style="2006" customWidth="1"/>
    <col min="1031" max="1281" width="9.109375" style="2006"/>
    <col min="1282" max="1282" width="18" style="2006" customWidth="1"/>
    <col min="1283" max="1283" width="12.88671875" style="2006" customWidth="1"/>
    <col min="1284" max="1284" width="12.33203125" style="2006" customWidth="1"/>
    <col min="1285" max="1285" width="11" style="2006" customWidth="1"/>
    <col min="1286" max="1286" width="10.5546875" style="2006" customWidth="1"/>
    <col min="1287" max="1537" width="9.109375" style="2006"/>
    <col min="1538" max="1538" width="18" style="2006" customWidth="1"/>
    <col min="1539" max="1539" width="12.88671875" style="2006" customWidth="1"/>
    <col min="1540" max="1540" width="12.33203125" style="2006" customWidth="1"/>
    <col min="1541" max="1541" width="11" style="2006" customWidth="1"/>
    <col min="1542" max="1542" width="10.5546875" style="2006" customWidth="1"/>
    <col min="1543" max="1793" width="9.109375" style="2006"/>
    <col min="1794" max="1794" width="18" style="2006" customWidth="1"/>
    <col min="1795" max="1795" width="12.88671875" style="2006" customWidth="1"/>
    <col min="1796" max="1796" width="12.33203125" style="2006" customWidth="1"/>
    <col min="1797" max="1797" width="11" style="2006" customWidth="1"/>
    <col min="1798" max="1798" width="10.5546875" style="2006" customWidth="1"/>
    <col min="1799" max="2049" width="9.109375" style="2006"/>
    <col min="2050" max="2050" width="18" style="2006" customWidth="1"/>
    <col min="2051" max="2051" width="12.88671875" style="2006" customWidth="1"/>
    <col min="2052" max="2052" width="12.33203125" style="2006" customWidth="1"/>
    <col min="2053" max="2053" width="11" style="2006" customWidth="1"/>
    <col min="2054" max="2054" width="10.5546875" style="2006" customWidth="1"/>
    <col min="2055" max="2305" width="9.109375" style="2006"/>
    <col min="2306" max="2306" width="18" style="2006" customWidth="1"/>
    <col min="2307" max="2307" width="12.88671875" style="2006" customWidth="1"/>
    <col min="2308" max="2308" width="12.33203125" style="2006" customWidth="1"/>
    <col min="2309" max="2309" width="11" style="2006" customWidth="1"/>
    <col min="2310" max="2310" width="10.5546875" style="2006" customWidth="1"/>
    <col min="2311" max="2561" width="9.109375" style="2006"/>
    <col min="2562" max="2562" width="18" style="2006" customWidth="1"/>
    <col min="2563" max="2563" width="12.88671875" style="2006" customWidth="1"/>
    <col min="2564" max="2564" width="12.33203125" style="2006" customWidth="1"/>
    <col min="2565" max="2565" width="11" style="2006" customWidth="1"/>
    <col min="2566" max="2566" width="10.5546875" style="2006" customWidth="1"/>
    <col min="2567" max="2817" width="9.109375" style="2006"/>
    <col min="2818" max="2818" width="18" style="2006" customWidth="1"/>
    <col min="2819" max="2819" width="12.88671875" style="2006" customWidth="1"/>
    <col min="2820" max="2820" width="12.33203125" style="2006" customWidth="1"/>
    <col min="2821" max="2821" width="11" style="2006" customWidth="1"/>
    <col min="2822" max="2822" width="10.5546875" style="2006" customWidth="1"/>
    <col min="2823" max="3073" width="9.109375" style="2006"/>
    <col min="3074" max="3074" width="18" style="2006" customWidth="1"/>
    <col min="3075" max="3075" width="12.88671875" style="2006" customWidth="1"/>
    <col min="3076" max="3076" width="12.33203125" style="2006" customWidth="1"/>
    <col min="3077" max="3077" width="11" style="2006" customWidth="1"/>
    <col min="3078" max="3078" width="10.5546875" style="2006" customWidth="1"/>
    <col min="3079" max="3329" width="9.109375" style="2006"/>
    <col min="3330" max="3330" width="18" style="2006" customWidth="1"/>
    <col min="3331" max="3331" width="12.88671875" style="2006" customWidth="1"/>
    <col min="3332" max="3332" width="12.33203125" style="2006" customWidth="1"/>
    <col min="3333" max="3333" width="11" style="2006" customWidth="1"/>
    <col min="3334" max="3334" width="10.5546875" style="2006" customWidth="1"/>
    <col min="3335" max="3585" width="9.109375" style="2006"/>
    <col min="3586" max="3586" width="18" style="2006" customWidth="1"/>
    <col min="3587" max="3587" width="12.88671875" style="2006" customWidth="1"/>
    <col min="3588" max="3588" width="12.33203125" style="2006" customWidth="1"/>
    <col min="3589" max="3589" width="11" style="2006" customWidth="1"/>
    <col min="3590" max="3590" width="10.5546875" style="2006" customWidth="1"/>
    <col min="3591" max="3841" width="9.109375" style="2006"/>
    <col min="3842" max="3842" width="18" style="2006" customWidth="1"/>
    <col min="3843" max="3843" width="12.88671875" style="2006" customWidth="1"/>
    <col min="3844" max="3844" width="12.33203125" style="2006" customWidth="1"/>
    <col min="3845" max="3845" width="11" style="2006" customWidth="1"/>
    <col min="3846" max="3846" width="10.5546875" style="2006" customWidth="1"/>
    <col min="3847" max="4097" width="9.109375" style="2006"/>
    <col min="4098" max="4098" width="18" style="2006" customWidth="1"/>
    <col min="4099" max="4099" width="12.88671875" style="2006" customWidth="1"/>
    <col min="4100" max="4100" width="12.33203125" style="2006" customWidth="1"/>
    <col min="4101" max="4101" width="11" style="2006" customWidth="1"/>
    <col min="4102" max="4102" width="10.5546875" style="2006" customWidth="1"/>
    <col min="4103" max="4353" width="9.109375" style="2006"/>
    <col min="4354" max="4354" width="18" style="2006" customWidth="1"/>
    <col min="4355" max="4355" width="12.88671875" style="2006" customWidth="1"/>
    <col min="4356" max="4356" width="12.33203125" style="2006" customWidth="1"/>
    <col min="4357" max="4357" width="11" style="2006" customWidth="1"/>
    <col min="4358" max="4358" width="10.5546875" style="2006" customWidth="1"/>
    <col min="4359" max="4609" width="9.109375" style="2006"/>
    <col min="4610" max="4610" width="18" style="2006" customWidth="1"/>
    <col min="4611" max="4611" width="12.88671875" style="2006" customWidth="1"/>
    <col min="4612" max="4612" width="12.33203125" style="2006" customWidth="1"/>
    <col min="4613" max="4613" width="11" style="2006" customWidth="1"/>
    <col min="4614" max="4614" width="10.5546875" style="2006" customWidth="1"/>
    <col min="4615" max="4865" width="9.109375" style="2006"/>
    <col min="4866" max="4866" width="18" style="2006" customWidth="1"/>
    <col min="4867" max="4867" width="12.88671875" style="2006" customWidth="1"/>
    <col min="4868" max="4868" width="12.33203125" style="2006" customWidth="1"/>
    <col min="4869" max="4869" width="11" style="2006" customWidth="1"/>
    <col min="4870" max="4870" width="10.5546875" style="2006" customWidth="1"/>
    <col min="4871" max="5121" width="9.109375" style="2006"/>
    <col min="5122" max="5122" width="18" style="2006" customWidth="1"/>
    <col min="5123" max="5123" width="12.88671875" style="2006" customWidth="1"/>
    <col min="5124" max="5124" width="12.33203125" style="2006" customWidth="1"/>
    <col min="5125" max="5125" width="11" style="2006" customWidth="1"/>
    <col min="5126" max="5126" width="10.5546875" style="2006" customWidth="1"/>
    <col min="5127" max="5377" width="9.109375" style="2006"/>
    <col min="5378" max="5378" width="18" style="2006" customWidth="1"/>
    <col min="5379" max="5379" width="12.88671875" style="2006" customWidth="1"/>
    <col min="5380" max="5380" width="12.33203125" style="2006" customWidth="1"/>
    <col min="5381" max="5381" width="11" style="2006" customWidth="1"/>
    <col min="5382" max="5382" width="10.5546875" style="2006" customWidth="1"/>
    <col min="5383" max="5633" width="9.109375" style="2006"/>
    <col min="5634" max="5634" width="18" style="2006" customWidth="1"/>
    <col min="5635" max="5635" width="12.88671875" style="2006" customWidth="1"/>
    <col min="5636" max="5636" width="12.33203125" style="2006" customWidth="1"/>
    <col min="5637" max="5637" width="11" style="2006" customWidth="1"/>
    <col min="5638" max="5638" width="10.5546875" style="2006" customWidth="1"/>
    <col min="5639" max="5889" width="9.109375" style="2006"/>
    <col min="5890" max="5890" width="18" style="2006" customWidth="1"/>
    <col min="5891" max="5891" width="12.88671875" style="2006" customWidth="1"/>
    <col min="5892" max="5892" width="12.33203125" style="2006" customWidth="1"/>
    <col min="5893" max="5893" width="11" style="2006" customWidth="1"/>
    <col min="5894" max="5894" width="10.5546875" style="2006" customWidth="1"/>
    <col min="5895" max="6145" width="9.109375" style="2006"/>
    <col min="6146" max="6146" width="18" style="2006" customWidth="1"/>
    <col min="6147" max="6147" width="12.88671875" style="2006" customWidth="1"/>
    <col min="6148" max="6148" width="12.33203125" style="2006" customWidth="1"/>
    <col min="6149" max="6149" width="11" style="2006" customWidth="1"/>
    <col min="6150" max="6150" width="10.5546875" style="2006" customWidth="1"/>
    <col min="6151" max="6401" width="9.109375" style="2006"/>
    <col min="6402" max="6402" width="18" style="2006" customWidth="1"/>
    <col min="6403" max="6403" width="12.88671875" style="2006" customWidth="1"/>
    <col min="6404" max="6404" width="12.33203125" style="2006" customWidth="1"/>
    <col min="6405" max="6405" width="11" style="2006" customWidth="1"/>
    <col min="6406" max="6406" width="10.5546875" style="2006" customWidth="1"/>
    <col min="6407" max="6657" width="9.109375" style="2006"/>
    <col min="6658" max="6658" width="18" style="2006" customWidth="1"/>
    <col min="6659" max="6659" width="12.88671875" style="2006" customWidth="1"/>
    <col min="6660" max="6660" width="12.33203125" style="2006" customWidth="1"/>
    <col min="6661" max="6661" width="11" style="2006" customWidth="1"/>
    <col min="6662" max="6662" width="10.5546875" style="2006" customWidth="1"/>
    <col min="6663" max="6913" width="9.109375" style="2006"/>
    <col min="6914" max="6914" width="18" style="2006" customWidth="1"/>
    <col min="6915" max="6915" width="12.88671875" style="2006" customWidth="1"/>
    <col min="6916" max="6916" width="12.33203125" style="2006" customWidth="1"/>
    <col min="6917" max="6917" width="11" style="2006" customWidth="1"/>
    <col min="6918" max="6918" width="10.5546875" style="2006" customWidth="1"/>
    <col min="6919" max="7169" width="9.109375" style="2006"/>
    <col min="7170" max="7170" width="18" style="2006" customWidth="1"/>
    <col min="7171" max="7171" width="12.88671875" style="2006" customWidth="1"/>
    <col min="7172" max="7172" width="12.33203125" style="2006" customWidth="1"/>
    <col min="7173" max="7173" width="11" style="2006" customWidth="1"/>
    <col min="7174" max="7174" width="10.5546875" style="2006" customWidth="1"/>
    <col min="7175" max="7425" width="9.109375" style="2006"/>
    <col min="7426" max="7426" width="18" style="2006" customWidth="1"/>
    <col min="7427" max="7427" width="12.88671875" style="2006" customWidth="1"/>
    <col min="7428" max="7428" width="12.33203125" style="2006" customWidth="1"/>
    <col min="7429" max="7429" width="11" style="2006" customWidth="1"/>
    <col min="7430" max="7430" width="10.5546875" style="2006" customWidth="1"/>
    <col min="7431" max="7681" width="9.109375" style="2006"/>
    <col min="7682" max="7682" width="18" style="2006" customWidth="1"/>
    <col min="7683" max="7683" width="12.88671875" style="2006" customWidth="1"/>
    <col min="7684" max="7684" width="12.33203125" style="2006" customWidth="1"/>
    <col min="7685" max="7685" width="11" style="2006" customWidth="1"/>
    <col min="7686" max="7686" width="10.5546875" style="2006" customWidth="1"/>
    <col min="7687" max="7937" width="9.109375" style="2006"/>
    <col min="7938" max="7938" width="18" style="2006" customWidth="1"/>
    <col min="7939" max="7939" width="12.88671875" style="2006" customWidth="1"/>
    <col min="7940" max="7940" width="12.33203125" style="2006" customWidth="1"/>
    <col min="7941" max="7941" width="11" style="2006" customWidth="1"/>
    <col min="7942" max="7942" width="10.5546875" style="2006" customWidth="1"/>
    <col min="7943" max="8193" width="9.109375" style="2006"/>
    <col min="8194" max="8194" width="18" style="2006" customWidth="1"/>
    <col min="8195" max="8195" width="12.88671875" style="2006" customWidth="1"/>
    <col min="8196" max="8196" width="12.33203125" style="2006" customWidth="1"/>
    <col min="8197" max="8197" width="11" style="2006" customWidth="1"/>
    <col min="8198" max="8198" width="10.5546875" style="2006" customWidth="1"/>
    <col min="8199" max="8449" width="9.109375" style="2006"/>
    <col min="8450" max="8450" width="18" style="2006" customWidth="1"/>
    <col min="8451" max="8451" width="12.88671875" style="2006" customWidth="1"/>
    <col min="8452" max="8452" width="12.33203125" style="2006" customWidth="1"/>
    <col min="8453" max="8453" width="11" style="2006" customWidth="1"/>
    <col min="8454" max="8454" width="10.5546875" style="2006" customWidth="1"/>
    <col min="8455" max="8705" width="9.109375" style="2006"/>
    <col min="8706" max="8706" width="18" style="2006" customWidth="1"/>
    <col min="8707" max="8707" width="12.88671875" style="2006" customWidth="1"/>
    <col min="8708" max="8708" width="12.33203125" style="2006" customWidth="1"/>
    <col min="8709" max="8709" width="11" style="2006" customWidth="1"/>
    <col min="8710" max="8710" width="10.5546875" style="2006" customWidth="1"/>
    <col min="8711" max="8961" width="9.109375" style="2006"/>
    <col min="8962" max="8962" width="18" style="2006" customWidth="1"/>
    <col min="8963" max="8963" width="12.88671875" style="2006" customWidth="1"/>
    <col min="8964" max="8964" width="12.33203125" style="2006" customWidth="1"/>
    <col min="8965" max="8965" width="11" style="2006" customWidth="1"/>
    <col min="8966" max="8966" width="10.5546875" style="2006" customWidth="1"/>
    <col min="8967" max="9217" width="9.109375" style="2006"/>
    <col min="9218" max="9218" width="18" style="2006" customWidth="1"/>
    <col min="9219" max="9219" width="12.88671875" style="2006" customWidth="1"/>
    <col min="9220" max="9220" width="12.33203125" style="2006" customWidth="1"/>
    <col min="9221" max="9221" width="11" style="2006" customWidth="1"/>
    <col min="9222" max="9222" width="10.5546875" style="2006" customWidth="1"/>
    <col min="9223" max="9473" width="9.109375" style="2006"/>
    <col min="9474" max="9474" width="18" style="2006" customWidth="1"/>
    <col min="9475" max="9475" width="12.88671875" style="2006" customWidth="1"/>
    <col min="9476" max="9476" width="12.33203125" style="2006" customWidth="1"/>
    <col min="9477" max="9477" width="11" style="2006" customWidth="1"/>
    <col min="9478" max="9478" width="10.5546875" style="2006" customWidth="1"/>
    <col min="9479" max="9729" width="9.109375" style="2006"/>
    <col min="9730" max="9730" width="18" style="2006" customWidth="1"/>
    <col min="9731" max="9731" width="12.88671875" style="2006" customWidth="1"/>
    <col min="9732" max="9732" width="12.33203125" style="2006" customWidth="1"/>
    <col min="9733" max="9733" width="11" style="2006" customWidth="1"/>
    <col min="9734" max="9734" width="10.5546875" style="2006" customWidth="1"/>
    <col min="9735" max="9985" width="9.109375" style="2006"/>
    <col min="9986" max="9986" width="18" style="2006" customWidth="1"/>
    <col min="9987" max="9987" width="12.88671875" style="2006" customWidth="1"/>
    <col min="9988" max="9988" width="12.33203125" style="2006" customWidth="1"/>
    <col min="9989" max="9989" width="11" style="2006" customWidth="1"/>
    <col min="9990" max="9990" width="10.5546875" style="2006" customWidth="1"/>
    <col min="9991" max="10241" width="9.109375" style="2006"/>
    <col min="10242" max="10242" width="18" style="2006" customWidth="1"/>
    <col min="10243" max="10243" width="12.88671875" style="2006" customWidth="1"/>
    <col min="10244" max="10244" width="12.33203125" style="2006" customWidth="1"/>
    <col min="10245" max="10245" width="11" style="2006" customWidth="1"/>
    <col min="10246" max="10246" width="10.5546875" style="2006" customWidth="1"/>
    <col min="10247" max="10497" width="9.109375" style="2006"/>
    <col min="10498" max="10498" width="18" style="2006" customWidth="1"/>
    <col min="10499" max="10499" width="12.88671875" style="2006" customWidth="1"/>
    <col min="10500" max="10500" width="12.33203125" style="2006" customWidth="1"/>
    <col min="10501" max="10501" width="11" style="2006" customWidth="1"/>
    <col min="10502" max="10502" width="10.5546875" style="2006" customWidth="1"/>
    <col min="10503" max="10753" width="9.109375" style="2006"/>
    <col min="10754" max="10754" width="18" style="2006" customWidth="1"/>
    <col min="10755" max="10755" width="12.88671875" style="2006" customWidth="1"/>
    <col min="10756" max="10756" width="12.33203125" style="2006" customWidth="1"/>
    <col min="10757" max="10757" width="11" style="2006" customWidth="1"/>
    <col min="10758" max="10758" width="10.5546875" style="2006" customWidth="1"/>
    <col min="10759" max="11009" width="9.109375" style="2006"/>
    <col min="11010" max="11010" width="18" style="2006" customWidth="1"/>
    <col min="11011" max="11011" width="12.88671875" style="2006" customWidth="1"/>
    <col min="11012" max="11012" width="12.33203125" style="2006" customWidth="1"/>
    <col min="11013" max="11013" width="11" style="2006" customWidth="1"/>
    <col min="11014" max="11014" width="10.5546875" style="2006" customWidth="1"/>
    <col min="11015" max="11265" width="9.109375" style="2006"/>
    <col min="11266" max="11266" width="18" style="2006" customWidth="1"/>
    <col min="11267" max="11267" width="12.88671875" style="2006" customWidth="1"/>
    <col min="11268" max="11268" width="12.33203125" style="2006" customWidth="1"/>
    <col min="11269" max="11269" width="11" style="2006" customWidth="1"/>
    <col min="11270" max="11270" width="10.5546875" style="2006" customWidth="1"/>
    <col min="11271" max="11521" width="9.109375" style="2006"/>
    <col min="11522" max="11522" width="18" style="2006" customWidth="1"/>
    <col min="11523" max="11523" width="12.88671875" style="2006" customWidth="1"/>
    <col min="11524" max="11524" width="12.33203125" style="2006" customWidth="1"/>
    <col min="11525" max="11525" width="11" style="2006" customWidth="1"/>
    <col min="11526" max="11526" width="10.5546875" style="2006" customWidth="1"/>
    <col min="11527" max="11777" width="9.109375" style="2006"/>
    <col min="11778" max="11778" width="18" style="2006" customWidth="1"/>
    <col min="11779" max="11779" width="12.88671875" style="2006" customWidth="1"/>
    <col min="11780" max="11780" width="12.33203125" style="2006" customWidth="1"/>
    <col min="11781" max="11781" width="11" style="2006" customWidth="1"/>
    <col min="11782" max="11782" width="10.5546875" style="2006" customWidth="1"/>
    <col min="11783" max="12033" width="9.109375" style="2006"/>
    <col min="12034" max="12034" width="18" style="2006" customWidth="1"/>
    <col min="12035" max="12035" width="12.88671875" style="2006" customWidth="1"/>
    <col min="12036" max="12036" width="12.33203125" style="2006" customWidth="1"/>
    <col min="12037" max="12037" width="11" style="2006" customWidth="1"/>
    <col min="12038" max="12038" width="10.5546875" style="2006" customWidth="1"/>
    <col min="12039" max="12289" width="9.109375" style="2006"/>
    <col min="12290" max="12290" width="18" style="2006" customWidth="1"/>
    <col min="12291" max="12291" width="12.88671875" style="2006" customWidth="1"/>
    <col min="12292" max="12292" width="12.33203125" style="2006" customWidth="1"/>
    <col min="12293" max="12293" width="11" style="2006" customWidth="1"/>
    <col min="12294" max="12294" width="10.5546875" style="2006" customWidth="1"/>
    <col min="12295" max="12545" width="9.109375" style="2006"/>
    <col min="12546" max="12546" width="18" style="2006" customWidth="1"/>
    <col min="12547" max="12547" width="12.88671875" style="2006" customWidth="1"/>
    <col min="12548" max="12548" width="12.33203125" style="2006" customWidth="1"/>
    <col min="12549" max="12549" width="11" style="2006" customWidth="1"/>
    <col min="12550" max="12550" width="10.5546875" style="2006" customWidth="1"/>
    <col min="12551" max="12801" width="9.109375" style="2006"/>
    <col min="12802" max="12802" width="18" style="2006" customWidth="1"/>
    <col min="12803" max="12803" width="12.88671875" style="2006" customWidth="1"/>
    <col min="12804" max="12804" width="12.33203125" style="2006" customWidth="1"/>
    <col min="12805" max="12805" width="11" style="2006" customWidth="1"/>
    <col min="12806" max="12806" width="10.5546875" style="2006" customWidth="1"/>
    <col min="12807" max="13057" width="9.109375" style="2006"/>
    <col min="13058" max="13058" width="18" style="2006" customWidth="1"/>
    <col min="13059" max="13059" width="12.88671875" style="2006" customWidth="1"/>
    <col min="13060" max="13060" width="12.33203125" style="2006" customWidth="1"/>
    <col min="13061" max="13061" width="11" style="2006" customWidth="1"/>
    <col min="13062" max="13062" width="10.5546875" style="2006" customWidth="1"/>
    <col min="13063" max="13313" width="9.109375" style="2006"/>
    <col min="13314" max="13314" width="18" style="2006" customWidth="1"/>
    <col min="13315" max="13315" width="12.88671875" style="2006" customWidth="1"/>
    <col min="13316" max="13316" width="12.33203125" style="2006" customWidth="1"/>
    <col min="13317" max="13317" width="11" style="2006" customWidth="1"/>
    <col min="13318" max="13318" width="10.5546875" style="2006" customWidth="1"/>
    <col min="13319" max="13569" width="9.109375" style="2006"/>
    <col min="13570" max="13570" width="18" style="2006" customWidth="1"/>
    <col min="13571" max="13571" width="12.88671875" style="2006" customWidth="1"/>
    <col min="13572" max="13572" width="12.33203125" style="2006" customWidth="1"/>
    <col min="13573" max="13573" width="11" style="2006" customWidth="1"/>
    <col min="13574" max="13574" width="10.5546875" style="2006" customWidth="1"/>
    <col min="13575" max="13825" width="9.109375" style="2006"/>
    <col min="13826" max="13826" width="18" style="2006" customWidth="1"/>
    <col min="13827" max="13827" width="12.88671875" style="2006" customWidth="1"/>
    <col min="13828" max="13828" width="12.33203125" style="2006" customWidth="1"/>
    <col min="13829" max="13829" width="11" style="2006" customWidth="1"/>
    <col min="13830" max="13830" width="10.5546875" style="2006" customWidth="1"/>
    <col min="13831" max="14081" width="9.109375" style="2006"/>
    <col min="14082" max="14082" width="18" style="2006" customWidth="1"/>
    <col min="14083" max="14083" width="12.88671875" style="2006" customWidth="1"/>
    <col min="14084" max="14084" width="12.33203125" style="2006" customWidth="1"/>
    <col min="14085" max="14085" width="11" style="2006" customWidth="1"/>
    <col min="14086" max="14086" width="10.5546875" style="2006" customWidth="1"/>
    <col min="14087" max="14337" width="9.109375" style="2006"/>
    <col min="14338" max="14338" width="18" style="2006" customWidth="1"/>
    <col min="14339" max="14339" width="12.88671875" style="2006" customWidth="1"/>
    <col min="14340" max="14340" width="12.33203125" style="2006" customWidth="1"/>
    <col min="14341" max="14341" width="11" style="2006" customWidth="1"/>
    <col min="14342" max="14342" width="10.5546875" style="2006" customWidth="1"/>
    <col min="14343" max="14593" width="9.109375" style="2006"/>
    <col min="14594" max="14594" width="18" style="2006" customWidth="1"/>
    <col min="14595" max="14595" width="12.88671875" style="2006" customWidth="1"/>
    <col min="14596" max="14596" width="12.33203125" style="2006" customWidth="1"/>
    <col min="14597" max="14597" width="11" style="2006" customWidth="1"/>
    <col min="14598" max="14598" width="10.5546875" style="2006" customWidth="1"/>
    <col min="14599" max="14849" width="9.109375" style="2006"/>
    <col min="14850" max="14850" width="18" style="2006" customWidth="1"/>
    <col min="14851" max="14851" width="12.88671875" style="2006" customWidth="1"/>
    <col min="14852" max="14852" width="12.33203125" style="2006" customWidth="1"/>
    <col min="14853" max="14853" width="11" style="2006" customWidth="1"/>
    <col min="14854" max="14854" width="10.5546875" style="2006" customWidth="1"/>
    <col min="14855" max="15105" width="9.109375" style="2006"/>
    <col min="15106" max="15106" width="18" style="2006" customWidth="1"/>
    <col min="15107" max="15107" width="12.88671875" style="2006" customWidth="1"/>
    <col min="15108" max="15108" width="12.33203125" style="2006" customWidth="1"/>
    <col min="15109" max="15109" width="11" style="2006" customWidth="1"/>
    <col min="15110" max="15110" width="10.5546875" style="2006" customWidth="1"/>
    <col min="15111" max="15361" width="9.109375" style="2006"/>
    <col min="15362" max="15362" width="18" style="2006" customWidth="1"/>
    <col min="15363" max="15363" width="12.88671875" style="2006" customWidth="1"/>
    <col min="15364" max="15364" width="12.33203125" style="2006" customWidth="1"/>
    <col min="15365" max="15365" width="11" style="2006" customWidth="1"/>
    <col min="15366" max="15366" width="10.5546875" style="2006" customWidth="1"/>
    <col min="15367" max="15617" width="9.109375" style="2006"/>
    <col min="15618" max="15618" width="18" style="2006" customWidth="1"/>
    <col min="15619" max="15619" width="12.88671875" style="2006" customWidth="1"/>
    <col min="15620" max="15620" width="12.33203125" style="2006" customWidth="1"/>
    <col min="15621" max="15621" width="11" style="2006" customWidth="1"/>
    <col min="15622" max="15622" width="10.5546875" style="2006" customWidth="1"/>
    <col min="15623" max="15873" width="9.109375" style="2006"/>
    <col min="15874" max="15874" width="18" style="2006" customWidth="1"/>
    <col min="15875" max="15875" width="12.88671875" style="2006" customWidth="1"/>
    <col min="15876" max="15876" width="12.33203125" style="2006" customWidth="1"/>
    <col min="15877" max="15877" width="11" style="2006" customWidth="1"/>
    <col min="15878" max="15878" width="10.5546875" style="2006" customWidth="1"/>
    <col min="15879" max="16129" width="9.109375" style="2006"/>
    <col min="16130" max="16130" width="18" style="2006" customWidth="1"/>
    <col min="16131" max="16131" width="12.88671875" style="2006" customWidth="1"/>
    <col min="16132" max="16132" width="12.33203125" style="2006" customWidth="1"/>
    <col min="16133" max="16133" width="11" style="2006" customWidth="1"/>
    <col min="16134" max="16134" width="10.5546875" style="2006" customWidth="1"/>
    <col min="16135" max="16384" width="9.109375" style="2006"/>
  </cols>
  <sheetData>
    <row r="1" spans="1:12">
      <c r="G1" s="3379" t="s">
        <v>388</v>
      </c>
    </row>
    <row r="2" spans="1:12" ht="33.75" customHeight="1">
      <c r="A2" s="2340" t="s">
        <v>631</v>
      </c>
      <c r="B2" s="2340"/>
      <c r="C2" s="2340"/>
      <c r="D2" s="2340"/>
      <c r="E2" s="2340"/>
      <c r="F2" s="2340"/>
      <c r="G2" s="2340"/>
    </row>
    <row r="3" spans="1:12" ht="14.25" customHeight="1">
      <c r="A3" s="2341" t="s">
        <v>2487</v>
      </c>
      <c r="B3" s="2340"/>
      <c r="C3" s="2340"/>
      <c r="D3" s="2340"/>
      <c r="E3" s="2340"/>
      <c r="F3" s="2340"/>
      <c r="G3" s="2340"/>
    </row>
    <row r="4" spans="1:12" ht="14.25" customHeight="1">
      <c r="A4" s="2077" t="s">
        <v>2932</v>
      </c>
      <c r="B4" s="2340"/>
      <c r="C4" s="2340"/>
      <c r="D4" s="2340"/>
      <c r="E4" s="2340"/>
      <c r="F4" s="2340"/>
      <c r="G4" s="3384" t="s">
        <v>2389</v>
      </c>
    </row>
    <row r="5" spans="1:12" ht="66">
      <c r="A5" s="3976" t="s">
        <v>54</v>
      </c>
      <c r="B5" s="3976" t="s">
        <v>171</v>
      </c>
      <c r="C5" s="3976" t="s">
        <v>389</v>
      </c>
      <c r="D5" s="3976" t="s">
        <v>361</v>
      </c>
      <c r="E5" s="3386" t="s">
        <v>390</v>
      </c>
      <c r="F5" s="3386" t="s">
        <v>391</v>
      </c>
      <c r="G5" s="3386" t="s">
        <v>366</v>
      </c>
    </row>
    <row r="6" spans="1:12">
      <c r="A6" s="3977"/>
      <c r="B6" s="3977"/>
      <c r="C6" s="3977"/>
      <c r="D6" s="3991"/>
      <c r="E6" s="3386" t="s">
        <v>392</v>
      </c>
      <c r="F6" s="3386" t="s">
        <v>393</v>
      </c>
      <c r="G6" s="3386" t="s">
        <v>369</v>
      </c>
    </row>
    <row r="7" spans="1:12">
      <c r="A7" s="2707">
        <v>1</v>
      </c>
      <c r="B7" s="2707">
        <v>2</v>
      </c>
      <c r="C7" s="2707">
        <v>3</v>
      </c>
      <c r="D7" s="2707">
        <v>4</v>
      </c>
      <c r="E7" s="2707">
        <v>5</v>
      </c>
      <c r="F7" s="2707">
        <v>6</v>
      </c>
      <c r="G7" s="2707" t="s">
        <v>394</v>
      </c>
    </row>
    <row r="8" spans="1:12">
      <c r="A8" s="3978">
        <v>1</v>
      </c>
      <c r="B8" s="3983" t="s">
        <v>395</v>
      </c>
      <c r="C8" s="3983" t="s">
        <v>396</v>
      </c>
      <c r="D8" s="2297">
        <v>1150</v>
      </c>
      <c r="E8" s="2298">
        <v>1000</v>
      </c>
      <c r="F8" s="2299"/>
      <c r="G8" s="2299"/>
    </row>
    <row r="9" spans="1:12">
      <c r="A9" s="3978"/>
      <c r="B9" s="3983"/>
      <c r="C9" s="3983"/>
      <c r="D9" s="2297">
        <v>750</v>
      </c>
      <c r="E9" s="2298">
        <v>600</v>
      </c>
      <c r="F9" s="2299"/>
      <c r="G9" s="2299"/>
    </row>
    <row r="10" spans="1:12">
      <c r="A10" s="3978"/>
      <c r="B10" s="3983"/>
      <c r="C10" s="3983"/>
      <c r="D10" s="2299" t="s">
        <v>397</v>
      </c>
      <c r="E10" s="2298">
        <v>500</v>
      </c>
      <c r="F10" s="2299"/>
      <c r="G10" s="2299"/>
    </row>
    <row r="11" spans="1:12">
      <c r="A11" s="3978"/>
      <c r="B11" s="3983"/>
      <c r="C11" s="3983"/>
      <c r="D11" s="2299">
        <v>330</v>
      </c>
      <c r="E11" s="2298">
        <v>250</v>
      </c>
      <c r="F11" s="2299"/>
      <c r="G11" s="2299"/>
      <c r="J11" s="2006" t="s">
        <v>2388</v>
      </c>
      <c r="L11" s="2006" t="s">
        <v>1608</v>
      </c>
    </row>
    <row r="12" spans="1:12">
      <c r="A12" s="3978"/>
      <c r="B12" s="3983"/>
      <c r="C12" s="3983"/>
      <c r="D12" s="2299">
        <v>220</v>
      </c>
      <c r="E12" s="2298">
        <v>210</v>
      </c>
      <c r="F12" s="2299">
        <v>1</v>
      </c>
      <c r="G12" s="2660">
        <v>210</v>
      </c>
      <c r="I12" s="2006">
        <v>1</v>
      </c>
      <c r="J12" s="2006">
        <v>0</v>
      </c>
      <c r="K12" s="2006">
        <v>0</v>
      </c>
      <c r="L12" s="2006">
        <v>0</v>
      </c>
    </row>
    <row r="13" spans="1:12">
      <c r="A13" s="3978"/>
      <c r="B13" s="3983"/>
      <c r="C13" s="3983"/>
      <c r="D13" s="2299" t="s">
        <v>398</v>
      </c>
      <c r="E13" s="2298">
        <v>105</v>
      </c>
      <c r="F13" s="2714"/>
      <c r="G13" s="2660">
        <v>0</v>
      </c>
      <c r="J13" s="2006">
        <v>0</v>
      </c>
      <c r="K13" s="2006">
        <v>0</v>
      </c>
      <c r="L13" s="2006">
        <v>0</v>
      </c>
    </row>
    <row r="14" spans="1:12">
      <c r="A14" s="3978"/>
      <c r="B14" s="3983"/>
      <c r="C14" s="3983"/>
      <c r="D14" s="2299">
        <v>35</v>
      </c>
      <c r="E14" s="2298">
        <v>75</v>
      </c>
      <c r="F14" s="2714"/>
      <c r="G14" s="2660">
        <v>0</v>
      </c>
      <c r="J14" s="2006">
        <v>0</v>
      </c>
      <c r="K14" s="2006">
        <v>0</v>
      </c>
      <c r="L14" s="2006">
        <v>0</v>
      </c>
    </row>
    <row r="15" spans="1:12" ht="12.75" customHeight="1">
      <c r="A15" s="3978">
        <v>2</v>
      </c>
      <c r="B15" s="3990" t="s">
        <v>399</v>
      </c>
      <c r="C15" s="3983" t="s">
        <v>400</v>
      </c>
      <c r="D15" s="2297">
        <v>1150</v>
      </c>
      <c r="E15" s="2298">
        <v>60</v>
      </c>
      <c r="F15" s="2714"/>
      <c r="G15" s="2660"/>
      <c r="J15" s="2006">
        <v>0</v>
      </c>
      <c r="K15" s="2006">
        <v>0</v>
      </c>
      <c r="L15" s="2006">
        <v>0</v>
      </c>
    </row>
    <row r="16" spans="1:12">
      <c r="A16" s="3978"/>
      <c r="B16" s="3990"/>
      <c r="C16" s="3990"/>
      <c r="D16" s="2297">
        <v>750</v>
      </c>
      <c r="E16" s="2298">
        <v>43</v>
      </c>
      <c r="F16" s="2714"/>
      <c r="G16" s="2660"/>
      <c r="J16" s="2006">
        <v>0</v>
      </c>
      <c r="K16" s="2006">
        <v>0</v>
      </c>
      <c r="L16" s="2006">
        <v>0</v>
      </c>
    </row>
    <row r="17" spans="1:12">
      <c r="A17" s="3978"/>
      <c r="B17" s="3990"/>
      <c r="C17" s="3990"/>
      <c r="D17" s="2299" t="s">
        <v>397</v>
      </c>
      <c r="E17" s="2298">
        <v>28</v>
      </c>
      <c r="F17" s="2714"/>
      <c r="G17" s="2660"/>
      <c r="J17" s="2006">
        <v>0</v>
      </c>
      <c r="K17" s="2006">
        <v>0</v>
      </c>
      <c r="L17" s="2006">
        <v>0</v>
      </c>
    </row>
    <row r="18" spans="1:12">
      <c r="A18" s="3978"/>
      <c r="B18" s="3990"/>
      <c r="C18" s="3990"/>
      <c r="D18" s="2299">
        <v>330</v>
      </c>
      <c r="E18" s="2298">
        <v>18</v>
      </c>
      <c r="F18" s="2714"/>
      <c r="G18" s="2660"/>
      <c r="J18" s="2006">
        <v>0</v>
      </c>
      <c r="K18" s="2006">
        <v>0</v>
      </c>
      <c r="L18" s="2006">
        <v>0</v>
      </c>
    </row>
    <row r="19" spans="1:12">
      <c r="A19" s="3978"/>
      <c r="B19" s="3990"/>
      <c r="C19" s="3990"/>
      <c r="D19" s="2299">
        <v>220</v>
      </c>
      <c r="E19" s="2298">
        <v>14</v>
      </c>
      <c r="F19" s="2714">
        <v>2</v>
      </c>
      <c r="G19" s="2660">
        <v>28</v>
      </c>
      <c r="I19" s="2006">
        <v>2</v>
      </c>
      <c r="J19" s="2006">
        <v>0</v>
      </c>
      <c r="K19" s="2006">
        <v>0</v>
      </c>
      <c r="L19" s="2006">
        <v>0</v>
      </c>
    </row>
    <row r="20" spans="1:12">
      <c r="A20" s="3978"/>
      <c r="B20" s="3990"/>
      <c r="C20" s="3990"/>
      <c r="D20" s="2299" t="s">
        <v>398</v>
      </c>
      <c r="E20" s="2298">
        <v>7.8</v>
      </c>
      <c r="F20" s="2714"/>
      <c r="G20" s="2660">
        <v>0</v>
      </c>
      <c r="J20" s="2006">
        <v>0</v>
      </c>
      <c r="K20" s="2006">
        <v>0</v>
      </c>
      <c r="L20" s="2006">
        <v>0</v>
      </c>
    </row>
    <row r="21" spans="1:12">
      <c r="A21" s="3978"/>
      <c r="B21" s="3990"/>
      <c r="C21" s="3990"/>
      <c r="D21" s="2299">
        <v>35</v>
      </c>
      <c r="E21" s="2298">
        <v>2.1</v>
      </c>
      <c r="F21" s="2299"/>
      <c r="G21" s="2660">
        <v>0</v>
      </c>
      <c r="J21" s="2006">
        <v>0</v>
      </c>
      <c r="K21" s="2006">
        <v>0</v>
      </c>
      <c r="L21" s="2006">
        <v>0</v>
      </c>
    </row>
    <row r="22" spans="1:12">
      <c r="A22" s="3978"/>
      <c r="B22" s="3990"/>
      <c r="C22" s="3983"/>
      <c r="D22" s="3411" t="s">
        <v>401</v>
      </c>
      <c r="E22" s="3412">
        <v>1</v>
      </c>
      <c r="F22" s="2299">
        <v>18</v>
      </c>
      <c r="G22" s="2660">
        <v>18</v>
      </c>
      <c r="I22" s="2006">
        <v>22</v>
      </c>
      <c r="J22" s="2006">
        <v>0</v>
      </c>
      <c r="K22" s="2006">
        <v>-4</v>
      </c>
      <c r="L22" s="2006">
        <v>0</v>
      </c>
    </row>
    <row r="23" spans="1:12" ht="12.75" customHeight="1">
      <c r="A23" s="3978">
        <v>3</v>
      </c>
      <c r="B23" s="3990" t="s">
        <v>402</v>
      </c>
      <c r="C23" s="3983" t="s">
        <v>403</v>
      </c>
      <c r="D23" s="2297">
        <v>1150</v>
      </c>
      <c r="E23" s="2299">
        <v>180</v>
      </c>
      <c r="F23" s="2299"/>
      <c r="G23" s="2299"/>
      <c r="J23" s="2006">
        <v>0</v>
      </c>
      <c r="K23" s="2006">
        <v>0</v>
      </c>
      <c r="L23" s="2006">
        <v>0</v>
      </c>
    </row>
    <row r="24" spans="1:12">
      <c r="A24" s="3978"/>
      <c r="B24" s="3990"/>
      <c r="C24" s="3990"/>
      <c r="D24" s="2297">
        <v>750</v>
      </c>
      <c r="E24" s="2299">
        <v>130</v>
      </c>
      <c r="F24" s="2299"/>
      <c r="G24" s="2299"/>
      <c r="J24" s="2006">
        <v>0</v>
      </c>
      <c r="K24" s="2006">
        <v>0</v>
      </c>
      <c r="L24" s="2006">
        <v>0</v>
      </c>
    </row>
    <row r="25" spans="1:12">
      <c r="A25" s="3978"/>
      <c r="B25" s="3990"/>
      <c r="C25" s="3990"/>
      <c r="D25" s="2299" t="s">
        <v>397</v>
      </c>
      <c r="E25" s="2298">
        <v>88</v>
      </c>
      <c r="F25" s="2299"/>
      <c r="G25" s="2299"/>
      <c r="J25" s="2006">
        <v>0</v>
      </c>
      <c r="K25" s="2006">
        <v>0</v>
      </c>
      <c r="L25" s="2006">
        <v>0</v>
      </c>
    </row>
    <row r="26" spans="1:12">
      <c r="A26" s="3978"/>
      <c r="B26" s="3990"/>
      <c r="C26" s="3990"/>
      <c r="D26" s="2299">
        <v>330</v>
      </c>
      <c r="E26" s="2298">
        <v>66</v>
      </c>
      <c r="F26" s="2299"/>
      <c r="G26" s="2299"/>
      <c r="J26" s="2006">
        <v>0</v>
      </c>
      <c r="K26" s="2006">
        <v>0</v>
      </c>
      <c r="L26" s="2006">
        <v>0</v>
      </c>
    </row>
    <row r="27" spans="1:12">
      <c r="A27" s="3978"/>
      <c r="B27" s="3990"/>
      <c r="C27" s="3990"/>
      <c r="D27" s="2299">
        <v>220</v>
      </c>
      <c r="E27" s="2298">
        <v>43</v>
      </c>
      <c r="F27" s="2299"/>
      <c r="G27" s="2299"/>
      <c r="J27" s="2006">
        <v>0</v>
      </c>
      <c r="K27" s="2006">
        <v>0</v>
      </c>
      <c r="L27" s="2006">
        <v>0</v>
      </c>
    </row>
    <row r="28" spans="1:12">
      <c r="A28" s="3978"/>
      <c r="B28" s="3990"/>
      <c r="C28" s="3990"/>
      <c r="D28" s="2299" t="s">
        <v>398</v>
      </c>
      <c r="E28" s="2298">
        <v>26</v>
      </c>
      <c r="F28" s="2299"/>
      <c r="G28" s="2299"/>
      <c r="J28" s="2006">
        <v>0</v>
      </c>
      <c r="K28" s="2006">
        <v>0</v>
      </c>
      <c r="L28" s="2006">
        <v>0</v>
      </c>
    </row>
    <row r="29" spans="1:12">
      <c r="A29" s="3978"/>
      <c r="B29" s="3990"/>
      <c r="C29" s="3990"/>
      <c r="D29" s="2299">
        <v>35</v>
      </c>
      <c r="E29" s="2298">
        <v>11</v>
      </c>
      <c r="F29" s="2299"/>
      <c r="G29" s="2299"/>
      <c r="J29" s="2006">
        <v>0</v>
      </c>
      <c r="K29" s="2006">
        <v>0</v>
      </c>
      <c r="L29" s="2006">
        <v>0</v>
      </c>
    </row>
    <row r="30" spans="1:12">
      <c r="A30" s="3978"/>
      <c r="B30" s="3990"/>
      <c r="C30" s="3983"/>
      <c r="D30" s="3411" t="s">
        <v>401</v>
      </c>
      <c r="E30" s="2298">
        <v>5.5</v>
      </c>
      <c r="F30" s="2299">
        <v>9</v>
      </c>
      <c r="G30" s="2660">
        <v>49.5</v>
      </c>
      <c r="I30" s="2006">
        <v>9</v>
      </c>
      <c r="J30" s="2006">
        <v>0</v>
      </c>
      <c r="K30" s="2006">
        <v>0</v>
      </c>
      <c r="L30" s="2006">
        <v>0</v>
      </c>
    </row>
    <row r="31" spans="1:12" ht="12.75" customHeight="1">
      <c r="A31" s="3978">
        <v>4</v>
      </c>
      <c r="B31" s="3983" t="s">
        <v>500</v>
      </c>
      <c r="C31" s="3983" t="s">
        <v>404</v>
      </c>
      <c r="D31" s="2299">
        <v>220</v>
      </c>
      <c r="E31" s="2299">
        <v>23</v>
      </c>
      <c r="F31" s="2299"/>
      <c r="G31" s="2299"/>
      <c r="J31" s="2006">
        <v>0</v>
      </c>
      <c r="K31" s="2006">
        <v>0</v>
      </c>
      <c r="L31" s="2006">
        <v>0</v>
      </c>
    </row>
    <row r="32" spans="1:12">
      <c r="A32" s="3978"/>
      <c r="B32" s="3983"/>
      <c r="C32" s="3983"/>
      <c r="D32" s="2299" t="s">
        <v>398</v>
      </c>
      <c r="E32" s="2299">
        <v>14</v>
      </c>
      <c r="F32" s="2299"/>
      <c r="G32" s="2706">
        <v>0</v>
      </c>
      <c r="J32" s="2006">
        <v>0</v>
      </c>
      <c r="K32" s="2006">
        <v>0</v>
      </c>
      <c r="L32" s="2006">
        <v>0</v>
      </c>
    </row>
    <row r="33" spans="1:16">
      <c r="A33" s="3978"/>
      <c r="B33" s="3983"/>
      <c r="C33" s="3983"/>
      <c r="D33" s="2299">
        <v>35</v>
      </c>
      <c r="E33" s="2299">
        <v>6.4</v>
      </c>
      <c r="F33" s="2299"/>
      <c r="G33" s="2299"/>
      <c r="J33" s="2006">
        <v>0</v>
      </c>
      <c r="K33" s="2006">
        <v>0</v>
      </c>
      <c r="L33" s="2006">
        <v>0</v>
      </c>
    </row>
    <row r="34" spans="1:16">
      <c r="A34" s="3978"/>
      <c r="B34" s="3983"/>
      <c r="C34" s="3983"/>
      <c r="D34" s="3411" t="s">
        <v>401</v>
      </c>
      <c r="E34" s="2299">
        <v>3.1</v>
      </c>
      <c r="F34" s="2715">
        <v>50</v>
      </c>
      <c r="G34" s="2660">
        <v>155</v>
      </c>
      <c r="I34" s="2006">
        <v>50</v>
      </c>
      <c r="J34" s="2006">
        <v>0</v>
      </c>
      <c r="K34" s="2006">
        <v>0</v>
      </c>
      <c r="L34" s="2006">
        <v>0</v>
      </c>
    </row>
    <row r="35" spans="1:16" ht="12.75" customHeight="1">
      <c r="A35" s="3978">
        <v>5</v>
      </c>
      <c r="B35" s="3983" t="s">
        <v>405</v>
      </c>
      <c r="C35" s="3983" t="s">
        <v>400</v>
      </c>
      <c r="D35" s="2299" t="s">
        <v>397</v>
      </c>
      <c r="E35" s="2298">
        <v>35</v>
      </c>
      <c r="F35" s="2299"/>
      <c r="G35" s="2299"/>
      <c r="I35" s="2006">
        <v>0</v>
      </c>
      <c r="J35" s="2006">
        <v>0</v>
      </c>
      <c r="K35" s="2006">
        <v>0</v>
      </c>
      <c r="L35" s="2006">
        <v>0</v>
      </c>
    </row>
    <row r="36" spans="1:16">
      <c r="A36" s="3978"/>
      <c r="B36" s="3983"/>
      <c r="C36" s="3983"/>
      <c r="D36" s="2299">
        <v>330</v>
      </c>
      <c r="E36" s="2299">
        <v>24</v>
      </c>
      <c r="F36" s="2299"/>
      <c r="G36" s="2299"/>
      <c r="I36" s="2006">
        <v>0</v>
      </c>
      <c r="J36" s="2006">
        <v>0</v>
      </c>
      <c r="K36" s="2006">
        <v>0</v>
      </c>
      <c r="L36" s="2006">
        <v>0</v>
      </c>
    </row>
    <row r="37" spans="1:16">
      <c r="A37" s="3978"/>
      <c r="B37" s="3983"/>
      <c r="C37" s="3983"/>
      <c r="D37" s="2299">
        <v>220</v>
      </c>
      <c r="E37" s="2299">
        <v>19</v>
      </c>
      <c r="F37" s="2299">
        <v>3</v>
      </c>
      <c r="G37" s="2660">
        <v>57</v>
      </c>
      <c r="H37" s="2006" t="s">
        <v>2508</v>
      </c>
      <c r="I37" s="2006">
        <v>3</v>
      </c>
      <c r="J37" s="2006">
        <v>0</v>
      </c>
      <c r="K37" s="2006">
        <v>0</v>
      </c>
      <c r="L37" s="2006">
        <v>0</v>
      </c>
    </row>
    <row r="38" spans="1:16">
      <c r="A38" s="3978"/>
      <c r="B38" s="3983"/>
      <c r="C38" s="3983"/>
      <c r="D38" s="2299" t="s">
        <v>398</v>
      </c>
      <c r="E38" s="2299">
        <v>9.5</v>
      </c>
      <c r="F38" s="2714"/>
      <c r="G38" s="2660">
        <v>0</v>
      </c>
      <c r="I38" s="2006">
        <v>0</v>
      </c>
      <c r="J38" s="2006">
        <v>0</v>
      </c>
      <c r="K38" s="2006">
        <v>0</v>
      </c>
      <c r="L38" s="2006">
        <v>0</v>
      </c>
    </row>
    <row r="39" spans="1:16">
      <c r="A39" s="3978"/>
      <c r="B39" s="3983"/>
      <c r="C39" s="3983"/>
      <c r="D39" s="2299">
        <v>35</v>
      </c>
      <c r="E39" s="2299">
        <v>4.7</v>
      </c>
      <c r="F39" s="2299"/>
      <c r="G39" s="2660">
        <v>0</v>
      </c>
      <c r="I39" s="2006">
        <v>0</v>
      </c>
      <c r="J39" s="2006">
        <v>0</v>
      </c>
      <c r="K39" s="2006">
        <v>0</v>
      </c>
      <c r="L39" s="2006">
        <v>0</v>
      </c>
    </row>
    <row r="40" spans="1:16" ht="26.4">
      <c r="A40" s="2298">
        <v>6</v>
      </c>
      <c r="B40" s="2299" t="s">
        <v>406</v>
      </c>
      <c r="C40" s="2299" t="s">
        <v>404</v>
      </c>
      <c r="D40" s="3413" t="s">
        <v>401</v>
      </c>
      <c r="E40" s="2299">
        <v>2.2999999999999998</v>
      </c>
      <c r="F40" s="2714">
        <v>5</v>
      </c>
      <c r="G40" s="2706">
        <v>11.5</v>
      </c>
      <c r="I40" s="2006">
        <v>5</v>
      </c>
      <c r="J40" s="2006">
        <v>0</v>
      </c>
      <c r="K40" s="2006">
        <v>0</v>
      </c>
      <c r="L40" s="2006">
        <v>3</v>
      </c>
    </row>
    <row r="41" spans="1:16" ht="39.6">
      <c r="A41" s="2298">
        <v>7</v>
      </c>
      <c r="B41" s="2299" t="s">
        <v>407</v>
      </c>
      <c r="C41" s="2299" t="s">
        <v>404</v>
      </c>
      <c r="D41" s="3413" t="s">
        <v>401</v>
      </c>
      <c r="E41" s="2299">
        <v>26</v>
      </c>
      <c r="F41" s="2299"/>
      <c r="G41" s="2299"/>
      <c r="J41" s="2006">
        <v>0</v>
      </c>
      <c r="K41" s="2006">
        <v>0</v>
      </c>
      <c r="L41" s="2006">
        <v>0</v>
      </c>
    </row>
    <row r="42" spans="1:16" ht="26.4">
      <c r="A42" s="2298">
        <v>8</v>
      </c>
      <c r="B42" s="2299" t="s">
        <v>408</v>
      </c>
      <c r="C42" s="2299" t="s">
        <v>404</v>
      </c>
      <c r="D42" s="3413" t="s">
        <v>401</v>
      </c>
      <c r="E42" s="2299">
        <v>48</v>
      </c>
      <c r="F42" s="2299"/>
      <c r="G42" s="2299"/>
      <c r="J42" s="2006">
        <v>0</v>
      </c>
      <c r="K42" s="2006">
        <v>0</v>
      </c>
      <c r="L42" s="2006">
        <v>0</v>
      </c>
    </row>
    <row r="43" spans="1:16" ht="12.75" customHeight="1">
      <c r="A43" s="3978">
        <v>9</v>
      </c>
      <c r="B43" s="3983" t="s">
        <v>409</v>
      </c>
      <c r="C43" s="3983" t="s">
        <v>410</v>
      </c>
      <c r="D43" s="2299">
        <v>35</v>
      </c>
      <c r="E43" s="2299">
        <v>2.4</v>
      </c>
      <c r="F43" s="2299"/>
      <c r="G43" s="2299"/>
      <c r="J43" s="2006">
        <v>0</v>
      </c>
      <c r="K43" s="2006">
        <v>0</v>
      </c>
      <c r="L43" s="2006">
        <v>0</v>
      </c>
    </row>
    <row r="44" spans="1:16">
      <c r="A44" s="3978"/>
      <c r="B44" s="3983"/>
      <c r="C44" s="3983"/>
      <c r="D44" s="3413" t="s">
        <v>401</v>
      </c>
      <c r="E44" s="2299">
        <v>2.4</v>
      </c>
      <c r="F44" s="2299"/>
      <c r="G44" s="2660">
        <v>0</v>
      </c>
      <c r="J44" s="2006">
        <v>0</v>
      </c>
      <c r="K44" s="2006">
        <v>0</v>
      </c>
      <c r="L44" s="2006">
        <v>0</v>
      </c>
    </row>
    <row r="45" spans="1:16" ht="26.4">
      <c r="A45" s="2298">
        <v>10</v>
      </c>
      <c r="B45" s="2299" t="s">
        <v>411</v>
      </c>
      <c r="C45" s="2299" t="s">
        <v>412</v>
      </c>
      <c r="D45" s="3413" t="s">
        <v>401</v>
      </c>
      <c r="E45" s="2299">
        <v>2.5</v>
      </c>
      <c r="F45" s="2714"/>
      <c r="G45" s="2706">
        <v>0</v>
      </c>
      <c r="J45" s="2006">
        <v>0</v>
      </c>
      <c r="K45" s="2006">
        <v>0</v>
      </c>
      <c r="L45" s="2006">
        <v>0</v>
      </c>
    </row>
    <row r="46" spans="1:16" ht="26.4">
      <c r="A46" s="2298">
        <v>11</v>
      </c>
      <c r="B46" s="2299" t="s">
        <v>413</v>
      </c>
      <c r="C46" s="2299" t="s">
        <v>414</v>
      </c>
      <c r="D46" s="3413" t="s">
        <v>401</v>
      </c>
      <c r="E46" s="2299">
        <v>2.2999999999999998</v>
      </c>
      <c r="F46" s="3414">
        <v>1</v>
      </c>
      <c r="G46" s="2706">
        <v>2.2999999999999998</v>
      </c>
      <c r="I46" s="2006">
        <v>2</v>
      </c>
      <c r="J46" s="2006">
        <v>0</v>
      </c>
      <c r="K46" s="2006">
        <v>-1</v>
      </c>
      <c r="L46" s="2006">
        <v>2</v>
      </c>
      <c r="O46" s="2327"/>
      <c r="P46" s="3415" t="s">
        <v>2859</v>
      </c>
    </row>
    <row r="47" spans="1:16" ht="26.4">
      <c r="A47" s="2298">
        <v>12</v>
      </c>
      <c r="B47" s="2299" t="s">
        <v>415</v>
      </c>
      <c r="C47" s="2299" t="s">
        <v>414</v>
      </c>
      <c r="D47" s="3413" t="s">
        <v>401</v>
      </c>
      <c r="E47" s="2299">
        <v>3</v>
      </c>
      <c r="F47" s="2299">
        <v>9</v>
      </c>
      <c r="G47" s="2706">
        <v>27</v>
      </c>
      <c r="I47" s="2006">
        <v>10</v>
      </c>
      <c r="J47" s="2006">
        <v>2</v>
      </c>
      <c r="K47" s="2006">
        <v>-1</v>
      </c>
      <c r="L47" s="2006">
        <v>0</v>
      </c>
    </row>
    <row r="48" spans="1:16" ht="39.6">
      <c r="A48" s="2298">
        <v>13</v>
      </c>
      <c r="B48" s="2299" t="s">
        <v>1489</v>
      </c>
      <c r="C48" s="2299" t="s">
        <v>417</v>
      </c>
      <c r="D48" s="2299">
        <v>35</v>
      </c>
      <c r="E48" s="2299">
        <v>3.5</v>
      </c>
      <c r="F48" s="2299"/>
      <c r="G48" s="2299"/>
      <c r="J48" s="2006">
        <v>558.29999999999995</v>
      </c>
    </row>
    <row r="49" spans="1:11">
      <c r="A49" s="3978" t="s">
        <v>418</v>
      </c>
      <c r="B49" s="3983" t="s">
        <v>419</v>
      </c>
      <c r="C49" s="3983"/>
      <c r="D49" s="2299" t="s">
        <v>697</v>
      </c>
      <c r="E49" s="2660">
        <v>0</v>
      </c>
      <c r="F49" s="2660">
        <v>0</v>
      </c>
      <c r="G49" s="2660">
        <v>295</v>
      </c>
    </row>
    <row r="50" spans="1:11">
      <c r="A50" s="3978"/>
      <c r="B50" s="3983"/>
      <c r="C50" s="3983"/>
      <c r="D50" s="2299" t="s">
        <v>239</v>
      </c>
      <c r="E50" s="2660">
        <v>0</v>
      </c>
      <c r="F50" s="2660">
        <v>0</v>
      </c>
      <c r="G50" s="2660">
        <v>263.3</v>
      </c>
    </row>
    <row r="51" spans="1:11">
      <c r="A51" s="3978"/>
      <c r="B51" s="3983"/>
      <c r="C51" s="3983"/>
      <c r="D51" s="2299" t="s">
        <v>681</v>
      </c>
      <c r="E51" s="2660">
        <v>0</v>
      </c>
      <c r="F51" s="2660">
        <v>0</v>
      </c>
      <c r="G51" s="3416">
        <v>0</v>
      </c>
      <c r="J51" s="3417">
        <v>558.29999999999995</v>
      </c>
      <c r="K51" s="3418">
        <v>501.3</v>
      </c>
    </row>
    <row r="52" spans="1:11">
      <c r="A52" s="3419"/>
      <c r="B52" s="3401"/>
      <c r="C52" s="3401"/>
      <c r="D52" s="3401"/>
      <c r="E52" s="3419"/>
      <c r="F52" s="3419"/>
      <c r="G52" s="3401"/>
    </row>
    <row r="53" spans="1:11" hidden="1">
      <c r="A53" s="2006" t="s">
        <v>663</v>
      </c>
    </row>
    <row r="54" spans="1:11" ht="21.75" hidden="1" customHeight="1">
      <c r="A54" s="3989" t="s">
        <v>1123</v>
      </c>
      <c r="B54" s="3989"/>
      <c r="C54" s="3989"/>
      <c r="D54" s="3989"/>
      <c r="E54" s="3989"/>
      <c r="F54" s="3989"/>
      <c r="G54" s="3989"/>
    </row>
    <row r="55" spans="1:11" ht="39.75" hidden="1" customHeight="1">
      <c r="A55" s="3989" t="s">
        <v>1124</v>
      </c>
      <c r="B55" s="3989"/>
      <c r="C55" s="3989"/>
      <c r="D55" s="3989"/>
      <c r="E55" s="3989"/>
      <c r="F55" s="3989"/>
      <c r="G55" s="3989"/>
    </row>
    <row r="56" spans="1:11" ht="31.5" hidden="1" customHeight="1">
      <c r="A56" s="3989" t="s">
        <v>1125</v>
      </c>
      <c r="B56" s="3989"/>
      <c r="C56" s="3989"/>
      <c r="D56" s="3989"/>
      <c r="E56" s="3989"/>
      <c r="F56" s="3989"/>
      <c r="G56" s="3989"/>
    </row>
    <row r="57" spans="1:11" ht="41.25" hidden="1" customHeight="1">
      <c r="A57" s="3989" t="s">
        <v>1126</v>
      </c>
      <c r="B57" s="3989"/>
      <c r="C57" s="3989"/>
      <c r="D57" s="3989"/>
      <c r="E57" s="3989"/>
      <c r="F57" s="3989"/>
      <c r="G57" s="3989"/>
    </row>
    <row r="58" spans="1:11" ht="46.5" hidden="1" customHeight="1">
      <c r="A58" s="3989" t="s">
        <v>1127</v>
      </c>
      <c r="B58" s="3989"/>
      <c r="C58" s="3989"/>
      <c r="D58" s="3989"/>
      <c r="E58" s="3989"/>
      <c r="F58" s="3989"/>
      <c r="G58" s="3989"/>
    </row>
    <row r="59" spans="1:11" ht="45.75" hidden="1" customHeight="1">
      <c r="A59" s="3989" t="s">
        <v>1128</v>
      </c>
      <c r="B59" s="3989"/>
      <c r="C59" s="3989"/>
      <c r="D59" s="3989"/>
      <c r="E59" s="3989"/>
      <c r="F59" s="3989"/>
      <c r="G59" s="3989"/>
    </row>
    <row r="60" spans="1:11" ht="27.75" hidden="1" customHeight="1">
      <c r="A60" s="3989" t="s">
        <v>1129</v>
      </c>
      <c r="B60" s="3989"/>
      <c r="C60" s="3989"/>
      <c r="D60" s="3989"/>
      <c r="E60" s="3989"/>
      <c r="F60" s="3989"/>
      <c r="G60" s="3989"/>
    </row>
    <row r="61" spans="1:11" ht="28.5" hidden="1" customHeight="1">
      <c r="A61" s="3989" t="s">
        <v>1130</v>
      </c>
      <c r="B61" s="3989"/>
      <c r="C61" s="3989"/>
      <c r="D61" s="3989"/>
      <c r="E61" s="3989"/>
      <c r="F61" s="3989"/>
      <c r="G61" s="3989"/>
    </row>
    <row r="62" spans="1:11" ht="33.75" hidden="1" customHeight="1">
      <c r="A62" s="3989" t="s">
        <v>1131</v>
      </c>
      <c r="B62" s="3989"/>
      <c r="C62" s="3989"/>
      <c r="D62" s="3989"/>
      <c r="E62" s="3989"/>
      <c r="F62" s="3989"/>
      <c r="G62" s="3989"/>
    </row>
    <row r="63" spans="1:11" s="2171" customFormat="1" ht="23.25" customHeight="1">
      <c r="A63" s="3404" t="s">
        <v>1266</v>
      </c>
      <c r="B63" s="3404"/>
      <c r="C63" s="3405"/>
      <c r="H63" s="3406"/>
    </row>
    <row r="64" spans="1:11" s="2171" customFormat="1" ht="15" customHeight="1">
      <c r="A64" s="3404" t="s">
        <v>1304</v>
      </c>
      <c r="B64" s="3407"/>
      <c r="C64" s="3405"/>
      <c r="G64" s="3408" t="s">
        <v>2876</v>
      </c>
    </row>
    <row r="65" spans="1:7" s="2009" customFormat="1"/>
    <row r="66" spans="1:7" s="2009" customFormat="1">
      <c r="A66" s="3410"/>
    </row>
    <row r="67" spans="1:7" s="2009" customFormat="1">
      <c r="A67" s="3410"/>
    </row>
    <row r="68" spans="1:7" ht="58.5" customHeight="1">
      <c r="A68" s="3989"/>
      <c r="B68" s="3989"/>
      <c r="C68" s="3989"/>
      <c r="D68" s="3989"/>
      <c r="E68" s="3989"/>
      <c r="F68" s="3989"/>
      <c r="G68" s="3989"/>
    </row>
    <row r="69" spans="1:7" ht="53.25" customHeight="1">
      <c r="A69" s="3989"/>
      <c r="B69" s="3989"/>
      <c r="C69" s="3989"/>
      <c r="D69" s="3989"/>
      <c r="E69" s="3989"/>
      <c r="F69" s="3989"/>
      <c r="G69" s="3989"/>
    </row>
    <row r="70" spans="1:7" ht="31.5" customHeight="1">
      <c r="A70" s="3989"/>
      <c r="B70" s="3989"/>
      <c r="C70" s="3989"/>
      <c r="D70" s="3989"/>
      <c r="E70" s="3989"/>
      <c r="F70" s="3989"/>
      <c r="G70" s="3989"/>
    </row>
    <row r="71" spans="1:7" ht="27.75" customHeight="1">
      <c r="A71" s="3989"/>
      <c r="B71" s="3989"/>
      <c r="C71" s="3989"/>
      <c r="D71" s="3989"/>
      <c r="E71" s="3989"/>
      <c r="F71" s="3989"/>
      <c r="G71" s="3989"/>
    </row>
  </sheetData>
  <mergeCells count="37">
    <mergeCell ref="D5:D6"/>
    <mergeCell ref="A15:A22"/>
    <mergeCell ref="B15:B22"/>
    <mergeCell ref="C15:C22"/>
    <mergeCell ref="A8:A14"/>
    <mergeCell ref="B8:B14"/>
    <mergeCell ref="C8:C14"/>
    <mergeCell ref="A5:A6"/>
    <mergeCell ref="B5:B6"/>
    <mergeCell ref="C5:C6"/>
    <mergeCell ref="A23:A30"/>
    <mergeCell ref="B23:B30"/>
    <mergeCell ref="C23:C30"/>
    <mergeCell ref="A58:G58"/>
    <mergeCell ref="A59:G59"/>
    <mergeCell ref="A31:A34"/>
    <mergeCell ref="B31:B34"/>
    <mergeCell ref="C31:C34"/>
    <mergeCell ref="A35:A39"/>
    <mergeCell ref="B35:B39"/>
    <mergeCell ref="C35:C39"/>
    <mergeCell ref="A43:A44"/>
    <mergeCell ref="B43:B44"/>
    <mergeCell ref="C43:C44"/>
    <mergeCell ref="A71:G71"/>
    <mergeCell ref="A68:G68"/>
    <mergeCell ref="A69:G69"/>
    <mergeCell ref="A49:A51"/>
    <mergeCell ref="B49:C51"/>
    <mergeCell ref="A70:G70"/>
    <mergeCell ref="A54:G54"/>
    <mergeCell ref="A60:G60"/>
    <mergeCell ref="A61:G61"/>
    <mergeCell ref="A62:G62"/>
    <mergeCell ref="A55:G55"/>
    <mergeCell ref="A56:G56"/>
    <mergeCell ref="A57:G57"/>
  </mergeCells>
  <phoneticPr fontId="0" type="noConversion"/>
  <printOptions horizontalCentered="1"/>
  <pageMargins left="0.78740157480314965" right="0.78740157480314965" top="0.59055118110236227" bottom="0.11811023622047245" header="0.51181102362204722" footer="3.937007874015748E-2"/>
  <pageSetup paperSize="9" scale="87" orientation="portrait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6">
    <tabColor rgb="FF7030A0"/>
  </sheetPr>
  <dimension ref="A1:O56"/>
  <sheetViews>
    <sheetView workbookViewId="0">
      <pane xSplit="1" ySplit="12" topLeftCell="B53" activePane="bottomRight" state="frozenSplit"/>
      <selection sqref="A1:XFD1048576"/>
      <selection pane="topRight" sqref="A1:XFD1048576"/>
      <selection pane="bottomLeft" sqref="A1:XFD1048576"/>
      <selection pane="bottomRight" sqref="A1:XFD1048576"/>
    </sheetView>
  </sheetViews>
  <sheetFormatPr defaultRowHeight="13.2"/>
  <cols>
    <col min="1" max="1" width="10.88671875" style="10" customWidth="1"/>
    <col min="2" max="2" width="12" style="10" customWidth="1"/>
    <col min="3" max="3" width="11.5546875" style="10" customWidth="1"/>
    <col min="4" max="4" width="11.44140625" style="10" customWidth="1"/>
    <col min="5" max="5" width="10.5546875" style="10" customWidth="1"/>
    <col min="6" max="6" width="14.88671875" style="6" customWidth="1"/>
    <col min="7" max="7" width="16.109375" style="10" customWidth="1"/>
    <col min="8" max="256" width="9.109375" style="10"/>
    <col min="257" max="257" width="10.88671875" style="10" customWidth="1"/>
    <col min="258" max="258" width="12" style="10" customWidth="1"/>
    <col min="259" max="259" width="11.5546875" style="10" customWidth="1"/>
    <col min="260" max="260" width="11.44140625" style="10" customWidth="1"/>
    <col min="261" max="261" width="10.5546875" style="10" customWidth="1"/>
    <col min="262" max="262" width="14.88671875" style="10" customWidth="1"/>
    <col min="263" max="263" width="16.109375" style="10" customWidth="1"/>
    <col min="264" max="512" width="9.109375" style="10"/>
    <col min="513" max="513" width="10.88671875" style="10" customWidth="1"/>
    <col min="514" max="514" width="12" style="10" customWidth="1"/>
    <col min="515" max="515" width="11.5546875" style="10" customWidth="1"/>
    <col min="516" max="516" width="11.44140625" style="10" customWidth="1"/>
    <col min="517" max="517" width="10.5546875" style="10" customWidth="1"/>
    <col min="518" max="518" width="14.88671875" style="10" customWidth="1"/>
    <col min="519" max="519" width="16.109375" style="10" customWidth="1"/>
    <col min="520" max="768" width="9.109375" style="10"/>
    <col min="769" max="769" width="10.88671875" style="10" customWidth="1"/>
    <col min="770" max="770" width="12" style="10" customWidth="1"/>
    <col min="771" max="771" width="11.5546875" style="10" customWidth="1"/>
    <col min="772" max="772" width="11.44140625" style="10" customWidth="1"/>
    <col min="773" max="773" width="10.5546875" style="10" customWidth="1"/>
    <col min="774" max="774" width="14.88671875" style="10" customWidth="1"/>
    <col min="775" max="775" width="16.109375" style="10" customWidth="1"/>
    <col min="776" max="1024" width="9.109375" style="10"/>
    <col min="1025" max="1025" width="10.88671875" style="10" customWidth="1"/>
    <col min="1026" max="1026" width="12" style="10" customWidth="1"/>
    <col min="1027" max="1027" width="11.5546875" style="10" customWidth="1"/>
    <col min="1028" max="1028" width="11.44140625" style="10" customWidth="1"/>
    <col min="1029" max="1029" width="10.5546875" style="10" customWidth="1"/>
    <col min="1030" max="1030" width="14.88671875" style="10" customWidth="1"/>
    <col min="1031" max="1031" width="16.109375" style="10" customWidth="1"/>
    <col min="1032" max="1280" width="9.109375" style="10"/>
    <col min="1281" max="1281" width="10.88671875" style="10" customWidth="1"/>
    <col min="1282" max="1282" width="12" style="10" customWidth="1"/>
    <col min="1283" max="1283" width="11.5546875" style="10" customWidth="1"/>
    <col min="1284" max="1284" width="11.44140625" style="10" customWidth="1"/>
    <col min="1285" max="1285" width="10.5546875" style="10" customWidth="1"/>
    <col min="1286" max="1286" width="14.88671875" style="10" customWidth="1"/>
    <col min="1287" max="1287" width="16.109375" style="10" customWidth="1"/>
    <col min="1288" max="1536" width="9.109375" style="10"/>
    <col min="1537" max="1537" width="10.88671875" style="10" customWidth="1"/>
    <col min="1538" max="1538" width="12" style="10" customWidth="1"/>
    <col min="1539" max="1539" width="11.5546875" style="10" customWidth="1"/>
    <col min="1540" max="1540" width="11.44140625" style="10" customWidth="1"/>
    <col min="1541" max="1541" width="10.5546875" style="10" customWidth="1"/>
    <col min="1542" max="1542" width="14.88671875" style="10" customWidth="1"/>
    <col min="1543" max="1543" width="16.109375" style="10" customWidth="1"/>
    <col min="1544" max="1792" width="9.109375" style="10"/>
    <col min="1793" max="1793" width="10.88671875" style="10" customWidth="1"/>
    <col min="1794" max="1794" width="12" style="10" customWidth="1"/>
    <col min="1795" max="1795" width="11.5546875" style="10" customWidth="1"/>
    <col min="1796" max="1796" width="11.44140625" style="10" customWidth="1"/>
    <col min="1797" max="1797" width="10.5546875" style="10" customWidth="1"/>
    <col min="1798" max="1798" width="14.88671875" style="10" customWidth="1"/>
    <col min="1799" max="1799" width="16.109375" style="10" customWidth="1"/>
    <col min="1800" max="2048" width="9.109375" style="10"/>
    <col min="2049" max="2049" width="10.88671875" style="10" customWidth="1"/>
    <col min="2050" max="2050" width="12" style="10" customWidth="1"/>
    <col min="2051" max="2051" width="11.5546875" style="10" customWidth="1"/>
    <col min="2052" max="2052" width="11.44140625" style="10" customWidth="1"/>
    <col min="2053" max="2053" width="10.5546875" style="10" customWidth="1"/>
    <col min="2054" max="2054" width="14.88671875" style="10" customWidth="1"/>
    <col min="2055" max="2055" width="16.109375" style="10" customWidth="1"/>
    <col min="2056" max="2304" width="9.109375" style="10"/>
    <col min="2305" max="2305" width="10.88671875" style="10" customWidth="1"/>
    <col min="2306" max="2306" width="12" style="10" customWidth="1"/>
    <col min="2307" max="2307" width="11.5546875" style="10" customWidth="1"/>
    <col min="2308" max="2308" width="11.44140625" style="10" customWidth="1"/>
    <col min="2309" max="2309" width="10.5546875" style="10" customWidth="1"/>
    <col min="2310" max="2310" width="14.88671875" style="10" customWidth="1"/>
    <col min="2311" max="2311" width="16.109375" style="10" customWidth="1"/>
    <col min="2312" max="2560" width="9.109375" style="10"/>
    <col min="2561" max="2561" width="10.88671875" style="10" customWidth="1"/>
    <col min="2562" max="2562" width="12" style="10" customWidth="1"/>
    <col min="2563" max="2563" width="11.5546875" style="10" customWidth="1"/>
    <col min="2564" max="2564" width="11.44140625" style="10" customWidth="1"/>
    <col min="2565" max="2565" width="10.5546875" style="10" customWidth="1"/>
    <col min="2566" max="2566" width="14.88671875" style="10" customWidth="1"/>
    <col min="2567" max="2567" width="16.109375" style="10" customWidth="1"/>
    <col min="2568" max="2816" width="9.109375" style="10"/>
    <col min="2817" max="2817" width="10.88671875" style="10" customWidth="1"/>
    <col min="2818" max="2818" width="12" style="10" customWidth="1"/>
    <col min="2819" max="2819" width="11.5546875" style="10" customWidth="1"/>
    <col min="2820" max="2820" width="11.44140625" style="10" customWidth="1"/>
    <col min="2821" max="2821" width="10.5546875" style="10" customWidth="1"/>
    <col min="2822" max="2822" width="14.88671875" style="10" customWidth="1"/>
    <col min="2823" max="2823" width="16.109375" style="10" customWidth="1"/>
    <col min="2824" max="3072" width="9.109375" style="10"/>
    <col min="3073" max="3073" width="10.88671875" style="10" customWidth="1"/>
    <col min="3074" max="3074" width="12" style="10" customWidth="1"/>
    <col min="3075" max="3075" width="11.5546875" style="10" customWidth="1"/>
    <col min="3076" max="3076" width="11.44140625" style="10" customWidth="1"/>
    <col min="3077" max="3077" width="10.5546875" style="10" customWidth="1"/>
    <col min="3078" max="3078" width="14.88671875" style="10" customWidth="1"/>
    <col min="3079" max="3079" width="16.109375" style="10" customWidth="1"/>
    <col min="3080" max="3328" width="9.109375" style="10"/>
    <col min="3329" max="3329" width="10.88671875" style="10" customWidth="1"/>
    <col min="3330" max="3330" width="12" style="10" customWidth="1"/>
    <col min="3331" max="3331" width="11.5546875" style="10" customWidth="1"/>
    <col min="3332" max="3332" width="11.44140625" style="10" customWidth="1"/>
    <col min="3333" max="3333" width="10.5546875" style="10" customWidth="1"/>
    <col min="3334" max="3334" width="14.88671875" style="10" customWidth="1"/>
    <col min="3335" max="3335" width="16.109375" style="10" customWidth="1"/>
    <col min="3336" max="3584" width="9.109375" style="10"/>
    <col min="3585" max="3585" width="10.88671875" style="10" customWidth="1"/>
    <col min="3586" max="3586" width="12" style="10" customWidth="1"/>
    <col min="3587" max="3587" width="11.5546875" style="10" customWidth="1"/>
    <col min="3588" max="3588" width="11.44140625" style="10" customWidth="1"/>
    <col min="3589" max="3589" width="10.5546875" style="10" customWidth="1"/>
    <col min="3590" max="3590" width="14.88671875" style="10" customWidth="1"/>
    <col min="3591" max="3591" width="16.109375" style="10" customWidth="1"/>
    <col min="3592" max="3840" width="9.109375" style="10"/>
    <col min="3841" max="3841" width="10.88671875" style="10" customWidth="1"/>
    <col min="3842" max="3842" width="12" style="10" customWidth="1"/>
    <col min="3843" max="3843" width="11.5546875" style="10" customWidth="1"/>
    <col min="3844" max="3844" width="11.44140625" style="10" customWidth="1"/>
    <col min="3845" max="3845" width="10.5546875" style="10" customWidth="1"/>
    <col min="3846" max="3846" width="14.88671875" style="10" customWidth="1"/>
    <col min="3847" max="3847" width="16.109375" style="10" customWidth="1"/>
    <col min="3848" max="4096" width="9.109375" style="10"/>
    <col min="4097" max="4097" width="10.88671875" style="10" customWidth="1"/>
    <col min="4098" max="4098" width="12" style="10" customWidth="1"/>
    <col min="4099" max="4099" width="11.5546875" style="10" customWidth="1"/>
    <col min="4100" max="4100" width="11.44140625" style="10" customWidth="1"/>
    <col min="4101" max="4101" width="10.5546875" style="10" customWidth="1"/>
    <col min="4102" max="4102" width="14.88671875" style="10" customWidth="1"/>
    <col min="4103" max="4103" width="16.109375" style="10" customWidth="1"/>
    <col min="4104" max="4352" width="9.109375" style="10"/>
    <col min="4353" max="4353" width="10.88671875" style="10" customWidth="1"/>
    <col min="4354" max="4354" width="12" style="10" customWidth="1"/>
    <col min="4355" max="4355" width="11.5546875" style="10" customWidth="1"/>
    <col min="4356" max="4356" width="11.44140625" style="10" customWidth="1"/>
    <col min="4357" max="4357" width="10.5546875" style="10" customWidth="1"/>
    <col min="4358" max="4358" width="14.88671875" style="10" customWidth="1"/>
    <col min="4359" max="4359" width="16.109375" style="10" customWidth="1"/>
    <col min="4360" max="4608" width="9.109375" style="10"/>
    <col min="4609" max="4609" width="10.88671875" style="10" customWidth="1"/>
    <col min="4610" max="4610" width="12" style="10" customWidth="1"/>
    <col min="4611" max="4611" width="11.5546875" style="10" customWidth="1"/>
    <col min="4612" max="4612" width="11.44140625" style="10" customWidth="1"/>
    <col min="4613" max="4613" width="10.5546875" style="10" customWidth="1"/>
    <col min="4614" max="4614" width="14.88671875" style="10" customWidth="1"/>
    <col min="4615" max="4615" width="16.109375" style="10" customWidth="1"/>
    <col min="4616" max="4864" width="9.109375" style="10"/>
    <col min="4865" max="4865" width="10.88671875" style="10" customWidth="1"/>
    <col min="4866" max="4866" width="12" style="10" customWidth="1"/>
    <col min="4867" max="4867" width="11.5546875" style="10" customWidth="1"/>
    <col min="4868" max="4868" width="11.44140625" style="10" customWidth="1"/>
    <col min="4869" max="4869" width="10.5546875" style="10" customWidth="1"/>
    <col min="4870" max="4870" width="14.88671875" style="10" customWidth="1"/>
    <col min="4871" max="4871" width="16.109375" style="10" customWidth="1"/>
    <col min="4872" max="5120" width="9.109375" style="10"/>
    <col min="5121" max="5121" width="10.88671875" style="10" customWidth="1"/>
    <col min="5122" max="5122" width="12" style="10" customWidth="1"/>
    <col min="5123" max="5123" width="11.5546875" style="10" customWidth="1"/>
    <col min="5124" max="5124" width="11.44140625" style="10" customWidth="1"/>
    <col min="5125" max="5125" width="10.5546875" style="10" customWidth="1"/>
    <col min="5126" max="5126" width="14.88671875" style="10" customWidth="1"/>
    <col min="5127" max="5127" width="16.109375" style="10" customWidth="1"/>
    <col min="5128" max="5376" width="9.109375" style="10"/>
    <col min="5377" max="5377" width="10.88671875" style="10" customWidth="1"/>
    <col min="5378" max="5378" width="12" style="10" customWidth="1"/>
    <col min="5379" max="5379" width="11.5546875" style="10" customWidth="1"/>
    <col min="5380" max="5380" width="11.44140625" style="10" customWidth="1"/>
    <col min="5381" max="5381" width="10.5546875" style="10" customWidth="1"/>
    <col min="5382" max="5382" width="14.88671875" style="10" customWidth="1"/>
    <col min="5383" max="5383" width="16.109375" style="10" customWidth="1"/>
    <col min="5384" max="5632" width="9.109375" style="10"/>
    <col min="5633" max="5633" width="10.88671875" style="10" customWidth="1"/>
    <col min="5634" max="5634" width="12" style="10" customWidth="1"/>
    <col min="5635" max="5635" width="11.5546875" style="10" customWidth="1"/>
    <col min="5636" max="5636" width="11.44140625" style="10" customWidth="1"/>
    <col min="5637" max="5637" width="10.5546875" style="10" customWidth="1"/>
    <col min="5638" max="5638" width="14.88671875" style="10" customWidth="1"/>
    <col min="5639" max="5639" width="16.109375" style="10" customWidth="1"/>
    <col min="5640" max="5888" width="9.109375" style="10"/>
    <col min="5889" max="5889" width="10.88671875" style="10" customWidth="1"/>
    <col min="5890" max="5890" width="12" style="10" customWidth="1"/>
    <col min="5891" max="5891" width="11.5546875" style="10" customWidth="1"/>
    <col min="5892" max="5892" width="11.44140625" style="10" customWidth="1"/>
    <col min="5893" max="5893" width="10.5546875" style="10" customWidth="1"/>
    <col min="5894" max="5894" width="14.88671875" style="10" customWidth="1"/>
    <col min="5895" max="5895" width="16.109375" style="10" customWidth="1"/>
    <col min="5896" max="6144" width="9.109375" style="10"/>
    <col min="6145" max="6145" width="10.88671875" style="10" customWidth="1"/>
    <col min="6146" max="6146" width="12" style="10" customWidth="1"/>
    <col min="6147" max="6147" width="11.5546875" style="10" customWidth="1"/>
    <col min="6148" max="6148" width="11.44140625" style="10" customWidth="1"/>
    <col min="6149" max="6149" width="10.5546875" style="10" customWidth="1"/>
    <col min="6150" max="6150" width="14.88671875" style="10" customWidth="1"/>
    <col min="6151" max="6151" width="16.109375" style="10" customWidth="1"/>
    <col min="6152" max="6400" width="9.109375" style="10"/>
    <col min="6401" max="6401" width="10.88671875" style="10" customWidth="1"/>
    <col min="6402" max="6402" width="12" style="10" customWidth="1"/>
    <col min="6403" max="6403" width="11.5546875" style="10" customWidth="1"/>
    <col min="6404" max="6404" width="11.44140625" style="10" customWidth="1"/>
    <col min="6405" max="6405" width="10.5546875" style="10" customWidth="1"/>
    <col min="6406" max="6406" width="14.88671875" style="10" customWidth="1"/>
    <col min="6407" max="6407" width="16.109375" style="10" customWidth="1"/>
    <col min="6408" max="6656" width="9.109375" style="10"/>
    <col min="6657" max="6657" width="10.88671875" style="10" customWidth="1"/>
    <col min="6658" max="6658" width="12" style="10" customWidth="1"/>
    <col min="6659" max="6659" width="11.5546875" style="10" customWidth="1"/>
    <col min="6660" max="6660" width="11.44140625" style="10" customWidth="1"/>
    <col min="6661" max="6661" width="10.5546875" style="10" customWidth="1"/>
    <col min="6662" max="6662" width="14.88671875" style="10" customWidth="1"/>
    <col min="6663" max="6663" width="16.109375" style="10" customWidth="1"/>
    <col min="6664" max="6912" width="9.109375" style="10"/>
    <col min="6913" max="6913" width="10.88671875" style="10" customWidth="1"/>
    <col min="6914" max="6914" width="12" style="10" customWidth="1"/>
    <col min="6915" max="6915" width="11.5546875" style="10" customWidth="1"/>
    <col min="6916" max="6916" width="11.44140625" style="10" customWidth="1"/>
    <col min="6917" max="6917" width="10.5546875" style="10" customWidth="1"/>
    <col min="6918" max="6918" width="14.88671875" style="10" customWidth="1"/>
    <col min="6919" max="6919" width="16.109375" style="10" customWidth="1"/>
    <col min="6920" max="7168" width="9.109375" style="10"/>
    <col min="7169" max="7169" width="10.88671875" style="10" customWidth="1"/>
    <col min="7170" max="7170" width="12" style="10" customWidth="1"/>
    <col min="7171" max="7171" width="11.5546875" style="10" customWidth="1"/>
    <col min="7172" max="7172" width="11.44140625" style="10" customWidth="1"/>
    <col min="7173" max="7173" width="10.5546875" style="10" customWidth="1"/>
    <col min="7174" max="7174" width="14.88671875" style="10" customWidth="1"/>
    <col min="7175" max="7175" width="16.109375" style="10" customWidth="1"/>
    <col min="7176" max="7424" width="9.109375" style="10"/>
    <col min="7425" max="7425" width="10.88671875" style="10" customWidth="1"/>
    <col min="7426" max="7426" width="12" style="10" customWidth="1"/>
    <col min="7427" max="7427" width="11.5546875" style="10" customWidth="1"/>
    <col min="7428" max="7428" width="11.44140625" style="10" customWidth="1"/>
    <col min="7429" max="7429" width="10.5546875" style="10" customWidth="1"/>
    <col min="7430" max="7430" width="14.88671875" style="10" customWidth="1"/>
    <col min="7431" max="7431" width="16.109375" style="10" customWidth="1"/>
    <col min="7432" max="7680" width="9.109375" style="10"/>
    <col min="7681" max="7681" width="10.88671875" style="10" customWidth="1"/>
    <col min="7682" max="7682" width="12" style="10" customWidth="1"/>
    <col min="7683" max="7683" width="11.5546875" style="10" customWidth="1"/>
    <col min="7684" max="7684" width="11.44140625" style="10" customWidth="1"/>
    <col min="7685" max="7685" width="10.5546875" style="10" customWidth="1"/>
    <col min="7686" max="7686" width="14.88671875" style="10" customWidth="1"/>
    <col min="7687" max="7687" width="16.109375" style="10" customWidth="1"/>
    <col min="7688" max="7936" width="9.109375" style="10"/>
    <col min="7937" max="7937" width="10.88671875" style="10" customWidth="1"/>
    <col min="7938" max="7938" width="12" style="10" customWidth="1"/>
    <col min="7939" max="7939" width="11.5546875" style="10" customWidth="1"/>
    <col min="7940" max="7940" width="11.44140625" style="10" customWidth="1"/>
    <col min="7941" max="7941" width="10.5546875" style="10" customWidth="1"/>
    <col min="7942" max="7942" width="14.88671875" style="10" customWidth="1"/>
    <col min="7943" max="7943" width="16.109375" style="10" customWidth="1"/>
    <col min="7944" max="8192" width="9.109375" style="10"/>
    <col min="8193" max="8193" width="10.88671875" style="10" customWidth="1"/>
    <col min="8194" max="8194" width="12" style="10" customWidth="1"/>
    <col min="8195" max="8195" width="11.5546875" style="10" customWidth="1"/>
    <col min="8196" max="8196" width="11.44140625" style="10" customWidth="1"/>
    <col min="8197" max="8197" width="10.5546875" style="10" customWidth="1"/>
    <col min="8198" max="8198" width="14.88671875" style="10" customWidth="1"/>
    <col min="8199" max="8199" width="16.109375" style="10" customWidth="1"/>
    <col min="8200" max="8448" width="9.109375" style="10"/>
    <col min="8449" max="8449" width="10.88671875" style="10" customWidth="1"/>
    <col min="8450" max="8450" width="12" style="10" customWidth="1"/>
    <col min="8451" max="8451" width="11.5546875" style="10" customWidth="1"/>
    <col min="8452" max="8452" width="11.44140625" style="10" customWidth="1"/>
    <col min="8453" max="8453" width="10.5546875" style="10" customWidth="1"/>
    <col min="8454" max="8454" width="14.88671875" style="10" customWidth="1"/>
    <col min="8455" max="8455" width="16.109375" style="10" customWidth="1"/>
    <col min="8456" max="8704" width="9.109375" style="10"/>
    <col min="8705" max="8705" width="10.88671875" style="10" customWidth="1"/>
    <col min="8706" max="8706" width="12" style="10" customWidth="1"/>
    <col min="8707" max="8707" width="11.5546875" style="10" customWidth="1"/>
    <col min="8708" max="8708" width="11.44140625" style="10" customWidth="1"/>
    <col min="8709" max="8709" width="10.5546875" style="10" customWidth="1"/>
    <col min="8710" max="8710" width="14.88671875" style="10" customWidth="1"/>
    <col min="8711" max="8711" width="16.109375" style="10" customWidth="1"/>
    <col min="8712" max="8960" width="9.109375" style="10"/>
    <col min="8961" max="8961" width="10.88671875" style="10" customWidth="1"/>
    <col min="8962" max="8962" width="12" style="10" customWidth="1"/>
    <col min="8963" max="8963" width="11.5546875" style="10" customWidth="1"/>
    <col min="8964" max="8964" width="11.44140625" style="10" customWidth="1"/>
    <col min="8965" max="8965" width="10.5546875" style="10" customWidth="1"/>
    <col min="8966" max="8966" width="14.88671875" style="10" customWidth="1"/>
    <col min="8967" max="8967" width="16.109375" style="10" customWidth="1"/>
    <col min="8968" max="9216" width="9.109375" style="10"/>
    <col min="9217" max="9217" width="10.88671875" style="10" customWidth="1"/>
    <col min="9218" max="9218" width="12" style="10" customWidth="1"/>
    <col min="9219" max="9219" width="11.5546875" style="10" customWidth="1"/>
    <col min="9220" max="9220" width="11.44140625" style="10" customWidth="1"/>
    <col min="9221" max="9221" width="10.5546875" style="10" customWidth="1"/>
    <col min="9222" max="9222" width="14.88671875" style="10" customWidth="1"/>
    <col min="9223" max="9223" width="16.109375" style="10" customWidth="1"/>
    <col min="9224" max="9472" width="9.109375" style="10"/>
    <col min="9473" max="9473" width="10.88671875" style="10" customWidth="1"/>
    <col min="9474" max="9474" width="12" style="10" customWidth="1"/>
    <col min="9475" max="9475" width="11.5546875" style="10" customWidth="1"/>
    <col min="9476" max="9476" width="11.44140625" style="10" customWidth="1"/>
    <col min="9477" max="9477" width="10.5546875" style="10" customWidth="1"/>
    <col min="9478" max="9478" width="14.88671875" style="10" customWidth="1"/>
    <col min="9479" max="9479" width="16.109375" style="10" customWidth="1"/>
    <col min="9480" max="9728" width="9.109375" style="10"/>
    <col min="9729" max="9729" width="10.88671875" style="10" customWidth="1"/>
    <col min="9730" max="9730" width="12" style="10" customWidth="1"/>
    <col min="9731" max="9731" width="11.5546875" style="10" customWidth="1"/>
    <col min="9732" max="9732" width="11.44140625" style="10" customWidth="1"/>
    <col min="9733" max="9733" width="10.5546875" style="10" customWidth="1"/>
    <col min="9734" max="9734" width="14.88671875" style="10" customWidth="1"/>
    <col min="9735" max="9735" width="16.109375" style="10" customWidth="1"/>
    <col min="9736" max="9984" width="9.109375" style="10"/>
    <col min="9985" max="9985" width="10.88671875" style="10" customWidth="1"/>
    <col min="9986" max="9986" width="12" style="10" customWidth="1"/>
    <col min="9987" max="9987" width="11.5546875" style="10" customWidth="1"/>
    <col min="9988" max="9988" width="11.44140625" style="10" customWidth="1"/>
    <col min="9989" max="9989" width="10.5546875" style="10" customWidth="1"/>
    <col min="9990" max="9990" width="14.88671875" style="10" customWidth="1"/>
    <col min="9991" max="9991" width="16.109375" style="10" customWidth="1"/>
    <col min="9992" max="10240" width="9.109375" style="10"/>
    <col min="10241" max="10241" width="10.88671875" style="10" customWidth="1"/>
    <col min="10242" max="10242" width="12" style="10" customWidth="1"/>
    <col min="10243" max="10243" width="11.5546875" style="10" customWidth="1"/>
    <col min="10244" max="10244" width="11.44140625" style="10" customWidth="1"/>
    <col min="10245" max="10245" width="10.5546875" style="10" customWidth="1"/>
    <col min="10246" max="10246" width="14.88671875" style="10" customWidth="1"/>
    <col min="10247" max="10247" width="16.109375" style="10" customWidth="1"/>
    <col min="10248" max="10496" width="9.109375" style="10"/>
    <col min="10497" max="10497" width="10.88671875" style="10" customWidth="1"/>
    <col min="10498" max="10498" width="12" style="10" customWidth="1"/>
    <col min="10499" max="10499" width="11.5546875" style="10" customWidth="1"/>
    <col min="10500" max="10500" width="11.44140625" style="10" customWidth="1"/>
    <col min="10501" max="10501" width="10.5546875" style="10" customWidth="1"/>
    <col min="10502" max="10502" width="14.88671875" style="10" customWidth="1"/>
    <col min="10503" max="10503" width="16.109375" style="10" customWidth="1"/>
    <col min="10504" max="10752" width="9.109375" style="10"/>
    <col min="10753" max="10753" width="10.88671875" style="10" customWidth="1"/>
    <col min="10754" max="10754" width="12" style="10" customWidth="1"/>
    <col min="10755" max="10755" width="11.5546875" style="10" customWidth="1"/>
    <col min="10756" max="10756" width="11.44140625" style="10" customWidth="1"/>
    <col min="10757" max="10757" width="10.5546875" style="10" customWidth="1"/>
    <col min="10758" max="10758" width="14.88671875" style="10" customWidth="1"/>
    <col min="10759" max="10759" width="16.109375" style="10" customWidth="1"/>
    <col min="10760" max="11008" width="9.109375" style="10"/>
    <col min="11009" max="11009" width="10.88671875" style="10" customWidth="1"/>
    <col min="11010" max="11010" width="12" style="10" customWidth="1"/>
    <col min="11011" max="11011" width="11.5546875" style="10" customWidth="1"/>
    <col min="11012" max="11012" width="11.44140625" style="10" customWidth="1"/>
    <col min="11013" max="11013" width="10.5546875" style="10" customWidth="1"/>
    <col min="11014" max="11014" width="14.88671875" style="10" customWidth="1"/>
    <col min="11015" max="11015" width="16.109375" style="10" customWidth="1"/>
    <col min="11016" max="11264" width="9.109375" style="10"/>
    <col min="11265" max="11265" width="10.88671875" style="10" customWidth="1"/>
    <col min="11266" max="11266" width="12" style="10" customWidth="1"/>
    <col min="11267" max="11267" width="11.5546875" style="10" customWidth="1"/>
    <col min="11268" max="11268" width="11.44140625" style="10" customWidth="1"/>
    <col min="11269" max="11269" width="10.5546875" style="10" customWidth="1"/>
    <col min="11270" max="11270" width="14.88671875" style="10" customWidth="1"/>
    <col min="11271" max="11271" width="16.109375" style="10" customWidth="1"/>
    <col min="11272" max="11520" width="9.109375" style="10"/>
    <col min="11521" max="11521" width="10.88671875" style="10" customWidth="1"/>
    <col min="11522" max="11522" width="12" style="10" customWidth="1"/>
    <col min="11523" max="11523" width="11.5546875" style="10" customWidth="1"/>
    <col min="11524" max="11524" width="11.44140625" style="10" customWidth="1"/>
    <col min="11525" max="11525" width="10.5546875" style="10" customWidth="1"/>
    <col min="11526" max="11526" width="14.88671875" style="10" customWidth="1"/>
    <col min="11527" max="11527" width="16.109375" style="10" customWidth="1"/>
    <col min="11528" max="11776" width="9.109375" style="10"/>
    <col min="11777" max="11777" width="10.88671875" style="10" customWidth="1"/>
    <col min="11778" max="11778" width="12" style="10" customWidth="1"/>
    <col min="11779" max="11779" width="11.5546875" style="10" customWidth="1"/>
    <col min="11780" max="11780" width="11.44140625" style="10" customWidth="1"/>
    <col min="11781" max="11781" width="10.5546875" style="10" customWidth="1"/>
    <col min="11782" max="11782" width="14.88671875" style="10" customWidth="1"/>
    <col min="11783" max="11783" width="16.109375" style="10" customWidth="1"/>
    <col min="11784" max="12032" width="9.109375" style="10"/>
    <col min="12033" max="12033" width="10.88671875" style="10" customWidth="1"/>
    <col min="12034" max="12034" width="12" style="10" customWidth="1"/>
    <col min="12035" max="12035" width="11.5546875" style="10" customWidth="1"/>
    <col min="12036" max="12036" width="11.44140625" style="10" customWidth="1"/>
    <col min="12037" max="12037" width="10.5546875" style="10" customWidth="1"/>
    <col min="12038" max="12038" width="14.88671875" style="10" customWidth="1"/>
    <col min="12039" max="12039" width="16.109375" style="10" customWidth="1"/>
    <col min="12040" max="12288" width="9.109375" style="10"/>
    <col min="12289" max="12289" width="10.88671875" style="10" customWidth="1"/>
    <col min="12290" max="12290" width="12" style="10" customWidth="1"/>
    <col min="12291" max="12291" width="11.5546875" style="10" customWidth="1"/>
    <col min="12292" max="12292" width="11.44140625" style="10" customWidth="1"/>
    <col min="12293" max="12293" width="10.5546875" style="10" customWidth="1"/>
    <col min="12294" max="12294" width="14.88671875" style="10" customWidth="1"/>
    <col min="12295" max="12295" width="16.109375" style="10" customWidth="1"/>
    <col min="12296" max="12544" width="9.109375" style="10"/>
    <col min="12545" max="12545" width="10.88671875" style="10" customWidth="1"/>
    <col min="12546" max="12546" width="12" style="10" customWidth="1"/>
    <col min="12547" max="12547" width="11.5546875" style="10" customWidth="1"/>
    <col min="12548" max="12548" width="11.44140625" style="10" customWidth="1"/>
    <col min="12549" max="12549" width="10.5546875" style="10" customWidth="1"/>
    <col min="12550" max="12550" width="14.88671875" style="10" customWidth="1"/>
    <col min="12551" max="12551" width="16.109375" style="10" customWidth="1"/>
    <col min="12552" max="12800" width="9.109375" style="10"/>
    <col min="12801" max="12801" width="10.88671875" style="10" customWidth="1"/>
    <col min="12802" max="12802" width="12" style="10" customWidth="1"/>
    <col min="12803" max="12803" width="11.5546875" style="10" customWidth="1"/>
    <col min="12804" max="12804" width="11.44140625" style="10" customWidth="1"/>
    <col min="12805" max="12805" width="10.5546875" style="10" customWidth="1"/>
    <col min="12806" max="12806" width="14.88671875" style="10" customWidth="1"/>
    <col min="12807" max="12807" width="16.109375" style="10" customWidth="1"/>
    <col min="12808" max="13056" width="9.109375" style="10"/>
    <col min="13057" max="13057" width="10.88671875" style="10" customWidth="1"/>
    <col min="13058" max="13058" width="12" style="10" customWidth="1"/>
    <col min="13059" max="13059" width="11.5546875" style="10" customWidth="1"/>
    <col min="13060" max="13060" width="11.44140625" style="10" customWidth="1"/>
    <col min="13061" max="13061" width="10.5546875" style="10" customWidth="1"/>
    <col min="13062" max="13062" width="14.88671875" style="10" customWidth="1"/>
    <col min="13063" max="13063" width="16.109375" style="10" customWidth="1"/>
    <col min="13064" max="13312" width="9.109375" style="10"/>
    <col min="13313" max="13313" width="10.88671875" style="10" customWidth="1"/>
    <col min="13314" max="13314" width="12" style="10" customWidth="1"/>
    <col min="13315" max="13315" width="11.5546875" style="10" customWidth="1"/>
    <col min="13316" max="13316" width="11.44140625" style="10" customWidth="1"/>
    <col min="13317" max="13317" width="10.5546875" style="10" customWidth="1"/>
    <col min="13318" max="13318" width="14.88671875" style="10" customWidth="1"/>
    <col min="13319" max="13319" width="16.109375" style="10" customWidth="1"/>
    <col min="13320" max="13568" width="9.109375" style="10"/>
    <col min="13569" max="13569" width="10.88671875" style="10" customWidth="1"/>
    <col min="13570" max="13570" width="12" style="10" customWidth="1"/>
    <col min="13571" max="13571" width="11.5546875" style="10" customWidth="1"/>
    <col min="13572" max="13572" width="11.44140625" style="10" customWidth="1"/>
    <col min="13573" max="13573" width="10.5546875" style="10" customWidth="1"/>
    <col min="13574" max="13574" width="14.88671875" style="10" customWidth="1"/>
    <col min="13575" max="13575" width="16.109375" style="10" customWidth="1"/>
    <col min="13576" max="13824" width="9.109375" style="10"/>
    <col min="13825" max="13825" width="10.88671875" style="10" customWidth="1"/>
    <col min="13826" max="13826" width="12" style="10" customWidth="1"/>
    <col min="13827" max="13827" width="11.5546875" style="10" customWidth="1"/>
    <col min="13828" max="13828" width="11.44140625" style="10" customWidth="1"/>
    <col min="13829" max="13829" width="10.5546875" style="10" customWidth="1"/>
    <col min="13830" max="13830" width="14.88671875" style="10" customWidth="1"/>
    <col min="13831" max="13831" width="16.109375" style="10" customWidth="1"/>
    <col min="13832" max="14080" width="9.109375" style="10"/>
    <col min="14081" max="14081" width="10.88671875" style="10" customWidth="1"/>
    <col min="14082" max="14082" width="12" style="10" customWidth="1"/>
    <col min="14083" max="14083" width="11.5546875" style="10" customWidth="1"/>
    <col min="14084" max="14084" width="11.44140625" style="10" customWidth="1"/>
    <col min="14085" max="14085" width="10.5546875" style="10" customWidth="1"/>
    <col min="14086" max="14086" width="14.88671875" style="10" customWidth="1"/>
    <col min="14087" max="14087" width="16.109375" style="10" customWidth="1"/>
    <col min="14088" max="14336" width="9.109375" style="10"/>
    <col min="14337" max="14337" width="10.88671875" style="10" customWidth="1"/>
    <col min="14338" max="14338" width="12" style="10" customWidth="1"/>
    <col min="14339" max="14339" width="11.5546875" style="10" customWidth="1"/>
    <col min="14340" max="14340" width="11.44140625" style="10" customWidth="1"/>
    <col min="14341" max="14341" width="10.5546875" style="10" customWidth="1"/>
    <col min="14342" max="14342" width="14.88671875" style="10" customWidth="1"/>
    <col min="14343" max="14343" width="16.109375" style="10" customWidth="1"/>
    <col min="14344" max="14592" width="9.109375" style="10"/>
    <col min="14593" max="14593" width="10.88671875" style="10" customWidth="1"/>
    <col min="14594" max="14594" width="12" style="10" customWidth="1"/>
    <col min="14595" max="14595" width="11.5546875" style="10" customWidth="1"/>
    <col min="14596" max="14596" width="11.44140625" style="10" customWidth="1"/>
    <col min="14597" max="14597" width="10.5546875" style="10" customWidth="1"/>
    <col min="14598" max="14598" width="14.88671875" style="10" customWidth="1"/>
    <col min="14599" max="14599" width="16.109375" style="10" customWidth="1"/>
    <col min="14600" max="14848" width="9.109375" style="10"/>
    <col min="14849" max="14849" width="10.88671875" style="10" customWidth="1"/>
    <col min="14850" max="14850" width="12" style="10" customWidth="1"/>
    <col min="14851" max="14851" width="11.5546875" style="10" customWidth="1"/>
    <col min="14852" max="14852" width="11.44140625" style="10" customWidth="1"/>
    <col min="14853" max="14853" width="10.5546875" style="10" customWidth="1"/>
    <col min="14854" max="14854" width="14.88671875" style="10" customWidth="1"/>
    <col min="14855" max="14855" width="16.109375" style="10" customWidth="1"/>
    <col min="14856" max="15104" width="9.109375" style="10"/>
    <col min="15105" max="15105" width="10.88671875" style="10" customWidth="1"/>
    <col min="15106" max="15106" width="12" style="10" customWidth="1"/>
    <col min="15107" max="15107" width="11.5546875" style="10" customWidth="1"/>
    <col min="15108" max="15108" width="11.44140625" style="10" customWidth="1"/>
    <col min="15109" max="15109" width="10.5546875" style="10" customWidth="1"/>
    <col min="15110" max="15110" width="14.88671875" style="10" customWidth="1"/>
    <col min="15111" max="15111" width="16.109375" style="10" customWidth="1"/>
    <col min="15112" max="15360" width="9.109375" style="10"/>
    <col min="15361" max="15361" width="10.88671875" style="10" customWidth="1"/>
    <col min="15362" max="15362" width="12" style="10" customWidth="1"/>
    <col min="15363" max="15363" width="11.5546875" style="10" customWidth="1"/>
    <col min="15364" max="15364" width="11.44140625" style="10" customWidth="1"/>
    <col min="15365" max="15365" width="10.5546875" style="10" customWidth="1"/>
    <col min="15366" max="15366" width="14.88671875" style="10" customWidth="1"/>
    <col min="15367" max="15367" width="16.109375" style="10" customWidth="1"/>
    <col min="15368" max="15616" width="9.109375" style="10"/>
    <col min="15617" max="15617" width="10.88671875" style="10" customWidth="1"/>
    <col min="15618" max="15618" width="12" style="10" customWidth="1"/>
    <col min="15619" max="15619" width="11.5546875" style="10" customWidth="1"/>
    <col min="15620" max="15620" width="11.44140625" style="10" customWidth="1"/>
    <col min="15621" max="15621" width="10.5546875" style="10" customWidth="1"/>
    <col min="15622" max="15622" width="14.88671875" style="10" customWidth="1"/>
    <col min="15623" max="15623" width="16.109375" style="10" customWidth="1"/>
    <col min="15624" max="15872" width="9.109375" style="10"/>
    <col min="15873" max="15873" width="10.88671875" style="10" customWidth="1"/>
    <col min="15874" max="15874" width="12" style="10" customWidth="1"/>
    <col min="15875" max="15875" width="11.5546875" style="10" customWidth="1"/>
    <col min="15876" max="15876" width="11.44140625" style="10" customWidth="1"/>
    <col min="15877" max="15877" width="10.5546875" style="10" customWidth="1"/>
    <col min="15878" max="15878" width="14.88671875" style="10" customWidth="1"/>
    <col min="15879" max="15879" width="16.109375" style="10" customWidth="1"/>
    <col min="15880" max="16128" width="9.109375" style="10"/>
    <col min="16129" max="16129" width="10.88671875" style="10" customWidth="1"/>
    <col min="16130" max="16130" width="12" style="10" customWidth="1"/>
    <col min="16131" max="16131" width="11.5546875" style="10" customWidth="1"/>
    <col min="16132" max="16132" width="11.44140625" style="10" customWidth="1"/>
    <col min="16133" max="16133" width="10.5546875" style="10" customWidth="1"/>
    <col min="16134" max="16134" width="14.88671875" style="10" customWidth="1"/>
    <col min="16135" max="16135" width="16.109375" style="10" customWidth="1"/>
    <col min="16136" max="16384" width="9.109375" style="10"/>
  </cols>
  <sheetData>
    <row r="1" spans="1:15">
      <c r="G1" s="2126" t="s">
        <v>360</v>
      </c>
      <c r="I1" s="10" t="s">
        <v>421</v>
      </c>
      <c r="L1" s="2127">
        <f>G44+G33+G49+'П.2.2.пром.+ПСХ'!G50+'П.2.2.пром.+ПСХ'!G49+'П.2.2.пром.+ПСХ'!G51</f>
        <v>811.99700000000007</v>
      </c>
    </row>
    <row r="2" spans="1:15" ht="15.6">
      <c r="A2" s="131" t="s">
        <v>1305</v>
      </c>
      <c r="B2" s="868"/>
      <c r="C2" s="868"/>
      <c r="D2" s="868"/>
      <c r="E2" s="868"/>
      <c r="F2" s="868"/>
      <c r="G2" s="868"/>
      <c r="I2" s="10" t="s">
        <v>426</v>
      </c>
      <c r="L2" s="2127">
        <f>G33+'П.2.2.пром.+ПСХ'!G49</f>
        <v>295.27</v>
      </c>
      <c r="M2" s="10">
        <f>L2/L1</f>
        <v>0.36363434840276498</v>
      </c>
    </row>
    <row r="3" spans="1:15" ht="12.75" customHeight="1">
      <c r="A3" s="131" t="s">
        <v>1306</v>
      </c>
      <c r="B3" s="868"/>
      <c r="C3" s="868"/>
      <c r="D3" s="868"/>
      <c r="E3" s="868"/>
      <c r="F3" s="868"/>
      <c r="G3" s="868"/>
      <c r="I3" s="10" t="s">
        <v>427</v>
      </c>
      <c r="L3" s="2127">
        <f>SUM(G34:G38)+G42+'П.2.2.пром.+ПСХ'!G14+'П.2.2.пром.+ПСХ'!G21+'П.2.2.пром.+ПСХ'!G29+'П.2.2.пром.+ПСХ'!G33+'П.2.2.пром.+ПСХ'!G39+'П.2.2.пром.+ПСХ'!G43+'П.2.2.пром.+ПСХ'!G48</f>
        <v>0</v>
      </c>
      <c r="M3" s="10">
        <f>L3/L1</f>
        <v>0</v>
      </c>
    </row>
    <row r="4" spans="1:15" ht="12.75" customHeight="1">
      <c r="A4" s="131" t="s">
        <v>2231</v>
      </c>
      <c r="B4" s="100"/>
      <c r="C4" s="100"/>
      <c r="D4" s="100"/>
      <c r="E4" s="100"/>
      <c r="F4" s="100"/>
      <c r="G4" s="100"/>
      <c r="I4" s="10" t="s">
        <v>422</v>
      </c>
      <c r="L4" s="2127">
        <f>G40+G41+G43+'П.2.2.пром.+ПСХ'!G22+'П.2.2.пром.+ПСХ'!G30+'П.2.2.пром.+ПСХ'!G34+'П.2.2.пром.+ПСХ'!G40+'П.2.2.пром.+ПСХ'!G41+'П.2.2.пром.+ПСХ'!G42+'П.2.2.пром.+ПСХ'!G44+'П.2.2.пром.+ПСХ'!G45+'П.2.2.пром.+ПСХ'!G46+'П.2.2.пром.+ПСХ'!G47</f>
        <v>344.63500000000005</v>
      </c>
      <c r="M4" s="10">
        <f>L4/L1</f>
        <v>0.42442890798857635</v>
      </c>
    </row>
    <row r="5" spans="1:15" ht="13.5" customHeight="1">
      <c r="A5" s="131" t="s">
        <v>670</v>
      </c>
      <c r="B5" s="100"/>
      <c r="C5" s="100"/>
      <c r="D5" s="100"/>
      <c r="E5" s="100"/>
      <c r="F5" s="100"/>
      <c r="G5" s="100"/>
      <c r="I5" s="10" t="s">
        <v>423</v>
      </c>
      <c r="L5" s="2127">
        <f>G49</f>
        <v>172.09199999999998</v>
      </c>
      <c r="M5" s="10">
        <f>L5/L1</f>
        <v>0.21193674360865861</v>
      </c>
    </row>
    <row r="6" spans="1:15" ht="12.75" customHeight="1">
      <c r="A6" s="131" t="s">
        <v>672</v>
      </c>
      <c r="B6" s="110"/>
      <c r="C6" s="110"/>
      <c r="D6" s="110"/>
      <c r="E6" s="110"/>
      <c r="F6" s="110"/>
      <c r="G6" s="110"/>
      <c r="L6" s="2127"/>
    </row>
    <row r="7" spans="1:15" ht="15.6">
      <c r="A7" s="131" t="s">
        <v>671</v>
      </c>
      <c r="B7" s="110"/>
      <c r="C7" s="110"/>
      <c r="D7" s="110"/>
      <c r="E7" s="110"/>
      <c r="F7" s="110"/>
      <c r="G7" s="110"/>
      <c r="L7" s="2127">
        <f>SUM(L2:L5)</f>
        <v>811.99699999999996</v>
      </c>
      <c r="N7" s="2307" t="s">
        <v>2392</v>
      </c>
      <c r="O7" s="2307"/>
    </row>
    <row r="8" spans="1:15">
      <c r="A8" s="868"/>
      <c r="B8" s="110"/>
      <c r="C8" s="110"/>
      <c r="D8" s="110"/>
      <c r="E8" s="110"/>
      <c r="F8" s="110"/>
      <c r="G8" s="110"/>
      <c r="L8" s="2127"/>
      <c r="N8" s="2308">
        <v>577</v>
      </c>
      <c r="O8" s="2309" t="s">
        <v>2393</v>
      </c>
    </row>
    <row r="9" spans="1:15">
      <c r="G9" s="872" t="s">
        <v>2483</v>
      </c>
      <c r="L9" s="2663">
        <f>L7+П.2.1.ЛОЦ!L7</f>
        <v>829.96699999999998</v>
      </c>
    </row>
    <row r="10" spans="1:15" ht="79.2">
      <c r="A10" s="4320"/>
      <c r="B10" s="4322" t="s">
        <v>361</v>
      </c>
      <c r="C10" s="4322" t="s">
        <v>362</v>
      </c>
      <c r="D10" s="4322" t="s">
        <v>363</v>
      </c>
      <c r="E10" s="2280" t="s">
        <v>364</v>
      </c>
      <c r="F10" s="2280" t="s">
        <v>365</v>
      </c>
      <c r="G10" s="2280" t="s">
        <v>366</v>
      </c>
      <c r="I10" s="78"/>
    </row>
    <row r="11" spans="1:15">
      <c r="A11" s="4321"/>
      <c r="B11" s="4323"/>
      <c r="C11" s="4323"/>
      <c r="D11" s="4323"/>
      <c r="E11" s="2280" t="s">
        <v>367</v>
      </c>
      <c r="F11" s="2280" t="s">
        <v>368</v>
      </c>
      <c r="G11" s="2280" t="s">
        <v>369</v>
      </c>
      <c r="L11" s="60"/>
    </row>
    <row r="12" spans="1:15">
      <c r="A12" s="2283">
        <v>1</v>
      </c>
      <c r="B12" s="2283">
        <f>+A12+1</f>
        <v>2</v>
      </c>
      <c r="C12" s="2283">
        <f>+B12+1</f>
        <v>3</v>
      </c>
      <c r="D12" s="2283">
        <f>+C12+1</f>
        <v>4</v>
      </c>
      <c r="E12" s="2283">
        <f>+D12+1</f>
        <v>5</v>
      </c>
      <c r="F12" s="2283">
        <f>+E12+1</f>
        <v>6</v>
      </c>
      <c r="G12" s="2283" t="s">
        <v>502</v>
      </c>
    </row>
    <row r="13" spans="1:15">
      <c r="A13" s="4312" t="s">
        <v>370</v>
      </c>
      <c r="B13" s="2282">
        <v>1150</v>
      </c>
      <c r="C13" s="2283" t="s">
        <v>338</v>
      </c>
      <c r="D13" s="2285" t="s">
        <v>371</v>
      </c>
      <c r="E13" s="2283">
        <v>800</v>
      </c>
      <c r="F13" s="2283"/>
      <c r="G13" s="2283"/>
    </row>
    <row r="14" spans="1:15">
      <c r="A14" s="4312"/>
      <c r="B14" s="2282">
        <v>750</v>
      </c>
      <c r="C14" s="2283">
        <v>1</v>
      </c>
      <c r="D14" s="2285" t="s">
        <v>371</v>
      </c>
      <c r="E14" s="2283">
        <v>600</v>
      </c>
      <c r="F14" s="2283"/>
      <c r="G14" s="2283"/>
      <c r="L14" s="60"/>
      <c r="M14" s="79"/>
    </row>
    <row r="15" spans="1:15">
      <c r="A15" s="4312"/>
      <c r="B15" s="4324" t="s">
        <v>372</v>
      </c>
      <c r="C15" s="4316">
        <v>1</v>
      </c>
      <c r="D15" s="2285" t="s">
        <v>371</v>
      </c>
      <c r="E15" s="2283">
        <v>400</v>
      </c>
      <c r="F15" s="2283"/>
      <c r="G15" s="2283"/>
      <c r="L15" s="48"/>
      <c r="M15" s="79"/>
    </row>
    <row r="16" spans="1:15">
      <c r="A16" s="4312"/>
      <c r="B16" s="4324"/>
      <c r="C16" s="4316"/>
      <c r="D16" s="2285" t="s">
        <v>373</v>
      </c>
      <c r="E16" s="2283">
        <v>300</v>
      </c>
      <c r="F16" s="2283"/>
      <c r="G16" s="2283"/>
    </row>
    <row r="17" spans="1:12">
      <c r="A17" s="4312"/>
      <c r="B17" s="4324">
        <v>330</v>
      </c>
      <c r="C17" s="4316">
        <v>1</v>
      </c>
      <c r="D17" s="2285" t="s">
        <v>371</v>
      </c>
      <c r="E17" s="2283">
        <v>230</v>
      </c>
      <c r="F17" s="2283"/>
      <c r="G17" s="2283"/>
      <c r="L17" s="60"/>
    </row>
    <row r="18" spans="1:12">
      <c r="A18" s="4312"/>
      <c r="B18" s="4324"/>
      <c r="C18" s="4316"/>
      <c r="D18" s="2285" t="s">
        <v>373</v>
      </c>
      <c r="E18" s="2283">
        <v>170</v>
      </c>
      <c r="F18" s="2283"/>
      <c r="G18" s="2283"/>
    </row>
    <row r="19" spans="1:12">
      <c r="A19" s="4312"/>
      <c r="B19" s="4324"/>
      <c r="C19" s="4316">
        <v>2</v>
      </c>
      <c r="D19" s="2285" t="s">
        <v>371</v>
      </c>
      <c r="E19" s="2283">
        <v>290</v>
      </c>
      <c r="F19" s="2283"/>
      <c r="G19" s="2283"/>
    </row>
    <row r="20" spans="1:12">
      <c r="A20" s="4312"/>
      <c r="B20" s="4324"/>
      <c r="C20" s="4316"/>
      <c r="D20" s="2285" t="s">
        <v>373</v>
      </c>
      <c r="E20" s="2283">
        <v>210</v>
      </c>
      <c r="F20" s="2283"/>
      <c r="G20" s="2283"/>
    </row>
    <row r="21" spans="1:12">
      <c r="A21" s="4312"/>
      <c r="B21" s="4325">
        <v>220</v>
      </c>
      <c r="C21" s="4312">
        <v>1</v>
      </c>
      <c r="D21" s="2285" t="s">
        <v>374</v>
      </c>
      <c r="E21" s="531">
        <v>260</v>
      </c>
      <c r="F21" s="530"/>
      <c r="G21" s="530"/>
    </row>
    <row r="22" spans="1:12">
      <c r="A22" s="4312"/>
      <c r="B22" s="4325"/>
      <c r="C22" s="4312"/>
      <c r="D22" s="2285" t="s">
        <v>371</v>
      </c>
      <c r="E22" s="531">
        <v>210</v>
      </c>
      <c r="F22" s="531"/>
      <c r="G22" s="531"/>
    </row>
    <row r="23" spans="1:12">
      <c r="A23" s="4312"/>
      <c r="B23" s="4325"/>
      <c r="C23" s="4312"/>
      <c r="D23" s="2285" t="s">
        <v>373</v>
      </c>
      <c r="E23" s="531">
        <v>140</v>
      </c>
      <c r="F23" s="531"/>
      <c r="G23" s="531"/>
    </row>
    <row r="24" spans="1:12">
      <c r="A24" s="4312"/>
      <c r="B24" s="4325"/>
      <c r="C24" s="4312">
        <v>2</v>
      </c>
      <c r="D24" s="2285" t="s">
        <v>371</v>
      </c>
      <c r="E24" s="531">
        <v>270</v>
      </c>
      <c r="F24" s="531">
        <v>0.1</v>
      </c>
      <c r="G24" s="538">
        <f>E24*F24/100</f>
        <v>0.27</v>
      </c>
    </row>
    <row r="25" spans="1:12">
      <c r="A25" s="4312"/>
      <c r="B25" s="4325"/>
      <c r="C25" s="4312"/>
      <c r="D25" s="2285" t="s">
        <v>373</v>
      </c>
      <c r="E25" s="531">
        <v>180</v>
      </c>
      <c r="F25" s="531"/>
      <c r="G25" s="531"/>
    </row>
    <row r="26" spans="1:12">
      <c r="A26" s="4312"/>
      <c r="B26" s="4325" t="s">
        <v>375</v>
      </c>
      <c r="C26" s="4312">
        <v>1</v>
      </c>
      <c r="D26" s="2285" t="s">
        <v>374</v>
      </c>
      <c r="E26" s="531">
        <v>180</v>
      </c>
      <c r="F26" s="530"/>
      <c r="G26" s="530"/>
    </row>
    <row r="27" spans="1:12">
      <c r="A27" s="4312"/>
      <c r="B27" s="4325"/>
      <c r="C27" s="4312"/>
      <c r="D27" s="2285" t="s">
        <v>371</v>
      </c>
      <c r="E27" s="531">
        <v>160</v>
      </c>
      <c r="F27" s="531"/>
      <c r="G27" s="533">
        <f>E27*F27/100</f>
        <v>0</v>
      </c>
    </row>
    <row r="28" spans="1:12">
      <c r="A28" s="4312"/>
      <c r="B28" s="4325"/>
      <c r="C28" s="4312"/>
      <c r="D28" s="2285" t="s">
        <v>373</v>
      </c>
      <c r="E28" s="531">
        <v>130</v>
      </c>
      <c r="F28" s="532"/>
      <c r="G28" s="531"/>
    </row>
    <row r="29" spans="1:12">
      <c r="A29" s="4312"/>
      <c r="B29" s="4325"/>
      <c r="C29" s="4312">
        <v>2</v>
      </c>
      <c r="D29" s="2285" t="s">
        <v>371</v>
      </c>
      <c r="E29" s="531">
        <v>190</v>
      </c>
      <c r="F29" s="531"/>
      <c r="G29" s="530"/>
    </row>
    <row r="30" spans="1:12">
      <c r="A30" s="4312"/>
      <c r="B30" s="4325"/>
      <c r="C30" s="4312"/>
      <c r="D30" s="2285" t="s">
        <v>373</v>
      </c>
      <c r="E30" s="531">
        <v>160</v>
      </c>
      <c r="F30" s="532"/>
      <c r="G30" s="531"/>
    </row>
    <row r="31" spans="1:12">
      <c r="A31" s="4312" t="s">
        <v>376</v>
      </c>
      <c r="B31" s="2284">
        <v>220</v>
      </c>
      <c r="C31" s="2283" t="s">
        <v>338</v>
      </c>
      <c r="D31" s="2283" t="s">
        <v>338</v>
      </c>
      <c r="E31" s="531">
        <v>3000</v>
      </c>
      <c r="F31" s="532"/>
      <c r="G31" s="531"/>
    </row>
    <row r="32" spans="1:12">
      <c r="A32" s="4312"/>
      <c r="B32" s="2284">
        <v>110</v>
      </c>
      <c r="C32" s="2283" t="s">
        <v>338</v>
      </c>
      <c r="D32" s="2283" t="s">
        <v>338</v>
      </c>
      <c r="E32" s="531">
        <v>2300</v>
      </c>
      <c r="F32" s="532"/>
      <c r="G32" s="531"/>
    </row>
    <row r="33" spans="1:13">
      <c r="A33" s="4312" t="s">
        <v>501</v>
      </c>
      <c r="B33" s="4312"/>
      <c r="C33" s="4312"/>
      <c r="D33" s="4312"/>
      <c r="E33" s="4312"/>
      <c r="F33" s="533"/>
      <c r="G33" s="538">
        <f>SUM(G13:G32)</f>
        <v>0.27</v>
      </c>
      <c r="H33" s="58"/>
      <c r="I33" s="57"/>
      <c r="J33" s="57"/>
      <c r="K33" s="57"/>
      <c r="L33" s="57"/>
    </row>
    <row r="34" spans="1:13">
      <c r="A34" s="4313" t="s">
        <v>370</v>
      </c>
      <c r="B34" s="4314">
        <v>35</v>
      </c>
      <c r="C34" s="4313">
        <v>1</v>
      </c>
      <c r="D34" s="2285" t="s">
        <v>374</v>
      </c>
      <c r="E34" s="531">
        <v>170</v>
      </c>
      <c r="F34" s="530"/>
      <c r="G34" s="530"/>
    </row>
    <row r="35" spans="1:13">
      <c r="A35" s="4313"/>
      <c r="B35" s="4314"/>
      <c r="C35" s="4313"/>
      <c r="D35" s="2285" t="s">
        <v>371</v>
      </c>
      <c r="E35" s="531">
        <v>140</v>
      </c>
      <c r="F35" s="531"/>
      <c r="G35" s="531"/>
    </row>
    <row r="36" spans="1:13">
      <c r="A36" s="4313"/>
      <c r="B36" s="4314"/>
      <c r="C36" s="4313"/>
      <c r="D36" s="2285" t="s">
        <v>373</v>
      </c>
      <c r="E36" s="531">
        <v>120</v>
      </c>
      <c r="F36" s="531"/>
      <c r="G36" s="538">
        <f>E36*F36/100</f>
        <v>0</v>
      </c>
    </row>
    <row r="37" spans="1:13">
      <c r="A37" s="4313"/>
      <c r="B37" s="4314"/>
      <c r="C37" s="4313">
        <v>2</v>
      </c>
      <c r="D37" s="2285" t="s">
        <v>371</v>
      </c>
      <c r="E37" s="531">
        <v>180</v>
      </c>
      <c r="F37" s="531"/>
      <c r="G37" s="538">
        <f>E37*F37/100</f>
        <v>0</v>
      </c>
    </row>
    <row r="38" spans="1:13">
      <c r="A38" s="4313"/>
      <c r="B38" s="4314"/>
      <c r="C38" s="4313"/>
      <c r="D38" s="2285" t="s">
        <v>373</v>
      </c>
      <c r="E38" s="531">
        <v>150</v>
      </c>
      <c r="F38" s="531"/>
      <c r="G38" s="531"/>
    </row>
    <row r="39" spans="1:13">
      <c r="A39" s="4313"/>
      <c r="B39" s="4315" t="s">
        <v>377</v>
      </c>
      <c r="C39" s="4316" t="s">
        <v>338</v>
      </c>
      <c r="D39" s="531" t="s">
        <v>374</v>
      </c>
      <c r="E39" s="531">
        <v>160</v>
      </c>
      <c r="F39" s="531"/>
      <c r="G39" s="531"/>
    </row>
    <row r="40" spans="1:13" ht="26.4">
      <c r="A40" s="4313"/>
      <c r="B40" s="4315"/>
      <c r="C40" s="4316"/>
      <c r="D40" s="540" t="s">
        <v>378</v>
      </c>
      <c r="E40" s="531">
        <v>140</v>
      </c>
      <c r="F40" s="531"/>
      <c r="G40" s="541">
        <f>E40*F40/100</f>
        <v>0</v>
      </c>
    </row>
    <row r="41" spans="1:13" ht="26.4">
      <c r="A41" s="4313"/>
      <c r="B41" s="4315"/>
      <c r="C41" s="4316"/>
      <c r="D41" s="540" t="s">
        <v>379</v>
      </c>
      <c r="E41" s="531">
        <v>110</v>
      </c>
      <c r="F41" s="2128">
        <v>5</v>
      </c>
      <c r="G41" s="541">
        <f>E41*F41/100</f>
        <v>5.5</v>
      </c>
      <c r="J41" s="2129" t="s">
        <v>1608</v>
      </c>
      <c r="K41" s="201"/>
      <c r="L41" s="201"/>
      <c r="M41" s="201"/>
    </row>
    <row r="42" spans="1:13">
      <c r="A42" s="4317" t="s">
        <v>376</v>
      </c>
      <c r="B42" s="2284" t="s">
        <v>380</v>
      </c>
      <c r="C42" s="2283" t="s">
        <v>338</v>
      </c>
      <c r="D42" s="2283" t="s">
        <v>338</v>
      </c>
      <c r="E42" s="531">
        <v>470</v>
      </c>
      <c r="F42" s="531"/>
      <c r="G42" s="531"/>
      <c r="J42" s="2129"/>
      <c r="K42" s="201"/>
      <c r="L42" s="201"/>
      <c r="M42" s="201"/>
    </row>
    <row r="43" spans="1:13">
      <c r="A43" s="4317"/>
      <c r="B43" s="542" t="s">
        <v>381</v>
      </c>
      <c r="C43" s="543" t="s">
        <v>338</v>
      </c>
      <c r="D43" s="543" t="s">
        <v>338</v>
      </c>
      <c r="E43" s="534">
        <v>350</v>
      </c>
      <c r="F43" s="2303">
        <f>19.01</f>
        <v>19.010000000000002</v>
      </c>
      <c r="G43" s="541">
        <f>E43*F43/100</f>
        <v>66.535000000000011</v>
      </c>
      <c r="J43" s="2129"/>
      <c r="K43" s="201">
        <f>100.2+100+130+100+200+140+140+100+200+180+100+200+100+600+250+250+100+250+100+270+50+100+70+100+70+120+100+100</f>
        <v>4320.2</v>
      </c>
      <c r="L43" s="201"/>
      <c r="M43" s="201"/>
    </row>
    <row r="44" spans="1:13">
      <c r="A44" s="4318" t="s">
        <v>382</v>
      </c>
      <c r="B44" s="4318"/>
      <c r="C44" s="4318"/>
      <c r="D44" s="4318"/>
      <c r="E44" s="4318"/>
      <c r="F44" s="535"/>
      <c r="G44" s="541">
        <f>SUM(G34:G43)</f>
        <v>72.035000000000011</v>
      </c>
      <c r="H44" s="59"/>
      <c r="J44" s="2129"/>
      <c r="K44" s="201"/>
      <c r="L44" s="201"/>
      <c r="M44" s="201"/>
    </row>
    <row r="45" spans="1:13">
      <c r="A45" s="4313" t="s">
        <v>370</v>
      </c>
      <c r="B45" s="4319" t="s">
        <v>383</v>
      </c>
      <c r="C45" s="4313" t="s">
        <v>338</v>
      </c>
      <c r="D45" s="531" t="s">
        <v>374</v>
      </c>
      <c r="E45" s="531">
        <v>260</v>
      </c>
      <c r="F45" s="531"/>
      <c r="G45" s="531"/>
      <c r="J45" s="2129"/>
      <c r="K45" s="201"/>
      <c r="L45" s="201"/>
      <c r="M45" s="201"/>
    </row>
    <row r="46" spans="1:13" ht="26.4">
      <c r="A46" s="4313"/>
      <c r="B46" s="4319"/>
      <c r="C46" s="4313"/>
      <c r="D46" s="540" t="s">
        <v>378</v>
      </c>
      <c r="E46" s="531">
        <v>220</v>
      </c>
      <c r="F46" s="531"/>
      <c r="G46" s="541">
        <f>E46*F46/100</f>
        <v>0</v>
      </c>
      <c r="J46" s="2129"/>
      <c r="K46" s="201"/>
      <c r="L46" s="201"/>
      <c r="M46" s="201"/>
    </row>
    <row r="47" spans="1:13" ht="26.4">
      <c r="A47" s="4313"/>
      <c r="B47" s="4319"/>
      <c r="C47" s="4313"/>
      <c r="D47" s="540" t="s">
        <v>379</v>
      </c>
      <c r="E47" s="531">
        <v>150</v>
      </c>
      <c r="F47" s="2130">
        <f>0.5+1.8</f>
        <v>2.2999999999999998</v>
      </c>
      <c r="G47" s="541">
        <f>E47*F47/100</f>
        <v>3.45</v>
      </c>
      <c r="J47" s="2129" t="s">
        <v>1608</v>
      </c>
      <c r="K47" s="201"/>
      <c r="L47" s="201"/>
      <c r="M47" s="201"/>
    </row>
    <row r="48" spans="1:13">
      <c r="A48" s="2285" t="s">
        <v>376</v>
      </c>
      <c r="B48" s="2286" t="s">
        <v>384</v>
      </c>
      <c r="C48" s="2283" t="s">
        <v>338</v>
      </c>
      <c r="D48" s="2283" t="s">
        <v>338</v>
      </c>
      <c r="E48" s="531">
        <v>270</v>
      </c>
      <c r="F48" s="2304">
        <f>62.46</f>
        <v>62.46</v>
      </c>
      <c r="G48" s="541">
        <f>E48*F48/100</f>
        <v>168.642</v>
      </c>
      <c r="K48" s="201"/>
      <c r="L48" s="201"/>
      <c r="M48" s="201"/>
    </row>
    <row r="49" spans="1:12">
      <c r="A49" s="4311" t="s">
        <v>387</v>
      </c>
      <c r="B49" s="4311"/>
      <c r="C49" s="4311"/>
      <c r="D49" s="4311"/>
      <c r="E49" s="4311"/>
      <c r="F49" s="4311"/>
      <c r="G49" s="541">
        <f>G45+G46+G47+G48</f>
        <v>172.09199999999998</v>
      </c>
      <c r="J49" s="2131">
        <f>G33+G44+G49</f>
        <v>244.39699999999999</v>
      </c>
      <c r="K49" s="132"/>
      <c r="L49" s="2131"/>
    </row>
    <row r="50" spans="1:12">
      <c r="A50" s="50"/>
      <c r="B50" s="51"/>
      <c r="C50" s="50"/>
      <c r="D50" s="5"/>
      <c r="E50" s="5"/>
      <c r="F50" s="5"/>
      <c r="G50" s="5"/>
      <c r="J50" s="78"/>
      <c r="K50" s="78"/>
      <c r="L50" s="78"/>
    </row>
    <row r="51" spans="1:12" ht="9.75" customHeight="1"/>
    <row r="52" spans="1:12" s="776" customFormat="1" ht="23.25" customHeight="1">
      <c r="A52" s="839" t="s">
        <v>1266</v>
      </c>
      <c r="B52" s="774"/>
      <c r="C52" s="775"/>
      <c r="H52" s="2068"/>
    </row>
    <row r="53" spans="1:12" s="776" customFormat="1" ht="15" customHeight="1">
      <c r="A53" s="839" t="s">
        <v>1304</v>
      </c>
      <c r="B53" s="778"/>
      <c r="C53" s="775"/>
      <c r="G53" s="779" t="s">
        <v>1268</v>
      </c>
    </row>
    <row r="54" spans="1:12" s="52" customFormat="1">
      <c r="F54" s="53"/>
    </row>
    <row r="55" spans="1:12" s="52" customFormat="1">
      <c r="A55" s="98"/>
      <c r="F55" s="53"/>
    </row>
    <row r="56" spans="1:12" s="52" customFormat="1">
      <c r="A56" s="98"/>
      <c r="F56" s="53"/>
    </row>
  </sheetData>
  <mergeCells count="30">
    <mergeCell ref="A10:A11"/>
    <mergeCell ref="B10:B11"/>
    <mergeCell ref="C10:C11"/>
    <mergeCell ref="D10:D11"/>
    <mergeCell ref="A13:A30"/>
    <mergeCell ref="B15:B16"/>
    <mergeCell ref="C15:C16"/>
    <mergeCell ref="B17:B20"/>
    <mergeCell ref="C17:C18"/>
    <mergeCell ref="C19:C20"/>
    <mergeCell ref="B21:B25"/>
    <mergeCell ref="C21:C23"/>
    <mergeCell ref="C24:C25"/>
    <mergeCell ref="B26:B30"/>
    <mergeCell ref="C26:C28"/>
    <mergeCell ref="C29:C30"/>
    <mergeCell ref="A49:F49"/>
    <mergeCell ref="A31:A32"/>
    <mergeCell ref="A33:E33"/>
    <mergeCell ref="A34:A41"/>
    <mergeCell ref="B34:B38"/>
    <mergeCell ref="C34:C36"/>
    <mergeCell ref="C37:C38"/>
    <mergeCell ref="B39:B41"/>
    <mergeCell ref="C39:C41"/>
    <mergeCell ref="A42:A43"/>
    <mergeCell ref="A44:E44"/>
    <mergeCell ref="A45:A47"/>
    <mergeCell ref="B45:B47"/>
    <mergeCell ref="C45:C47"/>
  </mergeCells>
  <printOptions horizontalCentered="1"/>
  <pageMargins left="0.78740157480314965" right="0.78740157480314965" top="0.78740157480314965" bottom="0.11811023622047245" header="0.51181102362204722" footer="3.937007874015748E-2"/>
  <pageSetup paperSize="9" scale="90" orientation="portrait" r:id="rId1"/>
  <headerFooter alignWithMargins="0"/>
  <colBreaks count="1" manualBreakCount="1">
    <brk id="7" max="1048575" man="1"/>
  </colBreaks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7">
    <tabColor rgb="FF7030A0"/>
  </sheetPr>
  <dimension ref="A1:K71"/>
  <sheetViews>
    <sheetView workbookViewId="0">
      <pane xSplit="3" ySplit="7" topLeftCell="D68" activePane="bottomRight" state="frozenSplit"/>
      <selection sqref="A1:XFD1048576"/>
      <selection pane="topRight" sqref="A1:XFD1048576"/>
      <selection pane="bottomLeft" sqref="A1:XFD1048576"/>
      <selection pane="bottomRight" sqref="A1:XFD1048576"/>
    </sheetView>
  </sheetViews>
  <sheetFormatPr defaultRowHeight="13.2"/>
  <cols>
    <col min="1" max="1" width="9.109375" style="10"/>
    <col min="2" max="2" width="18" style="10" customWidth="1"/>
    <col min="3" max="3" width="12.88671875" style="10" customWidth="1"/>
    <col min="4" max="4" width="12.33203125" style="10" customWidth="1"/>
    <col min="5" max="5" width="11" style="10" customWidth="1"/>
    <col min="6" max="6" width="10.5546875" style="10" customWidth="1"/>
    <col min="7" max="257" width="9.109375" style="10"/>
    <col min="258" max="258" width="18" style="10" customWidth="1"/>
    <col min="259" max="259" width="12.88671875" style="10" customWidth="1"/>
    <col min="260" max="260" width="12.33203125" style="10" customWidth="1"/>
    <col min="261" max="261" width="11" style="10" customWidth="1"/>
    <col min="262" max="262" width="10.5546875" style="10" customWidth="1"/>
    <col min="263" max="513" width="9.109375" style="10"/>
    <col min="514" max="514" width="18" style="10" customWidth="1"/>
    <col min="515" max="515" width="12.88671875" style="10" customWidth="1"/>
    <col min="516" max="516" width="12.33203125" style="10" customWidth="1"/>
    <col min="517" max="517" width="11" style="10" customWidth="1"/>
    <col min="518" max="518" width="10.5546875" style="10" customWidth="1"/>
    <col min="519" max="769" width="9.109375" style="10"/>
    <col min="770" max="770" width="18" style="10" customWidth="1"/>
    <col min="771" max="771" width="12.88671875" style="10" customWidth="1"/>
    <col min="772" max="772" width="12.33203125" style="10" customWidth="1"/>
    <col min="773" max="773" width="11" style="10" customWidth="1"/>
    <col min="774" max="774" width="10.5546875" style="10" customWidth="1"/>
    <col min="775" max="1025" width="9.109375" style="10"/>
    <col min="1026" max="1026" width="18" style="10" customWidth="1"/>
    <col min="1027" max="1027" width="12.88671875" style="10" customWidth="1"/>
    <col min="1028" max="1028" width="12.33203125" style="10" customWidth="1"/>
    <col min="1029" max="1029" width="11" style="10" customWidth="1"/>
    <col min="1030" max="1030" width="10.5546875" style="10" customWidth="1"/>
    <col min="1031" max="1281" width="9.109375" style="10"/>
    <col min="1282" max="1282" width="18" style="10" customWidth="1"/>
    <col min="1283" max="1283" width="12.88671875" style="10" customWidth="1"/>
    <col min="1284" max="1284" width="12.33203125" style="10" customWidth="1"/>
    <col min="1285" max="1285" width="11" style="10" customWidth="1"/>
    <col min="1286" max="1286" width="10.5546875" style="10" customWidth="1"/>
    <col min="1287" max="1537" width="9.109375" style="10"/>
    <col min="1538" max="1538" width="18" style="10" customWidth="1"/>
    <col min="1539" max="1539" width="12.88671875" style="10" customWidth="1"/>
    <col min="1540" max="1540" width="12.33203125" style="10" customWidth="1"/>
    <col min="1541" max="1541" width="11" style="10" customWidth="1"/>
    <col min="1542" max="1542" width="10.5546875" style="10" customWidth="1"/>
    <col min="1543" max="1793" width="9.109375" style="10"/>
    <col min="1794" max="1794" width="18" style="10" customWidth="1"/>
    <col min="1795" max="1795" width="12.88671875" style="10" customWidth="1"/>
    <col min="1796" max="1796" width="12.33203125" style="10" customWidth="1"/>
    <col min="1797" max="1797" width="11" style="10" customWidth="1"/>
    <col min="1798" max="1798" width="10.5546875" style="10" customWidth="1"/>
    <col min="1799" max="2049" width="9.109375" style="10"/>
    <col min="2050" max="2050" width="18" style="10" customWidth="1"/>
    <col min="2051" max="2051" width="12.88671875" style="10" customWidth="1"/>
    <col min="2052" max="2052" width="12.33203125" style="10" customWidth="1"/>
    <col min="2053" max="2053" width="11" style="10" customWidth="1"/>
    <col min="2054" max="2054" width="10.5546875" style="10" customWidth="1"/>
    <col min="2055" max="2305" width="9.109375" style="10"/>
    <col min="2306" max="2306" width="18" style="10" customWidth="1"/>
    <col min="2307" max="2307" width="12.88671875" style="10" customWidth="1"/>
    <col min="2308" max="2308" width="12.33203125" style="10" customWidth="1"/>
    <col min="2309" max="2309" width="11" style="10" customWidth="1"/>
    <col min="2310" max="2310" width="10.5546875" style="10" customWidth="1"/>
    <col min="2311" max="2561" width="9.109375" style="10"/>
    <col min="2562" max="2562" width="18" style="10" customWidth="1"/>
    <col min="2563" max="2563" width="12.88671875" style="10" customWidth="1"/>
    <col min="2564" max="2564" width="12.33203125" style="10" customWidth="1"/>
    <col min="2565" max="2565" width="11" style="10" customWidth="1"/>
    <col min="2566" max="2566" width="10.5546875" style="10" customWidth="1"/>
    <col min="2567" max="2817" width="9.109375" style="10"/>
    <col min="2818" max="2818" width="18" style="10" customWidth="1"/>
    <col min="2819" max="2819" width="12.88671875" style="10" customWidth="1"/>
    <col min="2820" max="2820" width="12.33203125" style="10" customWidth="1"/>
    <col min="2821" max="2821" width="11" style="10" customWidth="1"/>
    <col min="2822" max="2822" width="10.5546875" style="10" customWidth="1"/>
    <col min="2823" max="3073" width="9.109375" style="10"/>
    <col min="3074" max="3074" width="18" style="10" customWidth="1"/>
    <col min="3075" max="3075" width="12.88671875" style="10" customWidth="1"/>
    <col min="3076" max="3076" width="12.33203125" style="10" customWidth="1"/>
    <col min="3077" max="3077" width="11" style="10" customWidth="1"/>
    <col min="3078" max="3078" width="10.5546875" style="10" customWidth="1"/>
    <col min="3079" max="3329" width="9.109375" style="10"/>
    <col min="3330" max="3330" width="18" style="10" customWidth="1"/>
    <col min="3331" max="3331" width="12.88671875" style="10" customWidth="1"/>
    <col min="3332" max="3332" width="12.33203125" style="10" customWidth="1"/>
    <col min="3333" max="3333" width="11" style="10" customWidth="1"/>
    <col min="3334" max="3334" width="10.5546875" style="10" customWidth="1"/>
    <col min="3335" max="3585" width="9.109375" style="10"/>
    <col min="3586" max="3586" width="18" style="10" customWidth="1"/>
    <col min="3587" max="3587" width="12.88671875" style="10" customWidth="1"/>
    <col min="3588" max="3588" width="12.33203125" style="10" customWidth="1"/>
    <col min="3589" max="3589" width="11" style="10" customWidth="1"/>
    <col min="3590" max="3590" width="10.5546875" style="10" customWidth="1"/>
    <col min="3591" max="3841" width="9.109375" style="10"/>
    <col min="3842" max="3842" width="18" style="10" customWidth="1"/>
    <col min="3843" max="3843" width="12.88671875" style="10" customWidth="1"/>
    <col min="3844" max="3844" width="12.33203125" style="10" customWidth="1"/>
    <col min="3845" max="3845" width="11" style="10" customWidth="1"/>
    <col min="3846" max="3846" width="10.5546875" style="10" customWidth="1"/>
    <col min="3847" max="4097" width="9.109375" style="10"/>
    <col min="4098" max="4098" width="18" style="10" customWidth="1"/>
    <col min="4099" max="4099" width="12.88671875" style="10" customWidth="1"/>
    <col min="4100" max="4100" width="12.33203125" style="10" customWidth="1"/>
    <col min="4101" max="4101" width="11" style="10" customWidth="1"/>
    <col min="4102" max="4102" width="10.5546875" style="10" customWidth="1"/>
    <col min="4103" max="4353" width="9.109375" style="10"/>
    <col min="4354" max="4354" width="18" style="10" customWidth="1"/>
    <col min="4355" max="4355" width="12.88671875" style="10" customWidth="1"/>
    <col min="4356" max="4356" width="12.33203125" style="10" customWidth="1"/>
    <col min="4357" max="4357" width="11" style="10" customWidth="1"/>
    <col min="4358" max="4358" width="10.5546875" style="10" customWidth="1"/>
    <col min="4359" max="4609" width="9.109375" style="10"/>
    <col min="4610" max="4610" width="18" style="10" customWidth="1"/>
    <col min="4611" max="4611" width="12.88671875" style="10" customWidth="1"/>
    <col min="4612" max="4612" width="12.33203125" style="10" customWidth="1"/>
    <col min="4613" max="4613" width="11" style="10" customWidth="1"/>
    <col min="4614" max="4614" width="10.5546875" style="10" customWidth="1"/>
    <col min="4615" max="4865" width="9.109375" style="10"/>
    <col min="4866" max="4866" width="18" style="10" customWidth="1"/>
    <col min="4867" max="4867" width="12.88671875" style="10" customWidth="1"/>
    <col min="4868" max="4868" width="12.33203125" style="10" customWidth="1"/>
    <col min="4869" max="4869" width="11" style="10" customWidth="1"/>
    <col min="4870" max="4870" width="10.5546875" style="10" customWidth="1"/>
    <col min="4871" max="5121" width="9.109375" style="10"/>
    <col min="5122" max="5122" width="18" style="10" customWidth="1"/>
    <col min="5123" max="5123" width="12.88671875" style="10" customWidth="1"/>
    <col min="5124" max="5124" width="12.33203125" style="10" customWidth="1"/>
    <col min="5125" max="5125" width="11" style="10" customWidth="1"/>
    <col min="5126" max="5126" width="10.5546875" style="10" customWidth="1"/>
    <col min="5127" max="5377" width="9.109375" style="10"/>
    <col min="5378" max="5378" width="18" style="10" customWidth="1"/>
    <col min="5379" max="5379" width="12.88671875" style="10" customWidth="1"/>
    <col min="5380" max="5380" width="12.33203125" style="10" customWidth="1"/>
    <col min="5381" max="5381" width="11" style="10" customWidth="1"/>
    <col min="5382" max="5382" width="10.5546875" style="10" customWidth="1"/>
    <col min="5383" max="5633" width="9.109375" style="10"/>
    <col min="5634" max="5634" width="18" style="10" customWidth="1"/>
    <col min="5635" max="5635" width="12.88671875" style="10" customWidth="1"/>
    <col min="5636" max="5636" width="12.33203125" style="10" customWidth="1"/>
    <col min="5637" max="5637" width="11" style="10" customWidth="1"/>
    <col min="5638" max="5638" width="10.5546875" style="10" customWidth="1"/>
    <col min="5639" max="5889" width="9.109375" style="10"/>
    <col min="5890" max="5890" width="18" style="10" customWidth="1"/>
    <col min="5891" max="5891" width="12.88671875" style="10" customWidth="1"/>
    <col min="5892" max="5892" width="12.33203125" style="10" customWidth="1"/>
    <col min="5893" max="5893" width="11" style="10" customWidth="1"/>
    <col min="5894" max="5894" width="10.5546875" style="10" customWidth="1"/>
    <col min="5895" max="6145" width="9.109375" style="10"/>
    <col min="6146" max="6146" width="18" style="10" customWidth="1"/>
    <col min="6147" max="6147" width="12.88671875" style="10" customWidth="1"/>
    <col min="6148" max="6148" width="12.33203125" style="10" customWidth="1"/>
    <col min="6149" max="6149" width="11" style="10" customWidth="1"/>
    <col min="6150" max="6150" width="10.5546875" style="10" customWidth="1"/>
    <col min="6151" max="6401" width="9.109375" style="10"/>
    <col min="6402" max="6402" width="18" style="10" customWidth="1"/>
    <col min="6403" max="6403" width="12.88671875" style="10" customWidth="1"/>
    <col min="6404" max="6404" width="12.33203125" style="10" customWidth="1"/>
    <col min="6405" max="6405" width="11" style="10" customWidth="1"/>
    <col min="6406" max="6406" width="10.5546875" style="10" customWidth="1"/>
    <col min="6407" max="6657" width="9.109375" style="10"/>
    <col min="6658" max="6658" width="18" style="10" customWidth="1"/>
    <col min="6659" max="6659" width="12.88671875" style="10" customWidth="1"/>
    <col min="6660" max="6660" width="12.33203125" style="10" customWidth="1"/>
    <col min="6661" max="6661" width="11" style="10" customWidth="1"/>
    <col min="6662" max="6662" width="10.5546875" style="10" customWidth="1"/>
    <col min="6663" max="6913" width="9.109375" style="10"/>
    <col min="6914" max="6914" width="18" style="10" customWidth="1"/>
    <col min="6915" max="6915" width="12.88671875" style="10" customWidth="1"/>
    <col min="6916" max="6916" width="12.33203125" style="10" customWidth="1"/>
    <col min="6917" max="6917" width="11" style="10" customWidth="1"/>
    <col min="6918" max="6918" width="10.5546875" style="10" customWidth="1"/>
    <col min="6919" max="7169" width="9.109375" style="10"/>
    <col min="7170" max="7170" width="18" style="10" customWidth="1"/>
    <col min="7171" max="7171" width="12.88671875" style="10" customWidth="1"/>
    <col min="7172" max="7172" width="12.33203125" style="10" customWidth="1"/>
    <col min="7173" max="7173" width="11" style="10" customWidth="1"/>
    <col min="7174" max="7174" width="10.5546875" style="10" customWidth="1"/>
    <col min="7175" max="7425" width="9.109375" style="10"/>
    <col min="7426" max="7426" width="18" style="10" customWidth="1"/>
    <col min="7427" max="7427" width="12.88671875" style="10" customWidth="1"/>
    <col min="7428" max="7428" width="12.33203125" style="10" customWidth="1"/>
    <col min="7429" max="7429" width="11" style="10" customWidth="1"/>
    <col min="7430" max="7430" width="10.5546875" style="10" customWidth="1"/>
    <col min="7431" max="7681" width="9.109375" style="10"/>
    <col min="7682" max="7682" width="18" style="10" customWidth="1"/>
    <col min="7683" max="7683" width="12.88671875" style="10" customWidth="1"/>
    <col min="7684" max="7684" width="12.33203125" style="10" customWidth="1"/>
    <col min="7685" max="7685" width="11" style="10" customWidth="1"/>
    <col min="7686" max="7686" width="10.5546875" style="10" customWidth="1"/>
    <col min="7687" max="7937" width="9.109375" style="10"/>
    <col min="7938" max="7938" width="18" style="10" customWidth="1"/>
    <col min="7939" max="7939" width="12.88671875" style="10" customWidth="1"/>
    <col min="7940" max="7940" width="12.33203125" style="10" customWidth="1"/>
    <col min="7941" max="7941" width="11" style="10" customWidth="1"/>
    <col min="7942" max="7942" width="10.5546875" style="10" customWidth="1"/>
    <col min="7943" max="8193" width="9.109375" style="10"/>
    <col min="8194" max="8194" width="18" style="10" customWidth="1"/>
    <col min="8195" max="8195" width="12.88671875" style="10" customWidth="1"/>
    <col min="8196" max="8196" width="12.33203125" style="10" customWidth="1"/>
    <col min="8197" max="8197" width="11" style="10" customWidth="1"/>
    <col min="8198" max="8198" width="10.5546875" style="10" customWidth="1"/>
    <col min="8199" max="8449" width="9.109375" style="10"/>
    <col min="8450" max="8450" width="18" style="10" customWidth="1"/>
    <col min="8451" max="8451" width="12.88671875" style="10" customWidth="1"/>
    <col min="8452" max="8452" width="12.33203125" style="10" customWidth="1"/>
    <col min="8453" max="8453" width="11" style="10" customWidth="1"/>
    <col min="8454" max="8454" width="10.5546875" style="10" customWidth="1"/>
    <col min="8455" max="8705" width="9.109375" style="10"/>
    <col min="8706" max="8706" width="18" style="10" customWidth="1"/>
    <col min="8707" max="8707" width="12.88671875" style="10" customWidth="1"/>
    <col min="8708" max="8708" width="12.33203125" style="10" customWidth="1"/>
    <col min="8709" max="8709" width="11" style="10" customWidth="1"/>
    <col min="8710" max="8710" width="10.5546875" style="10" customWidth="1"/>
    <col min="8711" max="8961" width="9.109375" style="10"/>
    <col min="8962" max="8962" width="18" style="10" customWidth="1"/>
    <col min="8963" max="8963" width="12.88671875" style="10" customWidth="1"/>
    <col min="8964" max="8964" width="12.33203125" style="10" customWidth="1"/>
    <col min="8965" max="8965" width="11" style="10" customWidth="1"/>
    <col min="8966" max="8966" width="10.5546875" style="10" customWidth="1"/>
    <col min="8967" max="9217" width="9.109375" style="10"/>
    <col min="9218" max="9218" width="18" style="10" customWidth="1"/>
    <col min="9219" max="9219" width="12.88671875" style="10" customWidth="1"/>
    <col min="9220" max="9220" width="12.33203125" style="10" customWidth="1"/>
    <col min="9221" max="9221" width="11" style="10" customWidth="1"/>
    <col min="9222" max="9222" width="10.5546875" style="10" customWidth="1"/>
    <col min="9223" max="9473" width="9.109375" style="10"/>
    <col min="9474" max="9474" width="18" style="10" customWidth="1"/>
    <col min="9475" max="9475" width="12.88671875" style="10" customWidth="1"/>
    <col min="9476" max="9476" width="12.33203125" style="10" customWidth="1"/>
    <col min="9477" max="9477" width="11" style="10" customWidth="1"/>
    <col min="9478" max="9478" width="10.5546875" style="10" customWidth="1"/>
    <col min="9479" max="9729" width="9.109375" style="10"/>
    <col min="9730" max="9730" width="18" style="10" customWidth="1"/>
    <col min="9731" max="9731" width="12.88671875" style="10" customWidth="1"/>
    <col min="9732" max="9732" width="12.33203125" style="10" customWidth="1"/>
    <col min="9733" max="9733" width="11" style="10" customWidth="1"/>
    <col min="9734" max="9734" width="10.5546875" style="10" customWidth="1"/>
    <col min="9735" max="9985" width="9.109375" style="10"/>
    <col min="9986" max="9986" width="18" style="10" customWidth="1"/>
    <col min="9987" max="9987" width="12.88671875" style="10" customWidth="1"/>
    <col min="9988" max="9988" width="12.33203125" style="10" customWidth="1"/>
    <col min="9989" max="9989" width="11" style="10" customWidth="1"/>
    <col min="9990" max="9990" width="10.5546875" style="10" customWidth="1"/>
    <col min="9991" max="10241" width="9.109375" style="10"/>
    <col min="10242" max="10242" width="18" style="10" customWidth="1"/>
    <col min="10243" max="10243" width="12.88671875" style="10" customWidth="1"/>
    <col min="10244" max="10244" width="12.33203125" style="10" customWidth="1"/>
    <col min="10245" max="10245" width="11" style="10" customWidth="1"/>
    <col min="10246" max="10246" width="10.5546875" style="10" customWidth="1"/>
    <col min="10247" max="10497" width="9.109375" style="10"/>
    <col min="10498" max="10498" width="18" style="10" customWidth="1"/>
    <col min="10499" max="10499" width="12.88671875" style="10" customWidth="1"/>
    <col min="10500" max="10500" width="12.33203125" style="10" customWidth="1"/>
    <col min="10501" max="10501" width="11" style="10" customWidth="1"/>
    <col min="10502" max="10502" width="10.5546875" style="10" customWidth="1"/>
    <col min="10503" max="10753" width="9.109375" style="10"/>
    <col min="10754" max="10754" width="18" style="10" customWidth="1"/>
    <col min="10755" max="10755" width="12.88671875" style="10" customWidth="1"/>
    <col min="10756" max="10756" width="12.33203125" style="10" customWidth="1"/>
    <col min="10757" max="10757" width="11" style="10" customWidth="1"/>
    <col min="10758" max="10758" width="10.5546875" style="10" customWidth="1"/>
    <col min="10759" max="11009" width="9.109375" style="10"/>
    <col min="11010" max="11010" width="18" style="10" customWidth="1"/>
    <col min="11011" max="11011" width="12.88671875" style="10" customWidth="1"/>
    <col min="11012" max="11012" width="12.33203125" style="10" customWidth="1"/>
    <col min="11013" max="11013" width="11" style="10" customWidth="1"/>
    <col min="11014" max="11014" width="10.5546875" style="10" customWidth="1"/>
    <col min="11015" max="11265" width="9.109375" style="10"/>
    <col min="11266" max="11266" width="18" style="10" customWidth="1"/>
    <col min="11267" max="11267" width="12.88671875" style="10" customWidth="1"/>
    <col min="11268" max="11268" width="12.33203125" style="10" customWidth="1"/>
    <col min="11269" max="11269" width="11" style="10" customWidth="1"/>
    <col min="11270" max="11270" width="10.5546875" style="10" customWidth="1"/>
    <col min="11271" max="11521" width="9.109375" style="10"/>
    <col min="11522" max="11522" width="18" style="10" customWidth="1"/>
    <col min="11523" max="11523" width="12.88671875" style="10" customWidth="1"/>
    <col min="11524" max="11524" width="12.33203125" style="10" customWidth="1"/>
    <col min="11525" max="11525" width="11" style="10" customWidth="1"/>
    <col min="11526" max="11526" width="10.5546875" style="10" customWidth="1"/>
    <col min="11527" max="11777" width="9.109375" style="10"/>
    <col min="11778" max="11778" width="18" style="10" customWidth="1"/>
    <col min="11779" max="11779" width="12.88671875" style="10" customWidth="1"/>
    <col min="11780" max="11780" width="12.33203125" style="10" customWidth="1"/>
    <col min="11781" max="11781" width="11" style="10" customWidth="1"/>
    <col min="11782" max="11782" width="10.5546875" style="10" customWidth="1"/>
    <col min="11783" max="12033" width="9.109375" style="10"/>
    <col min="12034" max="12034" width="18" style="10" customWidth="1"/>
    <col min="12035" max="12035" width="12.88671875" style="10" customWidth="1"/>
    <col min="12036" max="12036" width="12.33203125" style="10" customWidth="1"/>
    <col min="12037" max="12037" width="11" style="10" customWidth="1"/>
    <col min="12038" max="12038" width="10.5546875" style="10" customWidth="1"/>
    <col min="12039" max="12289" width="9.109375" style="10"/>
    <col min="12290" max="12290" width="18" style="10" customWidth="1"/>
    <col min="12291" max="12291" width="12.88671875" style="10" customWidth="1"/>
    <col min="12292" max="12292" width="12.33203125" style="10" customWidth="1"/>
    <col min="12293" max="12293" width="11" style="10" customWidth="1"/>
    <col min="12294" max="12294" width="10.5546875" style="10" customWidth="1"/>
    <col min="12295" max="12545" width="9.109375" style="10"/>
    <col min="12546" max="12546" width="18" style="10" customWidth="1"/>
    <col min="12547" max="12547" width="12.88671875" style="10" customWidth="1"/>
    <col min="12548" max="12548" width="12.33203125" style="10" customWidth="1"/>
    <col min="12549" max="12549" width="11" style="10" customWidth="1"/>
    <col min="12550" max="12550" width="10.5546875" style="10" customWidth="1"/>
    <col min="12551" max="12801" width="9.109375" style="10"/>
    <col min="12802" max="12802" width="18" style="10" customWidth="1"/>
    <col min="12803" max="12803" width="12.88671875" style="10" customWidth="1"/>
    <col min="12804" max="12804" width="12.33203125" style="10" customWidth="1"/>
    <col min="12805" max="12805" width="11" style="10" customWidth="1"/>
    <col min="12806" max="12806" width="10.5546875" style="10" customWidth="1"/>
    <col min="12807" max="13057" width="9.109375" style="10"/>
    <col min="13058" max="13058" width="18" style="10" customWidth="1"/>
    <col min="13059" max="13059" width="12.88671875" style="10" customWidth="1"/>
    <col min="13060" max="13060" width="12.33203125" style="10" customWidth="1"/>
    <col min="13061" max="13061" width="11" style="10" customWidth="1"/>
    <col min="13062" max="13062" width="10.5546875" style="10" customWidth="1"/>
    <col min="13063" max="13313" width="9.109375" style="10"/>
    <col min="13314" max="13314" width="18" style="10" customWidth="1"/>
    <col min="13315" max="13315" width="12.88671875" style="10" customWidth="1"/>
    <col min="13316" max="13316" width="12.33203125" style="10" customWidth="1"/>
    <col min="13317" max="13317" width="11" style="10" customWidth="1"/>
    <col min="13318" max="13318" width="10.5546875" style="10" customWidth="1"/>
    <col min="13319" max="13569" width="9.109375" style="10"/>
    <col min="13570" max="13570" width="18" style="10" customWidth="1"/>
    <col min="13571" max="13571" width="12.88671875" style="10" customWidth="1"/>
    <col min="13572" max="13572" width="12.33203125" style="10" customWidth="1"/>
    <col min="13573" max="13573" width="11" style="10" customWidth="1"/>
    <col min="13574" max="13574" width="10.5546875" style="10" customWidth="1"/>
    <col min="13575" max="13825" width="9.109375" style="10"/>
    <col min="13826" max="13826" width="18" style="10" customWidth="1"/>
    <col min="13827" max="13827" width="12.88671875" style="10" customWidth="1"/>
    <col min="13828" max="13828" width="12.33203125" style="10" customWidth="1"/>
    <col min="13829" max="13829" width="11" style="10" customWidth="1"/>
    <col min="13830" max="13830" width="10.5546875" style="10" customWidth="1"/>
    <col min="13831" max="14081" width="9.109375" style="10"/>
    <col min="14082" max="14082" width="18" style="10" customWidth="1"/>
    <col min="14083" max="14083" width="12.88671875" style="10" customWidth="1"/>
    <col min="14084" max="14084" width="12.33203125" style="10" customWidth="1"/>
    <col min="14085" max="14085" width="11" style="10" customWidth="1"/>
    <col min="14086" max="14086" width="10.5546875" style="10" customWidth="1"/>
    <col min="14087" max="14337" width="9.109375" style="10"/>
    <col min="14338" max="14338" width="18" style="10" customWidth="1"/>
    <col min="14339" max="14339" width="12.88671875" style="10" customWidth="1"/>
    <col min="14340" max="14340" width="12.33203125" style="10" customWidth="1"/>
    <col min="14341" max="14341" width="11" style="10" customWidth="1"/>
    <col min="14342" max="14342" width="10.5546875" style="10" customWidth="1"/>
    <col min="14343" max="14593" width="9.109375" style="10"/>
    <col min="14594" max="14594" width="18" style="10" customWidth="1"/>
    <col min="14595" max="14595" width="12.88671875" style="10" customWidth="1"/>
    <col min="14596" max="14596" width="12.33203125" style="10" customWidth="1"/>
    <col min="14597" max="14597" width="11" style="10" customWidth="1"/>
    <col min="14598" max="14598" width="10.5546875" style="10" customWidth="1"/>
    <col min="14599" max="14849" width="9.109375" style="10"/>
    <col min="14850" max="14850" width="18" style="10" customWidth="1"/>
    <col min="14851" max="14851" width="12.88671875" style="10" customWidth="1"/>
    <col min="14852" max="14852" width="12.33203125" style="10" customWidth="1"/>
    <col min="14853" max="14853" width="11" style="10" customWidth="1"/>
    <col min="14854" max="14854" width="10.5546875" style="10" customWidth="1"/>
    <col min="14855" max="15105" width="9.109375" style="10"/>
    <col min="15106" max="15106" width="18" style="10" customWidth="1"/>
    <col min="15107" max="15107" width="12.88671875" style="10" customWidth="1"/>
    <col min="15108" max="15108" width="12.33203125" style="10" customWidth="1"/>
    <col min="15109" max="15109" width="11" style="10" customWidth="1"/>
    <col min="15110" max="15110" width="10.5546875" style="10" customWidth="1"/>
    <col min="15111" max="15361" width="9.109375" style="10"/>
    <col min="15362" max="15362" width="18" style="10" customWidth="1"/>
    <col min="15363" max="15363" width="12.88671875" style="10" customWidth="1"/>
    <col min="15364" max="15364" width="12.33203125" style="10" customWidth="1"/>
    <col min="15365" max="15365" width="11" style="10" customWidth="1"/>
    <col min="15366" max="15366" width="10.5546875" style="10" customWidth="1"/>
    <col min="15367" max="15617" width="9.109375" style="10"/>
    <col min="15618" max="15618" width="18" style="10" customWidth="1"/>
    <col min="15619" max="15619" width="12.88671875" style="10" customWidth="1"/>
    <col min="15620" max="15620" width="12.33203125" style="10" customWidth="1"/>
    <col min="15621" max="15621" width="11" style="10" customWidth="1"/>
    <col min="15622" max="15622" width="10.5546875" style="10" customWidth="1"/>
    <col min="15623" max="15873" width="9.109375" style="10"/>
    <col min="15874" max="15874" width="18" style="10" customWidth="1"/>
    <col min="15875" max="15875" width="12.88671875" style="10" customWidth="1"/>
    <col min="15876" max="15876" width="12.33203125" style="10" customWidth="1"/>
    <col min="15877" max="15877" width="11" style="10" customWidth="1"/>
    <col min="15878" max="15878" width="10.5546875" style="10" customWidth="1"/>
    <col min="15879" max="16129" width="9.109375" style="10"/>
    <col min="16130" max="16130" width="18" style="10" customWidth="1"/>
    <col min="16131" max="16131" width="12.88671875" style="10" customWidth="1"/>
    <col min="16132" max="16132" width="12.33203125" style="10" customWidth="1"/>
    <col min="16133" max="16133" width="11" style="10" customWidth="1"/>
    <col min="16134" max="16134" width="10.5546875" style="10" customWidth="1"/>
    <col min="16135" max="16384" width="9.109375" style="10"/>
  </cols>
  <sheetData>
    <row r="1" spans="1:7">
      <c r="G1" s="2126" t="s">
        <v>388</v>
      </c>
    </row>
    <row r="2" spans="1:7" ht="33.75" customHeight="1">
      <c r="A2" s="100" t="s">
        <v>631</v>
      </c>
      <c r="B2" s="100"/>
      <c r="C2" s="100"/>
      <c r="D2" s="100"/>
      <c r="E2" s="100"/>
      <c r="F2" s="100"/>
      <c r="G2" s="100"/>
    </row>
    <row r="3" spans="1:7" ht="14.25" customHeight="1">
      <c r="A3" s="133" t="s">
        <v>2231</v>
      </c>
      <c r="B3" s="100"/>
      <c r="C3" s="100"/>
      <c r="D3" s="100"/>
      <c r="E3" s="100"/>
      <c r="F3" s="100"/>
      <c r="G3" s="100"/>
    </row>
    <row r="4" spans="1:7" ht="14.25" customHeight="1">
      <c r="A4" s="100"/>
      <c r="B4" s="100"/>
      <c r="C4" s="100"/>
      <c r="D4" s="100"/>
      <c r="E4" s="100"/>
      <c r="F4" s="100"/>
      <c r="G4" s="872" t="s">
        <v>2483</v>
      </c>
    </row>
    <row r="5" spans="1:7" ht="66">
      <c r="A5" s="4322" t="s">
        <v>54</v>
      </c>
      <c r="B5" s="4322" t="s">
        <v>171</v>
      </c>
      <c r="C5" s="4322" t="s">
        <v>389</v>
      </c>
      <c r="D5" s="4322" t="s">
        <v>361</v>
      </c>
      <c r="E5" s="2280" t="s">
        <v>390</v>
      </c>
      <c r="F5" s="2280" t="s">
        <v>391</v>
      </c>
      <c r="G5" s="2280" t="s">
        <v>366</v>
      </c>
    </row>
    <row r="6" spans="1:7">
      <c r="A6" s="4323"/>
      <c r="B6" s="4323"/>
      <c r="C6" s="4323"/>
      <c r="D6" s="4323"/>
      <c r="E6" s="2280" t="s">
        <v>392</v>
      </c>
      <c r="F6" s="2280" t="s">
        <v>393</v>
      </c>
      <c r="G6" s="2280" t="s">
        <v>369</v>
      </c>
    </row>
    <row r="7" spans="1:7">
      <c r="A7" s="2283">
        <v>1</v>
      </c>
      <c r="B7" s="2283">
        <f>+A7+1</f>
        <v>2</v>
      </c>
      <c r="C7" s="2283">
        <f>+B7+1</f>
        <v>3</v>
      </c>
      <c r="D7" s="2283">
        <f>+C7+1</f>
        <v>4</v>
      </c>
      <c r="E7" s="2283">
        <f>+D7+1</f>
        <v>5</v>
      </c>
      <c r="F7" s="2283">
        <f>+E7+1</f>
        <v>6</v>
      </c>
      <c r="G7" s="2283" t="s">
        <v>394</v>
      </c>
    </row>
    <row r="8" spans="1:7">
      <c r="A8" s="4312">
        <v>1</v>
      </c>
      <c r="B8" s="4313" t="s">
        <v>395</v>
      </c>
      <c r="C8" s="4313" t="s">
        <v>396</v>
      </c>
      <c r="D8" s="534">
        <v>1150</v>
      </c>
      <c r="E8" s="2281">
        <v>1000</v>
      </c>
      <c r="F8" s="861"/>
      <c r="G8" s="2285"/>
    </row>
    <row r="9" spans="1:7">
      <c r="A9" s="4312"/>
      <c r="B9" s="4313"/>
      <c r="C9" s="4313"/>
      <c r="D9" s="534">
        <v>750</v>
      </c>
      <c r="E9" s="2281">
        <v>600</v>
      </c>
      <c r="F9" s="861"/>
      <c r="G9" s="2285"/>
    </row>
    <row r="10" spans="1:7">
      <c r="A10" s="4312"/>
      <c r="B10" s="4313"/>
      <c r="C10" s="4313"/>
      <c r="D10" s="2285" t="s">
        <v>397</v>
      </c>
      <c r="E10" s="2281">
        <v>500</v>
      </c>
      <c r="F10" s="861"/>
      <c r="G10" s="2285"/>
    </row>
    <row r="11" spans="1:7">
      <c r="A11" s="4312"/>
      <c r="B11" s="4313"/>
      <c r="C11" s="4313"/>
      <c r="D11" s="2285">
        <v>330</v>
      </c>
      <c r="E11" s="2281">
        <v>250</v>
      </c>
      <c r="F11" s="861"/>
      <c r="G11" s="2285"/>
    </row>
    <row r="12" spans="1:7">
      <c r="A12" s="4312"/>
      <c r="B12" s="4313"/>
      <c r="C12" s="4313"/>
      <c r="D12" s="2285">
        <v>220</v>
      </c>
      <c r="E12" s="2281">
        <v>210</v>
      </c>
      <c r="F12" s="861">
        <v>1</v>
      </c>
      <c r="G12" s="544">
        <f>E12*F12</f>
        <v>210</v>
      </c>
    </row>
    <row r="13" spans="1:7">
      <c r="A13" s="4312"/>
      <c r="B13" s="4313"/>
      <c r="C13" s="4313"/>
      <c r="D13" s="2285" t="s">
        <v>398</v>
      </c>
      <c r="E13" s="2281">
        <v>105</v>
      </c>
      <c r="F13" s="862"/>
      <c r="G13" s="544">
        <f>E13*F13</f>
        <v>0</v>
      </c>
    </row>
    <row r="14" spans="1:7">
      <c r="A14" s="4312"/>
      <c r="B14" s="4313"/>
      <c r="C14" s="4313"/>
      <c r="D14" s="2285">
        <v>35</v>
      </c>
      <c r="E14" s="2281">
        <v>75</v>
      </c>
      <c r="F14" s="863"/>
      <c r="G14" s="544">
        <f>E14*F14</f>
        <v>0</v>
      </c>
    </row>
    <row r="15" spans="1:7" ht="12.75" customHeight="1">
      <c r="A15" s="4312">
        <v>2</v>
      </c>
      <c r="B15" s="4329" t="s">
        <v>399</v>
      </c>
      <c r="C15" s="4313" t="s">
        <v>400</v>
      </c>
      <c r="D15" s="534">
        <v>1150</v>
      </c>
      <c r="E15" s="2281">
        <v>60</v>
      </c>
      <c r="F15" s="863"/>
      <c r="G15" s="544"/>
    </row>
    <row r="16" spans="1:7">
      <c r="A16" s="4312"/>
      <c r="B16" s="4329"/>
      <c r="C16" s="4329"/>
      <c r="D16" s="534">
        <v>750</v>
      </c>
      <c r="E16" s="2281">
        <v>43</v>
      </c>
      <c r="F16" s="863"/>
      <c r="G16" s="544"/>
    </row>
    <row r="17" spans="1:7">
      <c r="A17" s="4312"/>
      <c r="B17" s="4329"/>
      <c r="C17" s="4329"/>
      <c r="D17" s="2285" t="s">
        <v>397</v>
      </c>
      <c r="E17" s="2281">
        <v>28</v>
      </c>
      <c r="F17" s="863"/>
      <c r="G17" s="544"/>
    </row>
    <row r="18" spans="1:7">
      <c r="A18" s="4312"/>
      <c r="B18" s="4329"/>
      <c r="C18" s="4329"/>
      <c r="D18" s="2285">
        <v>330</v>
      </c>
      <c r="E18" s="2281">
        <v>18</v>
      </c>
      <c r="F18" s="863"/>
      <c r="G18" s="544"/>
    </row>
    <row r="19" spans="1:7">
      <c r="A19" s="4312"/>
      <c r="B19" s="4329"/>
      <c r="C19" s="4329"/>
      <c r="D19" s="2285">
        <v>220</v>
      </c>
      <c r="E19" s="2281">
        <v>14</v>
      </c>
      <c r="F19" s="863">
        <v>2</v>
      </c>
      <c r="G19" s="544">
        <f>E19*F19</f>
        <v>28</v>
      </c>
    </row>
    <row r="20" spans="1:7">
      <c r="A20" s="4312"/>
      <c r="B20" s="4329"/>
      <c r="C20" s="4329"/>
      <c r="D20" s="2285" t="s">
        <v>398</v>
      </c>
      <c r="E20" s="2281">
        <v>7.8</v>
      </c>
      <c r="F20" s="862"/>
      <c r="G20" s="544">
        <f>E20*F20</f>
        <v>0</v>
      </c>
    </row>
    <row r="21" spans="1:7">
      <c r="A21" s="4312"/>
      <c r="B21" s="4329"/>
      <c r="C21" s="4329"/>
      <c r="D21" s="2285">
        <v>35</v>
      </c>
      <c r="E21" s="2281">
        <v>2.1</v>
      </c>
      <c r="F21" s="861"/>
      <c r="G21" s="544">
        <f>E21*F21</f>
        <v>0</v>
      </c>
    </row>
    <row r="22" spans="1:7">
      <c r="A22" s="4312"/>
      <c r="B22" s="4329"/>
      <c r="C22" s="4313"/>
      <c r="D22" s="545" t="s">
        <v>401</v>
      </c>
      <c r="E22" s="546">
        <v>1</v>
      </c>
      <c r="F22" s="2661">
        <v>22</v>
      </c>
      <c r="G22" s="2658">
        <f>E22*F22</f>
        <v>22</v>
      </c>
    </row>
    <row r="23" spans="1:7" ht="12.75" customHeight="1">
      <c r="A23" s="4312">
        <v>3</v>
      </c>
      <c r="B23" s="4329" t="s">
        <v>402</v>
      </c>
      <c r="C23" s="4313" t="s">
        <v>403</v>
      </c>
      <c r="D23" s="534">
        <v>1150</v>
      </c>
      <c r="E23" s="2285">
        <v>180</v>
      </c>
      <c r="F23" s="861"/>
      <c r="G23" s="2285"/>
    </row>
    <row r="24" spans="1:7">
      <c r="A24" s="4312"/>
      <c r="B24" s="4329"/>
      <c r="C24" s="4329"/>
      <c r="D24" s="534">
        <v>750</v>
      </c>
      <c r="E24" s="2285">
        <v>130</v>
      </c>
      <c r="F24" s="861"/>
      <c r="G24" s="2285"/>
    </row>
    <row r="25" spans="1:7">
      <c r="A25" s="4312"/>
      <c r="B25" s="4329"/>
      <c r="C25" s="4329"/>
      <c r="D25" s="2285" t="s">
        <v>397</v>
      </c>
      <c r="E25" s="2281">
        <v>88</v>
      </c>
      <c r="F25" s="861"/>
      <c r="G25" s="2285"/>
    </row>
    <row r="26" spans="1:7">
      <c r="A26" s="4312"/>
      <c r="B26" s="4329"/>
      <c r="C26" s="4329"/>
      <c r="D26" s="2285">
        <v>330</v>
      </c>
      <c r="E26" s="2281">
        <v>66</v>
      </c>
      <c r="F26" s="861"/>
      <c r="G26" s="2285"/>
    </row>
    <row r="27" spans="1:7">
      <c r="A27" s="4312"/>
      <c r="B27" s="4329"/>
      <c r="C27" s="4329"/>
      <c r="D27" s="2285">
        <v>220</v>
      </c>
      <c r="E27" s="2281">
        <v>43</v>
      </c>
      <c r="F27" s="861"/>
      <c r="G27" s="2285"/>
    </row>
    <row r="28" spans="1:7">
      <c r="A28" s="4312"/>
      <c r="B28" s="4329"/>
      <c r="C28" s="4329"/>
      <c r="D28" s="2285" t="s">
        <v>398</v>
      </c>
      <c r="E28" s="2281">
        <v>26</v>
      </c>
      <c r="F28" s="861"/>
      <c r="G28" s="2285"/>
    </row>
    <row r="29" spans="1:7">
      <c r="A29" s="4312"/>
      <c r="B29" s="4329"/>
      <c r="C29" s="4329"/>
      <c r="D29" s="2285">
        <v>35</v>
      </c>
      <c r="E29" s="2281">
        <v>11</v>
      </c>
      <c r="F29" s="861"/>
      <c r="G29" s="2285"/>
    </row>
    <row r="30" spans="1:7">
      <c r="A30" s="4312"/>
      <c r="B30" s="4329"/>
      <c r="C30" s="4313"/>
      <c r="D30" s="545" t="s">
        <v>401</v>
      </c>
      <c r="E30" s="2281">
        <v>5.5</v>
      </c>
      <c r="F30" s="2069">
        <f>6+3</f>
        <v>9</v>
      </c>
      <c r="G30" s="544">
        <f>E30*F30</f>
        <v>49.5</v>
      </c>
    </row>
    <row r="31" spans="1:7" ht="12.75" customHeight="1">
      <c r="A31" s="4312">
        <v>4</v>
      </c>
      <c r="B31" s="4313" t="s">
        <v>500</v>
      </c>
      <c r="C31" s="4313" t="s">
        <v>404</v>
      </c>
      <c r="D31" s="2285">
        <v>220</v>
      </c>
      <c r="E31" s="2285">
        <v>23</v>
      </c>
      <c r="F31" s="861"/>
      <c r="G31" s="2285"/>
    </row>
    <row r="32" spans="1:7">
      <c r="A32" s="4312"/>
      <c r="B32" s="4313"/>
      <c r="C32" s="4313"/>
      <c r="D32" s="2285" t="s">
        <v>398</v>
      </c>
      <c r="E32" s="2285">
        <v>14</v>
      </c>
      <c r="F32" s="861"/>
      <c r="G32" s="547">
        <f>E32*F32</f>
        <v>0</v>
      </c>
    </row>
    <row r="33" spans="1:10">
      <c r="A33" s="4312"/>
      <c r="B33" s="4313"/>
      <c r="C33" s="4313"/>
      <c r="D33" s="2285">
        <v>35</v>
      </c>
      <c r="E33" s="2285">
        <v>6.4</v>
      </c>
      <c r="F33" s="861"/>
      <c r="G33" s="2285"/>
    </row>
    <row r="34" spans="1:10">
      <c r="A34" s="4312"/>
      <c r="B34" s="4313"/>
      <c r="C34" s="4313"/>
      <c r="D34" s="545" t="s">
        <v>401</v>
      </c>
      <c r="E34" s="2285">
        <v>3.1</v>
      </c>
      <c r="F34" s="2312">
        <f>67-10-7</f>
        <v>50</v>
      </c>
      <c r="G34" s="2658">
        <f>E34*F34</f>
        <v>155</v>
      </c>
    </row>
    <row r="35" spans="1:10" ht="12.75" customHeight="1">
      <c r="A35" s="4312">
        <v>5</v>
      </c>
      <c r="B35" s="4313" t="s">
        <v>405</v>
      </c>
      <c r="C35" s="4313" t="s">
        <v>400</v>
      </c>
      <c r="D35" s="2285" t="s">
        <v>397</v>
      </c>
      <c r="E35" s="2281">
        <v>35</v>
      </c>
      <c r="F35" s="861"/>
      <c r="G35" s="2285"/>
    </row>
    <row r="36" spans="1:10">
      <c r="A36" s="4312"/>
      <c r="B36" s="4313"/>
      <c r="C36" s="4313"/>
      <c r="D36" s="2285">
        <v>330</v>
      </c>
      <c r="E36" s="2285">
        <v>24</v>
      </c>
      <c r="F36" s="861"/>
      <c r="G36" s="2285"/>
    </row>
    <row r="37" spans="1:10">
      <c r="A37" s="4312"/>
      <c r="B37" s="4313"/>
      <c r="C37" s="4313"/>
      <c r="D37" s="2285">
        <v>220</v>
      </c>
      <c r="E37" s="2285">
        <v>19</v>
      </c>
      <c r="F37" s="2661">
        <v>3</v>
      </c>
      <c r="G37" s="2658">
        <f>E37*F37</f>
        <v>57</v>
      </c>
    </row>
    <row r="38" spans="1:10">
      <c r="A38" s="4312"/>
      <c r="B38" s="4313"/>
      <c r="C38" s="4313"/>
      <c r="D38" s="2285" t="s">
        <v>398</v>
      </c>
      <c r="E38" s="2285">
        <v>9.5</v>
      </c>
      <c r="F38" s="862"/>
      <c r="G38" s="544">
        <f>E38*F38</f>
        <v>0</v>
      </c>
    </row>
    <row r="39" spans="1:10">
      <c r="A39" s="4312"/>
      <c r="B39" s="4313"/>
      <c r="C39" s="4313"/>
      <c r="D39" s="2285">
        <v>35</v>
      </c>
      <c r="E39" s="2285">
        <v>4.7</v>
      </c>
      <c r="F39" s="861"/>
      <c r="G39" s="544">
        <f>E39*F39</f>
        <v>0</v>
      </c>
    </row>
    <row r="40" spans="1:10" ht="26.4">
      <c r="A40" s="2281">
        <v>6</v>
      </c>
      <c r="B40" s="2285" t="s">
        <v>406</v>
      </c>
      <c r="C40" s="2285" t="s">
        <v>404</v>
      </c>
      <c r="D40" s="548" t="s">
        <v>401</v>
      </c>
      <c r="E40" s="2285">
        <v>2.2999999999999998</v>
      </c>
      <c r="F40" s="2657">
        <f>4+3-2</f>
        <v>5</v>
      </c>
      <c r="G40" s="2659">
        <f>E40*F40</f>
        <v>11.5</v>
      </c>
      <c r="I40" s="10" t="s">
        <v>2507</v>
      </c>
    </row>
    <row r="41" spans="1:10" ht="39.6">
      <c r="A41" s="2281">
        <v>7</v>
      </c>
      <c r="B41" s="2285" t="s">
        <v>407</v>
      </c>
      <c r="C41" s="2285" t="s">
        <v>404</v>
      </c>
      <c r="D41" s="548" t="s">
        <v>401</v>
      </c>
      <c r="E41" s="2285">
        <v>26</v>
      </c>
      <c r="F41" s="861"/>
      <c r="G41" s="2285"/>
    </row>
    <row r="42" spans="1:10" ht="26.4">
      <c r="A42" s="2281">
        <v>8</v>
      </c>
      <c r="B42" s="2285" t="s">
        <v>408</v>
      </c>
      <c r="C42" s="2285" t="s">
        <v>404</v>
      </c>
      <c r="D42" s="548" t="s">
        <v>401</v>
      </c>
      <c r="E42" s="2285">
        <v>48</v>
      </c>
      <c r="F42" s="861"/>
      <c r="G42" s="2285"/>
    </row>
    <row r="43" spans="1:10" ht="12.75" customHeight="1">
      <c r="A43" s="4312">
        <v>9</v>
      </c>
      <c r="B43" s="4313" t="s">
        <v>409</v>
      </c>
      <c r="C43" s="4313" t="s">
        <v>410</v>
      </c>
      <c r="D43" s="2285">
        <v>35</v>
      </c>
      <c r="E43" s="2285">
        <v>2.4</v>
      </c>
      <c r="F43" s="861"/>
      <c r="G43" s="2285"/>
    </row>
    <row r="44" spans="1:10">
      <c r="A44" s="4312"/>
      <c r="B44" s="4313"/>
      <c r="C44" s="4313"/>
      <c r="D44" s="548" t="s">
        <v>401</v>
      </c>
      <c r="E44" s="2285">
        <v>2.4</v>
      </c>
      <c r="F44" s="861"/>
      <c r="G44" s="544">
        <f>E44*F44</f>
        <v>0</v>
      </c>
    </row>
    <row r="45" spans="1:10" ht="26.4">
      <c r="A45" s="2281">
        <v>10</v>
      </c>
      <c r="B45" s="2285" t="s">
        <v>411</v>
      </c>
      <c r="C45" s="2285" t="s">
        <v>412</v>
      </c>
      <c r="D45" s="548" t="s">
        <v>401</v>
      </c>
      <c r="E45" s="2285">
        <v>2.5</v>
      </c>
      <c r="F45" s="862"/>
      <c r="G45" s="547">
        <f>E45*F45</f>
        <v>0</v>
      </c>
    </row>
    <row r="46" spans="1:10" ht="26.4">
      <c r="A46" s="2281">
        <v>11</v>
      </c>
      <c r="B46" s="2285" t="s">
        <v>413</v>
      </c>
      <c r="C46" s="2285" t="s">
        <v>414</v>
      </c>
      <c r="D46" s="548" t="s">
        <v>401</v>
      </c>
      <c r="E46" s="2285">
        <v>2.2999999999999998</v>
      </c>
      <c r="F46" s="2071">
        <v>2</v>
      </c>
      <c r="G46" s="547">
        <f>E46*F46</f>
        <v>4.5999999999999996</v>
      </c>
      <c r="I46" s="10" t="s">
        <v>1608</v>
      </c>
    </row>
    <row r="47" spans="1:10" ht="26.4">
      <c r="A47" s="2281">
        <v>12</v>
      </c>
      <c r="B47" s="2285" t="s">
        <v>415</v>
      </c>
      <c r="C47" s="2285" t="s">
        <v>414</v>
      </c>
      <c r="D47" s="548" t="s">
        <v>401</v>
      </c>
      <c r="E47" s="2285">
        <v>3</v>
      </c>
      <c r="F47" s="2306">
        <f>11-1</f>
        <v>10</v>
      </c>
      <c r="G47" s="547">
        <f>E47*F47</f>
        <v>30</v>
      </c>
    </row>
    <row r="48" spans="1:10" ht="39.6">
      <c r="A48" s="2281">
        <v>13</v>
      </c>
      <c r="B48" s="2285" t="s">
        <v>1489</v>
      </c>
      <c r="C48" s="2285" t="s">
        <v>417</v>
      </c>
      <c r="D48" s="2285">
        <v>35</v>
      </c>
      <c r="E48" s="2285">
        <v>3.5</v>
      </c>
      <c r="F48" s="861"/>
      <c r="G48" s="2285"/>
      <c r="J48" s="10">
        <f>SUM(G8:G48)</f>
        <v>567.6</v>
      </c>
    </row>
    <row r="49" spans="1:11">
      <c r="A49" s="4312" t="s">
        <v>418</v>
      </c>
      <c r="B49" s="4313" t="s">
        <v>419</v>
      </c>
      <c r="C49" s="4313"/>
      <c r="D49" s="2285" t="s">
        <v>697</v>
      </c>
      <c r="E49" s="544">
        <v>0</v>
      </c>
      <c r="F49" s="544">
        <v>0</v>
      </c>
      <c r="G49" s="2658">
        <f>G12+G19+G37</f>
        <v>295</v>
      </c>
    </row>
    <row r="50" spans="1:11">
      <c r="A50" s="4312"/>
      <c r="B50" s="4313"/>
      <c r="C50" s="4313"/>
      <c r="D50" s="2285" t="s">
        <v>239</v>
      </c>
      <c r="E50" s="544">
        <v>0</v>
      </c>
      <c r="F50" s="544">
        <v>0</v>
      </c>
      <c r="G50" s="544">
        <f>G14+G21+G22+G29+G30+G33+G34+G39+G40+G41+G42+G43+G44+G45+G46+G47+G48</f>
        <v>272.60000000000002</v>
      </c>
    </row>
    <row r="51" spans="1:11">
      <c r="A51" s="4312"/>
      <c r="B51" s="4313"/>
      <c r="C51" s="4313"/>
      <c r="D51" s="2285" t="s">
        <v>681</v>
      </c>
      <c r="E51" s="544">
        <v>0</v>
      </c>
      <c r="F51" s="544">
        <v>0</v>
      </c>
      <c r="G51" s="549">
        <v>0</v>
      </c>
      <c r="J51" s="144">
        <f>G49+G50+G51</f>
        <v>567.6</v>
      </c>
      <c r="K51" s="515">
        <f>SUMIF($D$8:$D$48,$D$22,$G$8:$G$48)+G14+G21+G39+G12+G19</f>
        <v>510.6</v>
      </c>
    </row>
    <row r="52" spans="1:11">
      <c r="A52" s="49"/>
      <c r="B52" s="50"/>
      <c r="C52" s="50"/>
      <c r="D52" s="50"/>
      <c r="E52" s="49"/>
      <c r="F52" s="49"/>
      <c r="G52" s="50"/>
    </row>
    <row r="53" spans="1:11">
      <c r="A53" s="10" t="s">
        <v>663</v>
      </c>
    </row>
    <row r="54" spans="1:11" ht="21.75" customHeight="1">
      <c r="A54" s="4327" t="s">
        <v>1123</v>
      </c>
      <c r="B54" s="4327"/>
      <c r="C54" s="4327"/>
      <c r="D54" s="4327"/>
      <c r="E54" s="4327"/>
      <c r="F54" s="4327"/>
      <c r="G54" s="4327"/>
    </row>
    <row r="55" spans="1:11" ht="39.75" customHeight="1">
      <c r="A55" s="4327" t="s">
        <v>1124</v>
      </c>
      <c r="B55" s="4327"/>
      <c r="C55" s="4327"/>
      <c r="D55" s="4327"/>
      <c r="E55" s="4327"/>
      <c r="F55" s="4327"/>
      <c r="G55" s="4327"/>
    </row>
    <row r="56" spans="1:11" ht="31.5" customHeight="1">
      <c r="A56" s="4328" t="s">
        <v>1125</v>
      </c>
      <c r="B56" s="4328"/>
      <c r="C56" s="4328"/>
      <c r="D56" s="4328"/>
      <c r="E56" s="4328"/>
      <c r="F56" s="4328"/>
      <c r="G56" s="4328"/>
    </row>
    <row r="57" spans="1:11" ht="41.25" customHeight="1">
      <c r="A57" s="4327" t="s">
        <v>1126</v>
      </c>
      <c r="B57" s="4327"/>
      <c r="C57" s="4327"/>
      <c r="D57" s="4327"/>
      <c r="E57" s="4327"/>
      <c r="F57" s="4327"/>
      <c r="G57" s="4327"/>
    </row>
    <row r="58" spans="1:11" ht="46.5" customHeight="1">
      <c r="A58" s="4327" t="s">
        <v>1127</v>
      </c>
      <c r="B58" s="4327"/>
      <c r="C58" s="4327"/>
      <c r="D58" s="4327"/>
      <c r="E58" s="4327"/>
      <c r="F58" s="4327"/>
      <c r="G58" s="4327"/>
    </row>
    <row r="59" spans="1:11" ht="45.75" customHeight="1">
      <c r="A59" s="4327" t="s">
        <v>1128</v>
      </c>
      <c r="B59" s="4327"/>
      <c r="C59" s="4327"/>
      <c r="D59" s="4327"/>
      <c r="E59" s="4327"/>
      <c r="F59" s="4327"/>
      <c r="G59" s="4327"/>
    </row>
    <row r="60" spans="1:11" ht="27.75" customHeight="1">
      <c r="A60" s="4327" t="s">
        <v>1129</v>
      </c>
      <c r="B60" s="4327"/>
      <c r="C60" s="4327"/>
      <c r="D60" s="4327"/>
      <c r="E60" s="4327"/>
      <c r="F60" s="4327"/>
      <c r="G60" s="4327"/>
    </row>
    <row r="61" spans="1:11" ht="28.5" customHeight="1">
      <c r="A61" s="4327" t="s">
        <v>1130</v>
      </c>
      <c r="B61" s="4327"/>
      <c r="C61" s="4327"/>
      <c r="D61" s="4327"/>
      <c r="E61" s="4327"/>
      <c r="F61" s="4327"/>
      <c r="G61" s="4327"/>
    </row>
    <row r="62" spans="1:11" ht="33.75" customHeight="1">
      <c r="A62" s="4327" t="s">
        <v>1131</v>
      </c>
      <c r="B62" s="4327"/>
      <c r="C62" s="4327"/>
      <c r="D62" s="4327"/>
      <c r="E62" s="4327"/>
      <c r="F62" s="4327"/>
      <c r="G62" s="4327"/>
    </row>
    <row r="63" spans="1:11" s="776" customFormat="1" ht="23.25" customHeight="1">
      <c r="A63" s="839" t="s">
        <v>1266</v>
      </c>
      <c r="B63" s="774"/>
      <c r="C63" s="775"/>
      <c r="H63" s="2068"/>
    </row>
    <row r="64" spans="1:11" s="776" customFormat="1" ht="15" customHeight="1">
      <c r="A64" s="839" t="s">
        <v>1304</v>
      </c>
      <c r="B64" s="778"/>
      <c r="C64" s="775"/>
      <c r="G64" s="779" t="s">
        <v>1268</v>
      </c>
    </row>
    <row r="65" spans="1:7" s="52" customFormat="1"/>
    <row r="66" spans="1:7" s="52" customFormat="1">
      <c r="A66" s="98"/>
    </row>
    <row r="67" spans="1:7" s="52" customFormat="1">
      <c r="A67" s="98"/>
    </row>
    <row r="68" spans="1:7" ht="58.5" customHeight="1">
      <c r="A68" s="4327"/>
      <c r="B68" s="4327"/>
      <c r="C68" s="4327"/>
      <c r="D68" s="4327"/>
      <c r="E68" s="4327"/>
      <c r="F68" s="4327"/>
      <c r="G68" s="4327"/>
    </row>
    <row r="69" spans="1:7" ht="53.25" customHeight="1">
      <c r="A69" s="4327"/>
      <c r="B69" s="4327"/>
      <c r="C69" s="4327"/>
      <c r="D69" s="4327"/>
      <c r="E69" s="4327"/>
      <c r="F69" s="4327"/>
      <c r="G69" s="4327"/>
    </row>
    <row r="70" spans="1:7" ht="31.5" customHeight="1">
      <c r="A70" s="4327"/>
      <c r="B70" s="4327"/>
      <c r="C70" s="4327"/>
      <c r="D70" s="4327"/>
      <c r="E70" s="4327"/>
      <c r="F70" s="4327"/>
      <c r="G70" s="4327"/>
    </row>
    <row r="71" spans="1:7" ht="27.75" customHeight="1">
      <c r="A71" s="4326"/>
      <c r="B71" s="4326"/>
      <c r="C71" s="4326"/>
      <c r="D71" s="4326"/>
      <c r="E71" s="4326"/>
      <c r="F71" s="4326"/>
      <c r="G71" s="4326"/>
    </row>
  </sheetData>
  <mergeCells count="37">
    <mergeCell ref="A5:A6"/>
    <mergeCell ref="B5:B6"/>
    <mergeCell ref="C5:C6"/>
    <mergeCell ref="D5:D6"/>
    <mergeCell ref="A8:A14"/>
    <mergeCell ref="B8:B14"/>
    <mergeCell ref="C8:C14"/>
    <mergeCell ref="A15:A22"/>
    <mergeCell ref="B15:B22"/>
    <mergeCell ref="C15:C22"/>
    <mergeCell ref="A23:A30"/>
    <mergeCell ref="B23:B30"/>
    <mergeCell ref="C23:C30"/>
    <mergeCell ref="A54:G54"/>
    <mergeCell ref="A31:A34"/>
    <mergeCell ref="B31:B34"/>
    <mergeCell ref="C31:C34"/>
    <mergeCell ref="A35:A39"/>
    <mergeCell ref="B35:B39"/>
    <mergeCell ref="C35:C39"/>
    <mergeCell ref="A43:A44"/>
    <mergeCell ref="B43:B44"/>
    <mergeCell ref="C43:C44"/>
    <mergeCell ref="A49:A51"/>
    <mergeCell ref="B49:C51"/>
    <mergeCell ref="A71:G71"/>
    <mergeCell ref="A55:G55"/>
    <mergeCell ref="A56:G56"/>
    <mergeCell ref="A57:G57"/>
    <mergeCell ref="A58:G58"/>
    <mergeCell ref="A59:G59"/>
    <mergeCell ref="A60:G60"/>
    <mergeCell ref="A61:G61"/>
    <mergeCell ref="A62:G62"/>
    <mergeCell ref="A68:G68"/>
    <mergeCell ref="A69:G69"/>
    <mergeCell ref="A70:G70"/>
  </mergeCells>
  <printOptions horizontalCentered="1"/>
  <pageMargins left="0.78740157480314965" right="0.78740157480314965" top="0.59055118110236227" bottom="0.11811023622047245" header="0.51181102362204722" footer="3.937007874015748E-2"/>
  <pageSetup paperSize="9" scale="87" orientation="portrait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8">
    <tabColor rgb="FF7030A0"/>
  </sheetPr>
  <dimension ref="A1:M56"/>
  <sheetViews>
    <sheetView workbookViewId="0">
      <pane xSplit="1" ySplit="12" topLeftCell="B51" activePane="bottomRight" state="frozenSplit"/>
      <selection sqref="A1:XFD1048576"/>
      <selection pane="topRight" sqref="A1:XFD1048576"/>
      <selection pane="bottomLeft" sqref="A1:XFD1048576"/>
      <selection pane="bottomRight" sqref="A1:XFD1048576"/>
    </sheetView>
  </sheetViews>
  <sheetFormatPr defaultRowHeight="13.2"/>
  <cols>
    <col min="1" max="1" width="10.88671875" style="10" customWidth="1"/>
    <col min="2" max="2" width="12" style="10" customWidth="1"/>
    <col min="3" max="3" width="11.5546875" style="10" customWidth="1"/>
    <col min="4" max="4" width="11.44140625" style="10" customWidth="1"/>
    <col min="5" max="5" width="10.5546875" style="10" customWidth="1"/>
    <col min="6" max="6" width="14.88671875" style="6" customWidth="1"/>
    <col min="7" max="7" width="16.109375" style="10" customWidth="1"/>
    <col min="8" max="11" width="9.109375" style="10"/>
    <col min="12" max="12" width="10.6640625" style="10" customWidth="1"/>
    <col min="13" max="13" width="10.44140625" style="10" bestFit="1" customWidth="1"/>
    <col min="14" max="256" width="9.109375" style="10"/>
    <col min="257" max="257" width="10.88671875" style="10" customWidth="1"/>
    <col min="258" max="258" width="12" style="10" customWidth="1"/>
    <col min="259" max="259" width="11.5546875" style="10" customWidth="1"/>
    <col min="260" max="260" width="11.44140625" style="10" customWidth="1"/>
    <col min="261" max="261" width="10.5546875" style="10" customWidth="1"/>
    <col min="262" max="262" width="14.88671875" style="10" customWidth="1"/>
    <col min="263" max="263" width="16.109375" style="10" customWidth="1"/>
    <col min="264" max="267" width="9.109375" style="10"/>
    <col min="268" max="268" width="10.6640625" style="10" customWidth="1"/>
    <col min="269" max="512" width="9.109375" style="10"/>
    <col min="513" max="513" width="10.88671875" style="10" customWidth="1"/>
    <col min="514" max="514" width="12" style="10" customWidth="1"/>
    <col min="515" max="515" width="11.5546875" style="10" customWidth="1"/>
    <col min="516" max="516" width="11.44140625" style="10" customWidth="1"/>
    <col min="517" max="517" width="10.5546875" style="10" customWidth="1"/>
    <col min="518" max="518" width="14.88671875" style="10" customWidth="1"/>
    <col min="519" max="519" width="16.109375" style="10" customWidth="1"/>
    <col min="520" max="523" width="9.109375" style="10"/>
    <col min="524" max="524" width="10.6640625" style="10" customWidth="1"/>
    <col min="525" max="768" width="9.109375" style="10"/>
    <col min="769" max="769" width="10.88671875" style="10" customWidth="1"/>
    <col min="770" max="770" width="12" style="10" customWidth="1"/>
    <col min="771" max="771" width="11.5546875" style="10" customWidth="1"/>
    <col min="772" max="772" width="11.44140625" style="10" customWidth="1"/>
    <col min="773" max="773" width="10.5546875" style="10" customWidth="1"/>
    <col min="774" max="774" width="14.88671875" style="10" customWidth="1"/>
    <col min="775" max="775" width="16.109375" style="10" customWidth="1"/>
    <col min="776" max="779" width="9.109375" style="10"/>
    <col min="780" max="780" width="10.6640625" style="10" customWidth="1"/>
    <col min="781" max="1024" width="9.109375" style="10"/>
    <col min="1025" max="1025" width="10.88671875" style="10" customWidth="1"/>
    <col min="1026" max="1026" width="12" style="10" customWidth="1"/>
    <col min="1027" max="1027" width="11.5546875" style="10" customWidth="1"/>
    <col min="1028" max="1028" width="11.44140625" style="10" customWidth="1"/>
    <col min="1029" max="1029" width="10.5546875" style="10" customWidth="1"/>
    <col min="1030" max="1030" width="14.88671875" style="10" customWidth="1"/>
    <col min="1031" max="1031" width="16.109375" style="10" customWidth="1"/>
    <col min="1032" max="1035" width="9.109375" style="10"/>
    <col min="1036" max="1036" width="10.6640625" style="10" customWidth="1"/>
    <col min="1037" max="1280" width="9.109375" style="10"/>
    <col min="1281" max="1281" width="10.88671875" style="10" customWidth="1"/>
    <col min="1282" max="1282" width="12" style="10" customWidth="1"/>
    <col min="1283" max="1283" width="11.5546875" style="10" customWidth="1"/>
    <col min="1284" max="1284" width="11.44140625" style="10" customWidth="1"/>
    <col min="1285" max="1285" width="10.5546875" style="10" customWidth="1"/>
    <col min="1286" max="1286" width="14.88671875" style="10" customWidth="1"/>
    <col min="1287" max="1287" width="16.109375" style="10" customWidth="1"/>
    <col min="1288" max="1291" width="9.109375" style="10"/>
    <col min="1292" max="1292" width="10.6640625" style="10" customWidth="1"/>
    <col min="1293" max="1536" width="9.109375" style="10"/>
    <col min="1537" max="1537" width="10.88671875" style="10" customWidth="1"/>
    <col min="1538" max="1538" width="12" style="10" customWidth="1"/>
    <col min="1539" max="1539" width="11.5546875" style="10" customWidth="1"/>
    <col min="1540" max="1540" width="11.44140625" style="10" customWidth="1"/>
    <col min="1541" max="1541" width="10.5546875" style="10" customWidth="1"/>
    <col min="1542" max="1542" width="14.88671875" style="10" customWidth="1"/>
    <col min="1543" max="1543" width="16.109375" style="10" customWidth="1"/>
    <col min="1544" max="1547" width="9.109375" style="10"/>
    <col min="1548" max="1548" width="10.6640625" style="10" customWidth="1"/>
    <col min="1549" max="1792" width="9.109375" style="10"/>
    <col min="1793" max="1793" width="10.88671875" style="10" customWidth="1"/>
    <col min="1794" max="1794" width="12" style="10" customWidth="1"/>
    <col min="1795" max="1795" width="11.5546875" style="10" customWidth="1"/>
    <col min="1796" max="1796" width="11.44140625" style="10" customWidth="1"/>
    <col min="1797" max="1797" width="10.5546875" style="10" customWidth="1"/>
    <col min="1798" max="1798" width="14.88671875" style="10" customWidth="1"/>
    <col min="1799" max="1799" width="16.109375" style="10" customWidth="1"/>
    <col min="1800" max="1803" width="9.109375" style="10"/>
    <col min="1804" max="1804" width="10.6640625" style="10" customWidth="1"/>
    <col min="1805" max="2048" width="9.109375" style="10"/>
    <col min="2049" max="2049" width="10.88671875" style="10" customWidth="1"/>
    <col min="2050" max="2050" width="12" style="10" customWidth="1"/>
    <col min="2051" max="2051" width="11.5546875" style="10" customWidth="1"/>
    <col min="2052" max="2052" width="11.44140625" style="10" customWidth="1"/>
    <col min="2053" max="2053" width="10.5546875" style="10" customWidth="1"/>
    <col min="2054" max="2054" width="14.88671875" style="10" customWidth="1"/>
    <col min="2055" max="2055" width="16.109375" style="10" customWidth="1"/>
    <col min="2056" max="2059" width="9.109375" style="10"/>
    <col min="2060" max="2060" width="10.6640625" style="10" customWidth="1"/>
    <col min="2061" max="2304" width="9.109375" style="10"/>
    <col min="2305" max="2305" width="10.88671875" style="10" customWidth="1"/>
    <col min="2306" max="2306" width="12" style="10" customWidth="1"/>
    <col min="2307" max="2307" width="11.5546875" style="10" customWidth="1"/>
    <col min="2308" max="2308" width="11.44140625" style="10" customWidth="1"/>
    <col min="2309" max="2309" width="10.5546875" style="10" customWidth="1"/>
    <col min="2310" max="2310" width="14.88671875" style="10" customWidth="1"/>
    <col min="2311" max="2311" width="16.109375" style="10" customWidth="1"/>
    <col min="2312" max="2315" width="9.109375" style="10"/>
    <col min="2316" max="2316" width="10.6640625" style="10" customWidth="1"/>
    <col min="2317" max="2560" width="9.109375" style="10"/>
    <col min="2561" max="2561" width="10.88671875" style="10" customWidth="1"/>
    <col min="2562" max="2562" width="12" style="10" customWidth="1"/>
    <col min="2563" max="2563" width="11.5546875" style="10" customWidth="1"/>
    <col min="2564" max="2564" width="11.44140625" style="10" customWidth="1"/>
    <col min="2565" max="2565" width="10.5546875" style="10" customWidth="1"/>
    <col min="2566" max="2566" width="14.88671875" style="10" customWidth="1"/>
    <col min="2567" max="2567" width="16.109375" style="10" customWidth="1"/>
    <col min="2568" max="2571" width="9.109375" style="10"/>
    <col min="2572" max="2572" width="10.6640625" style="10" customWidth="1"/>
    <col min="2573" max="2816" width="9.109375" style="10"/>
    <col min="2817" max="2817" width="10.88671875" style="10" customWidth="1"/>
    <col min="2818" max="2818" width="12" style="10" customWidth="1"/>
    <col min="2819" max="2819" width="11.5546875" style="10" customWidth="1"/>
    <col min="2820" max="2820" width="11.44140625" style="10" customWidth="1"/>
    <col min="2821" max="2821" width="10.5546875" style="10" customWidth="1"/>
    <col min="2822" max="2822" width="14.88671875" style="10" customWidth="1"/>
    <col min="2823" max="2823" width="16.109375" style="10" customWidth="1"/>
    <col min="2824" max="2827" width="9.109375" style="10"/>
    <col min="2828" max="2828" width="10.6640625" style="10" customWidth="1"/>
    <col min="2829" max="3072" width="9.109375" style="10"/>
    <col min="3073" max="3073" width="10.88671875" style="10" customWidth="1"/>
    <col min="3074" max="3074" width="12" style="10" customWidth="1"/>
    <col min="3075" max="3075" width="11.5546875" style="10" customWidth="1"/>
    <col min="3076" max="3076" width="11.44140625" style="10" customWidth="1"/>
    <col min="3077" max="3077" width="10.5546875" style="10" customWidth="1"/>
    <col min="3078" max="3078" width="14.88671875" style="10" customWidth="1"/>
    <col min="3079" max="3079" width="16.109375" style="10" customWidth="1"/>
    <col min="3080" max="3083" width="9.109375" style="10"/>
    <col min="3084" max="3084" width="10.6640625" style="10" customWidth="1"/>
    <col min="3085" max="3328" width="9.109375" style="10"/>
    <col min="3329" max="3329" width="10.88671875" style="10" customWidth="1"/>
    <col min="3330" max="3330" width="12" style="10" customWidth="1"/>
    <col min="3331" max="3331" width="11.5546875" style="10" customWidth="1"/>
    <col min="3332" max="3332" width="11.44140625" style="10" customWidth="1"/>
    <col min="3333" max="3333" width="10.5546875" style="10" customWidth="1"/>
    <col min="3334" max="3334" width="14.88671875" style="10" customWidth="1"/>
    <col min="3335" max="3335" width="16.109375" style="10" customWidth="1"/>
    <col min="3336" max="3339" width="9.109375" style="10"/>
    <col min="3340" max="3340" width="10.6640625" style="10" customWidth="1"/>
    <col min="3341" max="3584" width="9.109375" style="10"/>
    <col min="3585" max="3585" width="10.88671875" style="10" customWidth="1"/>
    <col min="3586" max="3586" width="12" style="10" customWidth="1"/>
    <col min="3587" max="3587" width="11.5546875" style="10" customWidth="1"/>
    <col min="3588" max="3588" width="11.44140625" style="10" customWidth="1"/>
    <col min="3589" max="3589" width="10.5546875" style="10" customWidth="1"/>
    <col min="3590" max="3590" width="14.88671875" style="10" customWidth="1"/>
    <col min="3591" max="3591" width="16.109375" style="10" customWidth="1"/>
    <col min="3592" max="3595" width="9.109375" style="10"/>
    <col min="3596" max="3596" width="10.6640625" style="10" customWidth="1"/>
    <col min="3597" max="3840" width="9.109375" style="10"/>
    <col min="3841" max="3841" width="10.88671875" style="10" customWidth="1"/>
    <col min="3842" max="3842" width="12" style="10" customWidth="1"/>
    <col min="3843" max="3843" width="11.5546875" style="10" customWidth="1"/>
    <col min="3844" max="3844" width="11.44140625" style="10" customWidth="1"/>
    <col min="3845" max="3845" width="10.5546875" style="10" customWidth="1"/>
    <col min="3846" max="3846" width="14.88671875" style="10" customWidth="1"/>
    <col min="3847" max="3847" width="16.109375" style="10" customWidth="1"/>
    <col min="3848" max="3851" width="9.109375" style="10"/>
    <col min="3852" max="3852" width="10.6640625" style="10" customWidth="1"/>
    <col min="3853" max="4096" width="9.109375" style="10"/>
    <col min="4097" max="4097" width="10.88671875" style="10" customWidth="1"/>
    <col min="4098" max="4098" width="12" style="10" customWidth="1"/>
    <col min="4099" max="4099" width="11.5546875" style="10" customWidth="1"/>
    <col min="4100" max="4100" width="11.44140625" style="10" customWidth="1"/>
    <col min="4101" max="4101" width="10.5546875" style="10" customWidth="1"/>
    <col min="4102" max="4102" width="14.88671875" style="10" customWidth="1"/>
    <col min="4103" max="4103" width="16.109375" style="10" customWidth="1"/>
    <col min="4104" max="4107" width="9.109375" style="10"/>
    <col min="4108" max="4108" width="10.6640625" style="10" customWidth="1"/>
    <col min="4109" max="4352" width="9.109375" style="10"/>
    <col min="4353" max="4353" width="10.88671875" style="10" customWidth="1"/>
    <col min="4354" max="4354" width="12" style="10" customWidth="1"/>
    <col min="4355" max="4355" width="11.5546875" style="10" customWidth="1"/>
    <col min="4356" max="4356" width="11.44140625" style="10" customWidth="1"/>
    <col min="4357" max="4357" width="10.5546875" style="10" customWidth="1"/>
    <col min="4358" max="4358" width="14.88671875" style="10" customWidth="1"/>
    <col min="4359" max="4359" width="16.109375" style="10" customWidth="1"/>
    <col min="4360" max="4363" width="9.109375" style="10"/>
    <col min="4364" max="4364" width="10.6640625" style="10" customWidth="1"/>
    <col min="4365" max="4608" width="9.109375" style="10"/>
    <col min="4609" max="4609" width="10.88671875" style="10" customWidth="1"/>
    <col min="4610" max="4610" width="12" style="10" customWidth="1"/>
    <col min="4611" max="4611" width="11.5546875" style="10" customWidth="1"/>
    <col min="4612" max="4612" width="11.44140625" style="10" customWidth="1"/>
    <col min="4613" max="4613" width="10.5546875" style="10" customWidth="1"/>
    <col min="4614" max="4614" width="14.88671875" style="10" customWidth="1"/>
    <col min="4615" max="4615" width="16.109375" style="10" customWidth="1"/>
    <col min="4616" max="4619" width="9.109375" style="10"/>
    <col min="4620" max="4620" width="10.6640625" style="10" customWidth="1"/>
    <col min="4621" max="4864" width="9.109375" style="10"/>
    <col min="4865" max="4865" width="10.88671875" style="10" customWidth="1"/>
    <col min="4866" max="4866" width="12" style="10" customWidth="1"/>
    <col min="4867" max="4867" width="11.5546875" style="10" customWidth="1"/>
    <col min="4868" max="4868" width="11.44140625" style="10" customWidth="1"/>
    <col min="4869" max="4869" width="10.5546875" style="10" customWidth="1"/>
    <col min="4870" max="4870" width="14.88671875" style="10" customWidth="1"/>
    <col min="4871" max="4871" width="16.109375" style="10" customWidth="1"/>
    <col min="4872" max="4875" width="9.109375" style="10"/>
    <col min="4876" max="4876" width="10.6640625" style="10" customWidth="1"/>
    <col min="4877" max="5120" width="9.109375" style="10"/>
    <col min="5121" max="5121" width="10.88671875" style="10" customWidth="1"/>
    <col min="5122" max="5122" width="12" style="10" customWidth="1"/>
    <col min="5123" max="5123" width="11.5546875" style="10" customWidth="1"/>
    <col min="5124" max="5124" width="11.44140625" style="10" customWidth="1"/>
    <col min="5125" max="5125" width="10.5546875" style="10" customWidth="1"/>
    <col min="5126" max="5126" width="14.88671875" style="10" customWidth="1"/>
    <col min="5127" max="5127" width="16.109375" style="10" customWidth="1"/>
    <col min="5128" max="5131" width="9.109375" style="10"/>
    <col min="5132" max="5132" width="10.6640625" style="10" customWidth="1"/>
    <col min="5133" max="5376" width="9.109375" style="10"/>
    <col min="5377" max="5377" width="10.88671875" style="10" customWidth="1"/>
    <col min="5378" max="5378" width="12" style="10" customWidth="1"/>
    <col min="5379" max="5379" width="11.5546875" style="10" customWidth="1"/>
    <col min="5380" max="5380" width="11.44140625" style="10" customWidth="1"/>
    <col min="5381" max="5381" width="10.5546875" style="10" customWidth="1"/>
    <col min="5382" max="5382" width="14.88671875" style="10" customWidth="1"/>
    <col min="5383" max="5383" width="16.109375" style="10" customWidth="1"/>
    <col min="5384" max="5387" width="9.109375" style="10"/>
    <col min="5388" max="5388" width="10.6640625" style="10" customWidth="1"/>
    <col min="5389" max="5632" width="9.109375" style="10"/>
    <col min="5633" max="5633" width="10.88671875" style="10" customWidth="1"/>
    <col min="5634" max="5634" width="12" style="10" customWidth="1"/>
    <col min="5635" max="5635" width="11.5546875" style="10" customWidth="1"/>
    <col min="5636" max="5636" width="11.44140625" style="10" customWidth="1"/>
    <col min="5637" max="5637" width="10.5546875" style="10" customWidth="1"/>
    <col min="5638" max="5638" width="14.88671875" style="10" customWidth="1"/>
    <col min="5639" max="5639" width="16.109375" style="10" customWidth="1"/>
    <col min="5640" max="5643" width="9.109375" style="10"/>
    <col min="5644" max="5644" width="10.6640625" style="10" customWidth="1"/>
    <col min="5645" max="5888" width="9.109375" style="10"/>
    <col min="5889" max="5889" width="10.88671875" style="10" customWidth="1"/>
    <col min="5890" max="5890" width="12" style="10" customWidth="1"/>
    <col min="5891" max="5891" width="11.5546875" style="10" customWidth="1"/>
    <col min="5892" max="5892" width="11.44140625" style="10" customWidth="1"/>
    <col min="5893" max="5893" width="10.5546875" style="10" customWidth="1"/>
    <col min="5894" max="5894" width="14.88671875" style="10" customWidth="1"/>
    <col min="5895" max="5895" width="16.109375" style="10" customWidth="1"/>
    <col min="5896" max="5899" width="9.109375" style="10"/>
    <col min="5900" max="5900" width="10.6640625" style="10" customWidth="1"/>
    <col min="5901" max="6144" width="9.109375" style="10"/>
    <col min="6145" max="6145" width="10.88671875" style="10" customWidth="1"/>
    <col min="6146" max="6146" width="12" style="10" customWidth="1"/>
    <col min="6147" max="6147" width="11.5546875" style="10" customWidth="1"/>
    <col min="6148" max="6148" width="11.44140625" style="10" customWidth="1"/>
    <col min="6149" max="6149" width="10.5546875" style="10" customWidth="1"/>
    <col min="6150" max="6150" width="14.88671875" style="10" customWidth="1"/>
    <col min="6151" max="6151" width="16.109375" style="10" customWidth="1"/>
    <col min="6152" max="6155" width="9.109375" style="10"/>
    <col min="6156" max="6156" width="10.6640625" style="10" customWidth="1"/>
    <col min="6157" max="6400" width="9.109375" style="10"/>
    <col min="6401" max="6401" width="10.88671875" style="10" customWidth="1"/>
    <col min="6402" max="6402" width="12" style="10" customWidth="1"/>
    <col min="6403" max="6403" width="11.5546875" style="10" customWidth="1"/>
    <col min="6404" max="6404" width="11.44140625" style="10" customWidth="1"/>
    <col min="6405" max="6405" width="10.5546875" style="10" customWidth="1"/>
    <col min="6406" max="6406" width="14.88671875" style="10" customWidth="1"/>
    <col min="6407" max="6407" width="16.109375" style="10" customWidth="1"/>
    <col min="6408" max="6411" width="9.109375" style="10"/>
    <col min="6412" max="6412" width="10.6640625" style="10" customWidth="1"/>
    <col min="6413" max="6656" width="9.109375" style="10"/>
    <col min="6657" max="6657" width="10.88671875" style="10" customWidth="1"/>
    <col min="6658" max="6658" width="12" style="10" customWidth="1"/>
    <col min="6659" max="6659" width="11.5546875" style="10" customWidth="1"/>
    <col min="6660" max="6660" width="11.44140625" style="10" customWidth="1"/>
    <col min="6661" max="6661" width="10.5546875" style="10" customWidth="1"/>
    <col min="6662" max="6662" width="14.88671875" style="10" customWidth="1"/>
    <col min="6663" max="6663" width="16.109375" style="10" customWidth="1"/>
    <col min="6664" max="6667" width="9.109375" style="10"/>
    <col min="6668" max="6668" width="10.6640625" style="10" customWidth="1"/>
    <col min="6669" max="6912" width="9.109375" style="10"/>
    <col min="6913" max="6913" width="10.88671875" style="10" customWidth="1"/>
    <col min="6914" max="6914" width="12" style="10" customWidth="1"/>
    <col min="6915" max="6915" width="11.5546875" style="10" customWidth="1"/>
    <col min="6916" max="6916" width="11.44140625" style="10" customWidth="1"/>
    <col min="6917" max="6917" width="10.5546875" style="10" customWidth="1"/>
    <col min="6918" max="6918" width="14.88671875" style="10" customWidth="1"/>
    <col min="6919" max="6919" width="16.109375" style="10" customWidth="1"/>
    <col min="6920" max="6923" width="9.109375" style="10"/>
    <col min="6924" max="6924" width="10.6640625" style="10" customWidth="1"/>
    <col min="6925" max="7168" width="9.109375" style="10"/>
    <col min="7169" max="7169" width="10.88671875" style="10" customWidth="1"/>
    <col min="7170" max="7170" width="12" style="10" customWidth="1"/>
    <col min="7171" max="7171" width="11.5546875" style="10" customWidth="1"/>
    <col min="7172" max="7172" width="11.44140625" style="10" customWidth="1"/>
    <col min="7173" max="7173" width="10.5546875" style="10" customWidth="1"/>
    <col min="7174" max="7174" width="14.88671875" style="10" customWidth="1"/>
    <col min="7175" max="7175" width="16.109375" style="10" customWidth="1"/>
    <col min="7176" max="7179" width="9.109375" style="10"/>
    <col min="7180" max="7180" width="10.6640625" style="10" customWidth="1"/>
    <col min="7181" max="7424" width="9.109375" style="10"/>
    <col min="7425" max="7425" width="10.88671875" style="10" customWidth="1"/>
    <col min="7426" max="7426" width="12" style="10" customWidth="1"/>
    <col min="7427" max="7427" width="11.5546875" style="10" customWidth="1"/>
    <col min="7428" max="7428" width="11.44140625" style="10" customWidth="1"/>
    <col min="7429" max="7429" width="10.5546875" style="10" customWidth="1"/>
    <col min="7430" max="7430" width="14.88671875" style="10" customWidth="1"/>
    <col min="7431" max="7431" width="16.109375" style="10" customWidth="1"/>
    <col min="7432" max="7435" width="9.109375" style="10"/>
    <col min="7436" max="7436" width="10.6640625" style="10" customWidth="1"/>
    <col min="7437" max="7680" width="9.109375" style="10"/>
    <col min="7681" max="7681" width="10.88671875" style="10" customWidth="1"/>
    <col min="7682" max="7682" width="12" style="10" customWidth="1"/>
    <col min="7683" max="7683" width="11.5546875" style="10" customWidth="1"/>
    <col min="7684" max="7684" width="11.44140625" style="10" customWidth="1"/>
    <col min="7685" max="7685" width="10.5546875" style="10" customWidth="1"/>
    <col min="7686" max="7686" width="14.88671875" style="10" customWidth="1"/>
    <col min="7687" max="7687" width="16.109375" style="10" customWidth="1"/>
    <col min="7688" max="7691" width="9.109375" style="10"/>
    <col min="7692" max="7692" width="10.6640625" style="10" customWidth="1"/>
    <col min="7693" max="7936" width="9.109375" style="10"/>
    <col min="7937" max="7937" width="10.88671875" style="10" customWidth="1"/>
    <col min="7938" max="7938" width="12" style="10" customWidth="1"/>
    <col min="7939" max="7939" width="11.5546875" style="10" customWidth="1"/>
    <col min="7940" max="7940" width="11.44140625" style="10" customWidth="1"/>
    <col min="7941" max="7941" width="10.5546875" style="10" customWidth="1"/>
    <col min="7942" max="7942" width="14.88671875" style="10" customWidth="1"/>
    <col min="7943" max="7943" width="16.109375" style="10" customWidth="1"/>
    <col min="7944" max="7947" width="9.109375" style="10"/>
    <col min="7948" max="7948" width="10.6640625" style="10" customWidth="1"/>
    <col min="7949" max="8192" width="9.109375" style="10"/>
    <col min="8193" max="8193" width="10.88671875" style="10" customWidth="1"/>
    <col min="8194" max="8194" width="12" style="10" customWidth="1"/>
    <col min="8195" max="8195" width="11.5546875" style="10" customWidth="1"/>
    <col min="8196" max="8196" width="11.44140625" style="10" customWidth="1"/>
    <col min="8197" max="8197" width="10.5546875" style="10" customWidth="1"/>
    <col min="8198" max="8198" width="14.88671875" style="10" customWidth="1"/>
    <col min="8199" max="8199" width="16.109375" style="10" customWidth="1"/>
    <col min="8200" max="8203" width="9.109375" style="10"/>
    <col min="8204" max="8204" width="10.6640625" style="10" customWidth="1"/>
    <col min="8205" max="8448" width="9.109375" style="10"/>
    <col min="8449" max="8449" width="10.88671875" style="10" customWidth="1"/>
    <col min="8450" max="8450" width="12" style="10" customWidth="1"/>
    <col min="8451" max="8451" width="11.5546875" style="10" customWidth="1"/>
    <col min="8452" max="8452" width="11.44140625" style="10" customWidth="1"/>
    <col min="8453" max="8453" width="10.5546875" style="10" customWidth="1"/>
    <col min="8454" max="8454" width="14.88671875" style="10" customWidth="1"/>
    <col min="8455" max="8455" width="16.109375" style="10" customWidth="1"/>
    <col min="8456" max="8459" width="9.109375" style="10"/>
    <col min="8460" max="8460" width="10.6640625" style="10" customWidth="1"/>
    <col min="8461" max="8704" width="9.109375" style="10"/>
    <col min="8705" max="8705" width="10.88671875" style="10" customWidth="1"/>
    <col min="8706" max="8706" width="12" style="10" customWidth="1"/>
    <col min="8707" max="8707" width="11.5546875" style="10" customWidth="1"/>
    <col min="8708" max="8708" width="11.44140625" style="10" customWidth="1"/>
    <col min="8709" max="8709" width="10.5546875" style="10" customWidth="1"/>
    <col min="8710" max="8710" width="14.88671875" style="10" customWidth="1"/>
    <col min="8711" max="8711" width="16.109375" style="10" customWidth="1"/>
    <col min="8712" max="8715" width="9.109375" style="10"/>
    <col min="8716" max="8716" width="10.6640625" style="10" customWidth="1"/>
    <col min="8717" max="8960" width="9.109375" style="10"/>
    <col min="8961" max="8961" width="10.88671875" style="10" customWidth="1"/>
    <col min="8962" max="8962" width="12" style="10" customWidth="1"/>
    <col min="8963" max="8963" width="11.5546875" style="10" customWidth="1"/>
    <col min="8964" max="8964" width="11.44140625" style="10" customWidth="1"/>
    <col min="8965" max="8965" width="10.5546875" style="10" customWidth="1"/>
    <col min="8966" max="8966" width="14.88671875" style="10" customWidth="1"/>
    <col min="8967" max="8967" width="16.109375" style="10" customWidth="1"/>
    <col min="8968" max="8971" width="9.109375" style="10"/>
    <col min="8972" max="8972" width="10.6640625" style="10" customWidth="1"/>
    <col min="8973" max="9216" width="9.109375" style="10"/>
    <col min="9217" max="9217" width="10.88671875" style="10" customWidth="1"/>
    <col min="9218" max="9218" width="12" style="10" customWidth="1"/>
    <col min="9219" max="9219" width="11.5546875" style="10" customWidth="1"/>
    <col min="9220" max="9220" width="11.44140625" style="10" customWidth="1"/>
    <col min="9221" max="9221" width="10.5546875" style="10" customWidth="1"/>
    <col min="9222" max="9222" width="14.88671875" style="10" customWidth="1"/>
    <col min="9223" max="9223" width="16.109375" style="10" customWidth="1"/>
    <col min="9224" max="9227" width="9.109375" style="10"/>
    <col min="9228" max="9228" width="10.6640625" style="10" customWidth="1"/>
    <col min="9229" max="9472" width="9.109375" style="10"/>
    <col min="9473" max="9473" width="10.88671875" style="10" customWidth="1"/>
    <col min="9474" max="9474" width="12" style="10" customWidth="1"/>
    <col min="9475" max="9475" width="11.5546875" style="10" customWidth="1"/>
    <col min="9476" max="9476" width="11.44140625" style="10" customWidth="1"/>
    <col min="9477" max="9477" width="10.5546875" style="10" customWidth="1"/>
    <col min="9478" max="9478" width="14.88671875" style="10" customWidth="1"/>
    <col min="9479" max="9479" width="16.109375" style="10" customWidth="1"/>
    <col min="9480" max="9483" width="9.109375" style="10"/>
    <col min="9484" max="9484" width="10.6640625" style="10" customWidth="1"/>
    <col min="9485" max="9728" width="9.109375" style="10"/>
    <col min="9729" max="9729" width="10.88671875" style="10" customWidth="1"/>
    <col min="9730" max="9730" width="12" style="10" customWidth="1"/>
    <col min="9731" max="9731" width="11.5546875" style="10" customWidth="1"/>
    <col min="9732" max="9732" width="11.44140625" style="10" customWidth="1"/>
    <col min="9733" max="9733" width="10.5546875" style="10" customWidth="1"/>
    <col min="9734" max="9734" width="14.88671875" style="10" customWidth="1"/>
    <col min="9735" max="9735" width="16.109375" style="10" customWidth="1"/>
    <col min="9736" max="9739" width="9.109375" style="10"/>
    <col min="9740" max="9740" width="10.6640625" style="10" customWidth="1"/>
    <col min="9741" max="9984" width="9.109375" style="10"/>
    <col min="9985" max="9985" width="10.88671875" style="10" customWidth="1"/>
    <col min="9986" max="9986" width="12" style="10" customWidth="1"/>
    <col min="9987" max="9987" width="11.5546875" style="10" customWidth="1"/>
    <col min="9988" max="9988" width="11.44140625" style="10" customWidth="1"/>
    <col min="9989" max="9989" width="10.5546875" style="10" customWidth="1"/>
    <col min="9990" max="9990" width="14.88671875" style="10" customWidth="1"/>
    <col min="9991" max="9991" width="16.109375" style="10" customWidth="1"/>
    <col min="9992" max="9995" width="9.109375" style="10"/>
    <col min="9996" max="9996" width="10.6640625" style="10" customWidth="1"/>
    <col min="9997" max="10240" width="9.109375" style="10"/>
    <col min="10241" max="10241" width="10.88671875" style="10" customWidth="1"/>
    <col min="10242" max="10242" width="12" style="10" customWidth="1"/>
    <col min="10243" max="10243" width="11.5546875" style="10" customWidth="1"/>
    <col min="10244" max="10244" width="11.44140625" style="10" customWidth="1"/>
    <col min="10245" max="10245" width="10.5546875" style="10" customWidth="1"/>
    <col min="10246" max="10246" width="14.88671875" style="10" customWidth="1"/>
    <col min="10247" max="10247" width="16.109375" style="10" customWidth="1"/>
    <col min="10248" max="10251" width="9.109375" style="10"/>
    <col min="10252" max="10252" width="10.6640625" style="10" customWidth="1"/>
    <col min="10253" max="10496" width="9.109375" style="10"/>
    <col min="10497" max="10497" width="10.88671875" style="10" customWidth="1"/>
    <col min="10498" max="10498" width="12" style="10" customWidth="1"/>
    <col min="10499" max="10499" width="11.5546875" style="10" customWidth="1"/>
    <col min="10500" max="10500" width="11.44140625" style="10" customWidth="1"/>
    <col min="10501" max="10501" width="10.5546875" style="10" customWidth="1"/>
    <col min="10502" max="10502" width="14.88671875" style="10" customWidth="1"/>
    <col min="10503" max="10503" width="16.109375" style="10" customWidth="1"/>
    <col min="10504" max="10507" width="9.109375" style="10"/>
    <col min="10508" max="10508" width="10.6640625" style="10" customWidth="1"/>
    <col min="10509" max="10752" width="9.109375" style="10"/>
    <col min="10753" max="10753" width="10.88671875" style="10" customWidth="1"/>
    <col min="10754" max="10754" width="12" style="10" customWidth="1"/>
    <col min="10755" max="10755" width="11.5546875" style="10" customWidth="1"/>
    <col min="10756" max="10756" width="11.44140625" style="10" customWidth="1"/>
    <col min="10757" max="10757" width="10.5546875" style="10" customWidth="1"/>
    <col min="10758" max="10758" width="14.88671875" style="10" customWidth="1"/>
    <col min="10759" max="10759" width="16.109375" style="10" customWidth="1"/>
    <col min="10760" max="10763" width="9.109375" style="10"/>
    <col min="10764" max="10764" width="10.6640625" style="10" customWidth="1"/>
    <col min="10765" max="11008" width="9.109375" style="10"/>
    <col min="11009" max="11009" width="10.88671875" style="10" customWidth="1"/>
    <col min="11010" max="11010" width="12" style="10" customWidth="1"/>
    <col min="11011" max="11011" width="11.5546875" style="10" customWidth="1"/>
    <col min="11012" max="11012" width="11.44140625" style="10" customWidth="1"/>
    <col min="11013" max="11013" width="10.5546875" style="10" customWidth="1"/>
    <col min="11014" max="11014" width="14.88671875" style="10" customWidth="1"/>
    <col min="11015" max="11015" width="16.109375" style="10" customWidth="1"/>
    <col min="11016" max="11019" width="9.109375" style="10"/>
    <col min="11020" max="11020" width="10.6640625" style="10" customWidth="1"/>
    <col min="11021" max="11264" width="9.109375" style="10"/>
    <col min="11265" max="11265" width="10.88671875" style="10" customWidth="1"/>
    <col min="11266" max="11266" width="12" style="10" customWidth="1"/>
    <col min="11267" max="11267" width="11.5546875" style="10" customWidth="1"/>
    <col min="11268" max="11268" width="11.44140625" style="10" customWidth="1"/>
    <col min="11269" max="11269" width="10.5546875" style="10" customWidth="1"/>
    <col min="11270" max="11270" width="14.88671875" style="10" customWidth="1"/>
    <col min="11271" max="11271" width="16.109375" style="10" customWidth="1"/>
    <col min="11272" max="11275" width="9.109375" style="10"/>
    <col min="11276" max="11276" width="10.6640625" style="10" customWidth="1"/>
    <col min="11277" max="11520" width="9.109375" style="10"/>
    <col min="11521" max="11521" width="10.88671875" style="10" customWidth="1"/>
    <col min="11522" max="11522" width="12" style="10" customWidth="1"/>
    <col min="11523" max="11523" width="11.5546875" style="10" customWidth="1"/>
    <col min="11524" max="11524" width="11.44140625" style="10" customWidth="1"/>
    <col min="11525" max="11525" width="10.5546875" style="10" customWidth="1"/>
    <col min="11526" max="11526" width="14.88671875" style="10" customWidth="1"/>
    <col min="11527" max="11527" width="16.109375" style="10" customWidth="1"/>
    <col min="11528" max="11531" width="9.109375" style="10"/>
    <col min="11532" max="11532" width="10.6640625" style="10" customWidth="1"/>
    <col min="11533" max="11776" width="9.109375" style="10"/>
    <col min="11777" max="11777" width="10.88671875" style="10" customWidth="1"/>
    <col min="11778" max="11778" width="12" style="10" customWidth="1"/>
    <col min="11779" max="11779" width="11.5546875" style="10" customWidth="1"/>
    <col min="11780" max="11780" width="11.44140625" style="10" customWidth="1"/>
    <col min="11781" max="11781" width="10.5546875" style="10" customWidth="1"/>
    <col min="11782" max="11782" width="14.88671875" style="10" customWidth="1"/>
    <col min="11783" max="11783" width="16.109375" style="10" customWidth="1"/>
    <col min="11784" max="11787" width="9.109375" style="10"/>
    <col min="11788" max="11788" width="10.6640625" style="10" customWidth="1"/>
    <col min="11789" max="12032" width="9.109375" style="10"/>
    <col min="12033" max="12033" width="10.88671875" style="10" customWidth="1"/>
    <col min="12034" max="12034" width="12" style="10" customWidth="1"/>
    <col min="12035" max="12035" width="11.5546875" style="10" customWidth="1"/>
    <col min="12036" max="12036" width="11.44140625" style="10" customWidth="1"/>
    <col min="12037" max="12037" width="10.5546875" style="10" customWidth="1"/>
    <col min="12038" max="12038" width="14.88671875" style="10" customWidth="1"/>
    <col min="12039" max="12039" width="16.109375" style="10" customWidth="1"/>
    <col min="12040" max="12043" width="9.109375" style="10"/>
    <col min="12044" max="12044" width="10.6640625" style="10" customWidth="1"/>
    <col min="12045" max="12288" width="9.109375" style="10"/>
    <col min="12289" max="12289" width="10.88671875" style="10" customWidth="1"/>
    <col min="12290" max="12290" width="12" style="10" customWidth="1"/>
    <col min="12291" max="12291" width="11.5546875" style="10" customWidth="1"/>
    <col min="12292" max="12292" width="11.44140625" style="10" customWidth="1"/>
    <col min="12293" max="12293" width="10.5546875" style="10" customWidth="1"/>
    <col min="12294" max="12294" width="14.88671875" style="10" customWidth="1"/>
    <col min="12295" max="12295" width="16.109375" style="10" customWidth="1"/>
    <col min="12296" max="12299" width="9.109375" style="10"/>
    <col min="12300" max="12300" width="10.6640625" style="10" customWidth="1"/>
    <col min="12301" max="12544" width="9.109375" style="10"/>
    <col min="12545" max="12545" width="10.88671875" style="10" customWidth="1"/>
    <col min="12546" max="12546" width="12" style="10" customWidth="1"/>
    <col min="12547" max="12547" width="11.5546875" style="10" customWidth="1"/>
    <col min="12548" max="12548" width="11.44140625" style="10" customWidth="1"/>
    <col min="12549" max="12549" width="10.5546875" style="10" customWidth="1"/>
    <col min="12550" max="12550" width="14.88671875" style="10" customWidth="1"/>
    <col min="12551" max="12551" width="16.109375" style="10" customWidth="1"/>
    <col min="12552" max="12555" width="9.109375" style="10"/>
    <col min="12556" max="12556" width="10.6640625" style="10" customWidth="1"/>
    <col min="12557" max="12800" width="9.109375" style="10"/>
    <col min="12801" max="12801" width="10.88671875" style="10" customWidth="1"/>
    <col min="12802" max="12802" width="12" style="10" customWidth="1"/>
    <col min="12803" max="12803" width="11.5546875" style="10" customWidth="1"/>
    <col min="12804" max="12804" width="11.44140625" style="10" customWidth="1"/>
    <col min="12805" max="12805" width="10.5546875" style="10" customWidth="1"/>
    <col min="12806" max="12806" width="14.88671875" style="10" customWidth="1"/>
    <col min="12807" max="12807" width="16.109375" style="10" customWidth="1"/>
    <col min="12808" max="12811" width="9.109375" style="10"/>
    <col min="12812" max="12812" width="10.6640625" style="10" customWidth="1"/>
    <col min="12813" max="13056" width="9.109375" style="10"/>
    <col min="13057" max="13057" width="10.88671875" style="10" customWidth="1"/>
    <col min="13058" max="13058" width="12" style="10" customWidth="1"/>
    <col min="13059" max="13059" width="11.5546875" style="10" customWidth="1"/>
    <col min="13060" max="13060" width="11.44140625" style="10" customWidth="1"/>
    <col min="13061" max="13061" width="10.5546875" style="10" customWidth="1"/>
    <col min="13062" max="13062" width="14.88671875" style="10" customWidth="1"/>
    <col min="13063" max="13063" width="16.109375" style="10" customWidth="1"/>
    <col min="13064" max="13067" width="9.109375" style="10"/>
    <col min="13068" max="13068" width="10.6640625" style="10" customWidth="1"/>
    <col min="13069" max="13312" width="9.109375" style="10"/>
    <col min="13313" max="13313" width="10.88671875" style="10" customWidth="1"/>
    <col min="13314" max="13314" width="12" style="10" customWidth="1"/>
    <col min="13315" max="13315" width="11.5546875" style="10" customWidth="1"/>
    <col min="13316" max="13316" width="11.44140625" style="10" customWidth="1"/>
    <col min="13317" max="13317" width="10.5546875" style="10" customWidth="1"/>
    <col min="13318" max="13318" width="14.88671875" style="10" customWidth="1"/>
    <col min="13319" max="13319" width="16.109375" style="10" customWidth="1"/>
    <col min="13320" max="13323" width="9.109375" style="10"/>
    <col min="13324" max="13324" width="10.6640625" style="10" customWidth="1"/>
    <col min="13325" max="13568" width="9.109375" style="10"/>
    <col min="13569" max="13569" width="10.88671875" style="10" customWidth="1"/>
    <col min="13570" max="13570" width="12" style="10" customWidth="1"/>
    <col min="13571" max="13571" width="11.5546875" style="10" customWidth="1"/>
    <col min="13572" max="13572" width="11.44140625" style="10" customWidth="1"/>
    <col min="13573" max="13573" width="10.5546875" style="10" customWidth="1"/>
    <col min="13574" max="13574" width="14.88671875" style="10" customWidth="1"/>
    <col min="13575" max="13575" width="16.109375" style="10" customWidth="1"/>
    <col min="13576" max="13579" width="9.109375" style="10"/>
    <col min="13580" max="13580" width="10.6640625" style="10" customWidth="1"/>
    <col min="13581" max="13824" width="9.109375" style="10"/>
    <col min="13825" max="13825" width="10.88671875" style="10" customWidth="1"/>
    <col min="13826" max="13826" width="12" style="10" customWidth="1"/>
    <col min="13827" max="13827" width="11.5546875" style="10" customWidth="1"/>
    <col min="13828" max="13828" width="11.44140625" style="10" customWidth="1"/>
    <col min="13829" max="13829" width="10.5546875" style="10" customWidth="1"/>
    <col min="13830" max="13830" width="14.88671875" style="10" customWidth="1"/>
    <col min="13831" max="13831" width="16.109375" style="10" customWidth="1"/>
    <col min="13832" max="13835" width="9.109375" style="10"/>
    <col min="13836" max="13836" width="10.6640625" style="10" customWidth="1"/>
    <col min="13837" max="14080" width="9.109375" style="10"/>
    <col min="14081" max="14081" width="10.88671875" style="10" customWidth="1"/>
    <col min="14082" max="14082" width="12" style="10" customWidth="1"/>
    <col min="14083" max="14083" width="11.5546875" style="10" customWidth="1"/>
    <col min="14084" max="14084" width="11.44140625" style="10" customWidth="1"/>
    <col min="14085" max="14085" width="10.5546875" style="10" customWidth="1"/>
    <col min="14086" max="14086" width="14.88671875" style="10" customWidth="1"/>
    <col min="14087" max="14087" width="16.109375" style="10" customWidth="1"/>
    <col min="14088" max="14091" width="9.109375" style="10"/>
    <col min="14092" max="14092" width="10.6640625" style="10" customWidth="1"/>
    <col min="14093" max="14336" width="9.109375" style="10"/>
    <col min="14337" max="14337" width="10.88671875" style="10" customWidth="1"/>
    <col min="14338" max="14338" width="12" style="10" customWidth="1"/>
    <col min="14339" max="14339" width="11.5546875" style="10" customWidth="1"/>
    <col min="14340" max="14340" width="11.44140625" style="10" customWidth="1"/>
    <col min="14341" max="14341" width="10.5546875" style="10" customWidth="1"/>
    <col min="14342" max="14342" width="14.88671875" style="10" customWidth="1"/>
    <col min="14343" max="14343" width="16.109375" style="10" customWidth="1"/>
    <col min="14344" max="14347" width="9.109375" style="10"/>
    <col min="14348" max="14348" width="10.6640625" style="10" customWidth="1"/>
    <col min="14349" max="14592" width="9.109375" style="10"/>
    <col min="14593" max="14593" width="10.88671875" style="10" customWidth="1"/>
    <col min="14594" max="14594" width="12" style="10" customWidth="1"/>
    <col min="14595" max="14595" width="11.5546875" style="10" customWidth="1"/>
    <col min="14596" max="14596" width="11.44140625" style="10" customWidth="1"/>
    <col min="14597" max="14597" width="10.5546875" style="10" customWidth="1"/>
    <col min="14598" max="14598" width="14.88671875" style="10" customWidth="1"/>
    <col min="14599" max="14599" width="16.109375" style="10" customWidth="1"/>
    <col min="14600" max="14603" width="9.109375" style="10"/>
    <col min="14604" max="14604" width="10.6640625" style="10" customWidth="1"/>
    <col min="14605" max="14848" width="9.109375" style="10"/>
    <col min="14849" max="14849" width="10.88671875" style="10" customWidth="1"/>
    <col min="14850" max="14850" width="12" style="10" customWidth="1"/>
    <col min="14851" max="14851" width="11.5546875" style="10" customWidth="1"/>
    <col min="14852" max="14852" width="11.44140625" style="10" customWidth="1"/>
    <col min="14853" max="14853" width="10.5546875" style="10" customWidth="1"/>
    <col min="14854" max="14854" width="14.88671875" style="10" customWidth="1"/>
    <col min="14855" max="14855" width="16.109375" style="10" customWidth="1"/>
    <col min="14856" max="14859" width="9.109375" style="10"/>
    <col min="14860" max="14860" width="10.6640625" style="10" customWidth="1"/>
    <col min="14861" max="15104" width="9.109375" style="10"/>
    <col min="15105" max="15105" width="10.88671875" style="10" customWidth="1"/>
    <col min="15106" max="15106" width="12" style="10" customWidth="1"/>
    <col min="15107" max="15107" width="11.5546875" style="10" customWidth="1"/>
    <col min="15108" max="15108" width="11.44140625" style="10" customWidth="1"/>
    <col min="15109" max="15109" width="10.5546875" style="10" customWidth="1"/>
    <col min="15110" max="15110" width="14.88671875" style="10" customWidth="1"/>
    <col min="15111" max="15111" width="16.109375" style="10" customWidth="1"/>
    <col min="15112" max="15115" width="9.109375" style="10"/>
    <col min="15116" max="15116" width="10.6640625" style="10" customWidth="1"/>
    <col min="15117" max="15360" width="9.109375" style="10"/>
    <col min="15361" max="15361" width="10.88671875" style="10" customWidth="1"/>
    <col min="15362" max="15362" width="12" style="10" customWidth="1"/>
    <col min="15363" max="15363" width="11.5546875" style="10" customWidth="1"/>
    <col min="15364" max="15364" width="11.44140625" style="10" customWidth="1"/>
    <col min="15365" max="15365" width="10.5546875" style="10" customWidth="1"/>
    <col min="15366" max="15366" width="14.88671875" style="10" customWidth="1"/>
    <col min="15367" max="15367" width="16.109375" style="10" customWidth="1"/>
    <col min="15368" max="15371" width="9.109375" style="10"/>
    <col min="15372" max="15372" width="10.6640625" style="10" customWidth="1"/>
    <col min="15373" max="15616" width="9.109375" style="10"/>
    <col min="15617" max="15617" width="10.88671875" style="10" customWidth="1"/>
    <col min="15618" max="15618" width="12" style="10" customWidth="1"/>
    <col min="15619" max="15619" width="11.5546875" style="10" customWidth="1"/>
    <col min="15620" max="15620" width="11.44140625" style="10" customWidth="1"/>
    <col min="15621" max="15621" width="10.5546875" style="10" customWidth="1"/>
    <col min="15622" max="15622" width="14.88671875" style="10" customWidth="1"/>
    <col min="15623" max="15623" width="16.109375" style="10" customWidth="1"/>
    <col min="15624" max="15627" width="9.109375" style="10"/>
    <col min="15628" max="15628" width="10.6640625" style="10" customWidth="1"/>
    <col min="15629" max="15872" width="9.109375" style="10"/>
    <col min="15873" max="15873" width="10.88671875" style="10" customWidth="1"/>
    <col min="15874" max="15874" width="12" style="10" customWidth="1"/>
    <col min="15875" max="15875" width="11.5546875" style="10" customWidth="1"/>
    <col min="15876" max="15876" width="11.44140625" style="10" customWidth="1"/>
    <col min="15877" max="15877" width="10.5546875" style="10" customWidth="1"/>
    <col min="15878" max="15878" width="14.88671875" style="10" customWidth="1"/>
    <col min="15879" max="15879" width="16.109375" style="10" customWidth="1"/>
    <col min="15880" max="15883" width="9.109375" style="10"/>
    <col min="15884" max="15884" width="10.6640625" style="10" customWidth="1"/>
    <col min="15885" max="16128" width="9.109375" style="10"/>
    <col min="16129" max="16129" width="10.88671875" style="10" customWidth="1"/>
    <col min="16130" max="16130" width="12" style="10" customWidth="1"/>
    <col min="16131" max="16131" width="11.5546875" style="10" customWidth="1"/>
    <col min="16132" max="16132" width="11.44140625" style="10" customWidth="1"/>
    <col min="16133" max="16133" width="10.5546875" style="10" customWidth="1"/>
    <col min="16134" max="16134" width="14.88671875" style="10" customWidth="1"/>
    <col min="16135" max="16135" width="16.109375" style="10" customWidth="1"/>
    <col min="16136" max="16139" width="9.109375" style="10"/>
    <col min="16140" max="16140" width="10.6640625" style="10" customWidth="1"/>
    <col min="16141" max="16384" width="9.109375" style="10"/>
  </cols>
  <sheetData>
    <row r="1" spans="1:13">
      <c r="G1" s="2126" t="s">
        <v>360</v>
      </c>
      <c r="I1" s="10" t="s">
        <v>421</v>
      </c>
      <c r="L1" s="2127">
        <f>G44+G33+G49+'П.2.2. общ'!G51+'П.2.2. общ'!G50+'П.2.2. общ'!G52</f>
        <v>2000.4669999999999</v>
      </c>
    </row>
    <row r="2" spans="1:13" ht="15.6">
      <c r="A2" s="131" t="s">
        <v>1305</v>
      </c>
      <c r="B2" s="868"/>
      <c r="C2" s="868"/>
      <c r="D2" s="868"/>
      <c r="E2" s="868"/>
      <c r="F2" s="868"/>
      <c r="G2" s="868"/>
      <c r="I2" s="10" t="s">
        <v>426</v>
      </c>
      <c r="L2" s="2127">
        <f>G33+'П.2.2. общ'!G50</f>
        <v>238.27</v>
      </c>
      <c r="M2" s="10">
        <f>L2/L1</f>
        <v>0.11910718847149192</v>
      </c>
    </row>
    <row r="3" spans="1:13" ht="12.75" customHeight="1">
      <c r="A3" s="131" t="s">
        <v>1306</v>
      </c>
      <c r="B3" s="868"/>
      <c r="C3" s="868"/>
      <c r="D3" s="868"/>
      <c r="E3" s="868"/>
      <c r="F3" s="868"/>
      <c r="G3" s="868"/>
      <c r="I3" s="10" t="s">
        <v>427</v>
      </c>
      <c r="L3" s="2127">
        <f>SUM(G34:G38)+G42+'П.2.2. общ'!G15+'П.2.2. общ'!G22+'П.2.2. общ'!G30+'П.2.2. общ'!G34+'П.2.2. общ'!G40+'П.2.2. общ'!G44+'П.2.2. общ'!G49</f>
        <v>0</v>
      </c>
      <c r="M3" s="10">
        <f>L3/L1</f>
        <v>0</v>
      </c>
    </row>
    <row r="4" spans="1:13" ht="12.75" customHeight="1">
      <c r="A4" s="131" t="s">
        <v>2231</v>
      </c>
      <c r="B4" s="100"/>
      <c r="C4" s="100"/>
      <c r="D4" s="100"/>
      <c r="E4" s="100"/>
      <c r="F4" s="100"/>
      <c r="G4" s="100"/>
      <c r="I4" s="10" t="s">
        <v>422</v>
      </c>
      <c r="L4" s="2127">
        <f>G40+G41+G43+'П.2.2. общ'!G23+'П.2.2. общ'!G31+'П.2.2. общ'!G35+'П.2.2. общ'!G41+'П.2.2. общ'!G42+'П.2.2. общ'!G43+'П.2.2. общ'!G45+'П.2.2. общ'!G46+'П.2.2. общ'!G47+'П.2.2. общ'!G48</f>
        <v>1589.1599999999999</v>
      </c>
      <c r="M4" s="10">
        <f>L4/L1</f>
        <v>0.794394508882176</v>
      </c>
    </row>
    <row r="5" spans="1:13" ht="13.5" customHeight="1">
      <c r="A5" s="131" t="s">
        <v>670</v>
      </c>
      <c r="B5" s="100"/>
      <c r="C5" s="100"/>
      <c r="D5" s="100"/>
      <c r="E5" s="100"/>
      <c r="F5" s="100"/>
      <c r="G5" s="100"/>
      <c r="I5" s="10" t="s">
        <v>423</v>
      </c>
      <c r="L5" s="2127">
        <f>G49</f>
        <v>173.03699999999995</v>
      </c>
      <c r="M5" s="10">
        <f>L5/L1</f>
        <v>8.6498302646332056E-2</v>
      </c>
    </row>
    <row r="6" spans="1:13" ht="12.75" customHeight="1">
      <c r="A6" s="131" t="s">
        <v>672</v>
      </c>
      <c r="B6" s="110"/>
      <c r="C6" s="110"/>
      <c r="D6" s="110"/>
      <c r="E6" s="110"/>
      <c r="F6" s="110"/>
      <c r="G6" s="110"/>
      <c r="L6" s="2127"/>
    </row>
    <row r="7" spans="1:13" ht="15.6">
      <c r="A7" s="131" t="s">
        <v>671</v>
      </c>
      <c r="B7" s="110"/>
      <c r="C7" s="110"/>
      <c r="D7" s="110"/>
      <c r="E7" s="110"/>
      <c r="F7" s="110"/>
      <c r="G7" s="110"/>
      <c r="L7" s="2310">
        <f>SUM(L2:L5)</f>
        <v>2000.4669999999999</v>
      </c>
    </row>
    <row r="8" spans="1:13">
      <c r="A8" s="2315" t="s">
        <v>2394</v>
      </c>
      <c r="B8" s="110"/>
      <c r="C8" s="110"/>
      <c r="D8" s="110"/>
      <c r="E8" s="110" t="s">
        <v>832</v>
      </c>
      <c r="F8" s="110"/>
      <c r="G8" s="110"/>
      <c r="L8" s="2127"/>
    </row>
    <row r="9" spans="1:13">
      <c r="G9" s="2132" t="s">
        <v>1424</v>
      </c>
      <c r="L9" s="2127">
        <v>1982.4970000000001</v>
      </c>
      <c r="M9" s="2313">
        <f>L9+П.2.1.ЛОЦ!L7</f>
        <v>2000.4670000000001</v>
      </c>
    </row>
    <row r="10" spans="1:13" ht="79.2">
      <c r="A10" s="4320"/>
      <c r="B10" s="4322" t="s">
        <v>361</v>
      </c>
      <c r="C10" s="4322" t="s">
        <v>362</v>
      </c>
      <c r="D10" s="4322" t="s">
        <v>363</v>
      </c>
      <c r="E10" s="2085" t="s">
        <v>364</v>
      </c>
      <c r="F10" s="2085" t="s">
        <v>365</v>
      </c>
      <c r="G10" s="2085" t="s">
        <v>366</v>
      </c>
      <c r="I10" s="78"/>
    </row>
    <row r="11" spans="1:13">
      <c r="A11" s="4321"/>
      <c r="B11" s="4323"/>
      <c r="C11" s="4323"/>
      <c r="D11" s="4323"/>
      <c r="E11" s="2085" t="s">
        <v>367</v>
      </c>
      <c r="F11" s="2085" t="s">
        <v>368</v>
      </c>
      <c r="G11" s="2085" t="s">
        <v>369</v>
      </c>
      <c r="L11" s="60"/>
    </row>
    <row r="12" spans="1:13">
      <c r="A12" s="529">
        <v>1</v>
      </c>
      <c r="B12" s="529">
        <f>+A12+1</f>
        <v>2</v>
      </c>
      <c r="C12" s="529">
        <f>+B12+1</f>
        <v>3</v>
      </c>
      <c r="D12" s="529">
        <f>+C12+1</f>
        <v>4</v>
      </c>
      <c r="E12" s="529">
        <f>+D12+1</f>
        <v>5</v>
      </c>
      <c r="F12" s="529">
        <f>+E12+1</f>
        <v>6</v>
      </c>
      <c r="G12" s="529" t="s">
        <v>502</v>
      </c>
    </row>
    <row r="13" spans="1:13">
      <c r="A13" s="4312" t="s">
        <v>370</v>
      </c>
      <c r="B13" s="536">
        <v>1150</v>
      </c>
      <c r="C13" s="529" t="s">
        <v>338</v>
      </c>
      <c r="D13" s="2079" t="s">
        <v>371</v>
      </c>
      <c r="E13" s="529">
        <v>800</v>
      </c>
      <c r="F13" s="529"/>
      <c r="G13" s="529"/>
    </row>
    <row r="14" spans="1:13">
      <c r="A14" s="4312"/>
      <c r="B14" s="536">
        <v>750</v>
      </c>
      <c r="C14" s="529">
        <v>1</v>
      </c>
      <c r="D14" s="2079" t="s">
        <v>371</v>
      </c>
      <c r="E14" s="529">
        <v>600</v>
      </c>
      <c r="F14" s="529"/>
      <c r="G14" s="529"/>
      <c r="L14" s="60"/>
      <c r="M14" s="79"/>
    </row>
    <row r="15" spans="1:13">
      <c r="A15" s="4312"/>
      <c r="B15" s="4324" t="s">
        <v>372</v>
      </c>
      <c r="C15" s="4316">
        <v>1</v>
      </c>
      <c r="D15" s="2079" t="s">
        <v>371</v>
      </c>
      <c r="E15" s="529">
        <v>400</v>
      </c>
      <c r="F15" s="529"/>
      <c r="G15" s="529"/>
      <c r="L15" s="48"/>
      <c r="M15" s="79"/>
    </row>
    <row r="16" spans="1:13">
      <c r="A16" s="4312"/>
      <c r="B16" s="4324"/>
      <c r="C16" s="4316"/>
      <c r="D16" s="2079" t="s">
        <v>373</v>
      </c>
      <c r="E16" s="529">
        <v>300</v>
      </c>
      <c r="F16" s="529"/>
      <c r="G16" s="529"/>
    </row>
    <row r="17" spans="1:12">
      <c r="A17" s="4312"/>
      <c r="B17" s="4324">
        <v>330</v>
      </c>
      <c r="C17" s="4316">
        <v>1</v>
      </c>
      <c r="D17" s="2079" t="s">
        <v>371</v>
      </c>
      <c r="E17" s="529">
        <v>230</v>
      </c>
      <c r="F17" s="529"/>
      <c r="G17" s="529"/>
      <c r="L17" s="60"/>
    </row>
    <row r="18" spans="1:12">
      <c r="A18" s="4312"/>
      <c r="B18" s="4324"/>
      <c r="C18" s="4316"/>
      <c r="D18" s="2079" t="s">
        <v>373</v>
      </c>
      <c r="E18" s="529">
        <v>170</v>
      </c>
      <c r="F18" s="529"/>
      <c r="G18" s="529"/>
    </row>
    <row r="19" spans="1:12">
      <c r="A19" s="4312"/>
      <c r="B19" s="4324"/>
      <c r="C19" s="4316">
        <v>2</v>
      </c>
      <c r="D19" s="2079" t="s">
        <v>371</v>
      </c>
      <c r="E19" s="529">
        <v>290</v>
      </c>
      <c r="F19" s="529"/>
      <c r="G19" s="529"/>
    </row>
    <row r="20" spans="1:12">
      <c r="A20" s="4312"/>
      <c r="B20" s="4324"/>
      <c r="C20" s="4316"/>
      <c r="D20" s="2079" t="s">
        <v>373</v>
      </c>
      <c r="E20" s="529">
        <v>210</v>
      </c>
      <c r="F20" s="529"/>
      <c r="G20" s="529"/>
    </row>
    <row r="21" spans="1:12">
      <c r="A21" s="4312"/>
      <c r="B21" s="4325">
        <v>220</v>
      </c>
      <c r="C21" s="4312">
        <v>1</v>
      </c>
      <c r="D21" s="2079" t="s">
        <v>374</v>
      </c>
      <c r="E21" s="531">
        <v>260</v>
      </c>
      <c r="F21" s="530"/>
      <c r="G21" s="530"/>
    </row>
    <row r="22" spans="1:12">
      <c r="A22" s="4312"/>
      <c r="B22" s="4325"/>
      <c r="C22" s="4312"/>
      <c r="D22" s="2079" t="s">
        <v>371</v>
      </c>
      <c r="E22" s="531">
        <v>210</v>
      </c>
      <c r="F22" s="531"/>
      <c r="G22" s="531"/>
    </row>
    <row r="23" spans="1:12">
      <c r="A23" s="4312"/>
      <c r="B23" s="4325"/>
      <c r="C23" s="4312"/>
      <c r="D23" s="2079" t="s">
        <v>373</v>
      </c>
      <c r="E23" s="531">
        <v>140</v>
      </c>
      <c r="F23" s="531"/>
      <c r="G23" s="531"/>
    </row>
    <row r="24" spans="1:12">
      <c r="A24" s="4312"/>
      <c r="B24" s="4325"/>
      <c r="C24" s="4312">
        <v>2</v>
      </c>
      <c r="D24" s="2079" t="s">
        <v>371</v>
      </c>
      <c r="E24" s="531">
        <v>270</v>
      </c>
      <c r="F24" s="531">
        <v>0.1</v>
      </c>
      <c r="G24" s="538">
        <f>E24*F24/100</f>
        <v>0.27</v>
      </c>
    </row>
    <row r="25" spans="1:12">
      <c r="A25" s="4312"/>
      <c r="B25" s="4325"/>
      <c r="C25" s="4312"/>
      <c r="D25" s="2079" t="s">
        <v>373</v>
      </c>
      <c r="E25" s="531">
        <v>180</v>
      </c>
      <c r="F25" s="531"/>
      <c r="G25" s="531"/>
    </row>
    <row r="26" spans="1:12">
      <c r="A26" s="4312"/>
      <c r="B26" s="4325" t="s">
        <v>375</v>
      </c>
      <c r="C26" s="4312">
        <v>1</v>
      </c>
      <c r="D26" s="2079" t="s">
        <v>374</v>
      </c>
      <c r="E26" s="531">
        <v>180</v>
      </c>
      <c r="F26" s="530"/>
      <c r="G26" s="530"/>
    </row>
    <row r="27" spans="1:12">
      <c r="A27" s="4312"/>
      <c r="B27" s="4325"/>
      <c r="C27" s="4312"/>
      <c r="D27" s="2079" t="s">
        <v>371</v>
      </c>
      <c r="E27" s="531">
        <v>160</v>
      </c>
      <c r="F27" s="531"/>
      <c r="G27" s="533">
        <f>E27*F27/100</f>
        <v>0</v>
      </c>
    </row>
    <row r="28" spans="1:12">
      <c r="A28" s="4312"/>
      <c r="B28" s="4325"/>
      <c r="C28" s="4312"/>
      <c r="D28" s="2079" t="s">
        <v>373</v>
      </c>
      <c r="E28" s="531">
        <v>130</v>
      </c>
      <c r="F28" s="532"/>
      <c r="G28" s="531"/>
    </row>
    <row r="29" spans="1:12">
      <c r="A29" s="4312"/>
      <c r="B29" s="4325"/>
      <c r="C29" s="4312">
        <v>2</v>
      </c>
      <c r="D29" s="2079" t="s">
        <v>371</v>
      </c>
      <c r="E29" s="531">
        <v>190</v>
      </c>
      <c r="F29" s="531"/>
      <c r="G29" s="530"/>
    </row>
    <row r="30" spans="1:12">
      <c r="A30" s="4312"/>
      <c r="B30" s="4325"/>
      <c r="C30" s="4312"/>
      <c r="D30" s="2079" t="s">
        <v>373</v>
      </c>
      <c r="E30" s="531">
        <v>160</v>
      </c>
      <c r="F30" s="532"/>
      <c r="G30" s="531"/>
    </row>
    <row r="31" spans="1:12">
      <c r="A31" s="4312" t="s">
        <v>376</v>
      </c>
      <c r="B31" s="537">
        <v>220</v>
      </c>
      <c r="C31" s="529" t="s">
        <v>338</v>
      </c>
      <c r="D31" s="529" t="s">
        <v>338</v>
      </c>
      <c r="E31" s="531">
        <v>3000</v>
      </c>
      <c r="F31" s="532"/>
      <c r="G31" s="531"/>
    </row>
    <row r="32" spans="1:12">
      <c r="A32" s="4312"/>
      <c r="B32" s="537">
        <v>110</v>
      </c>
      <c r="C32" s="529" t="s">
        <v>338</v>
      </c>
      <c r="D32" s="529" t="s">
        <v>338</v>
      </c>
      <c r="E32" s="531">
        <v>2300</v>
      </c>
      <c r="F32" s="532"/>
      <c r="G32" s="531"/>
    </row>
    <row r="33" spans="1:13">
      <c r="A33" s="4312" t="s">
        <v>501</v>
      </c>
      <c r="B33" s="4312"/>
      <c r="C33" s="4312"/>
      <c r="D33" s="4312"/>
      <c r="E33" s="4312"/>
      <c r="F33" s="533"/>
      <c r="G33" s="538">
        <f>SUM(G13:G32)</f>
        <v>0.27</v>
      </c>
      <c r="H33" s="58"/>
      <c r="I33" s="57"/>
      <c r="J33" s="57"/>
      <c r="K33" s="57"/>
      <c r="L33" s="57"/>
    </row>
    <row r="34" spans="1:13">
      <c r="A34" s="4313" t="s">
        <v>370</v>
      </c>
      <c r="B34" s="4314">
        <v>35</v>
      </c>
      <c r="C34" s="4313">
        <v>1</v>
      </c>
      <c r="D34" s="2079" t="s">
        <v>374</v>
      </c>
      <c r="E34" s="531">
        <v>170</v>
      </c>
      <c r="F34" s="530"/>
      <c r="G34" s="530"/>
    </row>
    <row r="35" spans="1:13">
      <c r="A35" s="4313"/>
      <c r="B35" s="4314"/>
      <c r="C35" s="4313"/>
      <c r="D35" s="2079" t="s">
        <v>371</v>
      </c>
      <c r="E35" s="531">
        <v>140</v>
      </c>
      <c r="F35" s="531"/>
      <c r="G35" s="531"/>
    </row>
    <row r="36" spans="1:13">
      <c r="A36" s="4313"/>
      <c r="B36" s="4314"/>
      <c r="C36" s="4313"/>
      <c r="D36" s="2079" t="s">
        <v>373</v>
      </c>
      <c r="E36" s="531">
        <v>120</v>
      </c>
      <c r="F36" s="531"/>
      <c r="G36" s="538">
        <f>E36*F36/100</f>
        <v>0</v>
      </c>
    </row>
    <row r="37" spans="1:13">
      <c r="A37" s="4313"/>
      <c r="B37" s="4314"/>
      <c r="C37" s="4313">
        <v>2</v>
      </c>
      <c r="D37" s="2079" t="s">
        <v>371</v>
      </c>
      <c r="E37" s="531">
        <v>180</v>
      </c>
      <c r="F37" s="531"/>
      <c r="G37" s="538">
        <f>E37*F37/100</f>
        <v>0</v>
      </c>
    </row>
    <row r="38" spans="1:13">
      <c r="A38" s="4313"/>
      <c r="B38" s="4314"/>
      <c r="C38" s="4313"/>
      <c r="D38" s="2079" t="s">
        <v>373</v>
      </c>
      <c r="E38" s="531">
        <v>150</v>
      </c>
      <c r="F38" s="531"/>
      <c r="G38" s="531"/>
    </row>
    <row r="39" spans="1:13">
      <c r="A39" s="4313"/>
      <c r="B39" s="4315" t="s">
        <v>377</v>
      </c>
      <c r="C39" s="4316" t="s">
        <v>338</v>
      </c>
      <c r="D39" s="531" t="s">
        <v>374</v>
      </c>
      <c r="E39" s="531">
        <v>160</v>
      </c>
      <c r="F39" s="531"/>
      <c r="G39" s="531"/>
    </row>
    <row r="40" spans="1:13" ht="26.4">
      <c r="A40" s="4313"/>
      <c r="B40" s="4315"/>
      <c r="C40" s="4316"/>
      <c r="D40" s="540" t="s">
        <v>378</v>
      </c>
      <c r="E40" s="531">
        <v>140</v>
      </c>
      <c r="F40" s="531"/>
      <c r="G40" s="541">
        <f>E40*F40/100</f>
        <v>0</v>
      </c>
    </row>
    <row r="41" spans="1:13" ht="26.4">
      <c r="A41" s="4313"/>
      <c r="B41" s="4315"/>
      <c r="C41" s="4316"/>
      <c r="D41" s="540" t="s">
        <v>379</v>
      </c>
      <c r="E41" s="531">
        <v>110</v>
      </c>
      <c r="F41" s="2128">
        <v>5</v>
      </c>
      <c r="G41" s="541">
        <f>E41*F41/100</f>
        <v>5.5</v>
      </c>
      <c r="J41" s="2129" t="s">
        <v>1608</v>
      </c>
      <c r="K41" s="201"/>
      <c r="L41" s="201"/>
      <c r="M41" s="201"/>
    </row>
    <row r="42" spans="1:13">
      <c r="A42" s="4317" t="s">
        <v>376</v>
      </c>
      <c r="B42" s="537" t="s">
        <v>380</v>
      </c>
      <c r="C42" s="529" t="s">
        <v>338</v>
      </c>
      <c r="D42" s="529" t="s">
        <v>338</v>
      </c>
      <c r="E42" s="531">
        <v>470</v>
      </c>
      <c r="F42" s="531"/>
      <c r="G42" s="531"/>
      <c r="J42" s="2129"/>
      <c r="K42" s="201"/>
      <c r="L42" s="201"/>
      <c r="M42" s="201"/>
    </row>
    <row r="43" spans="1:13">
      <c r="A43" s="4317"/>
      <c r="B43" s="542" t="s">
        <v>381</v>
      </c>
      <c r="C43" s="543" t="s">
        <v>338</v>
      </c>
      <c r="D43" s="543" t="s">
        <v>338</v>
      </c>
      <c r="E43" s="534">
        <v>350</v>
      </c>
      <c r="F43" s="2303">
        <f>19.01+1.7+1.45</f>
        <v>22.16</v>
      </c>
      <c r="G43" s="541">
        <f>E43*F43/100</f>
        <v>77.56</v>
      </c>
      <c r="J43" s="2129"/>
      <c r="K43" s="201"/>
      <c r="L43" s="201"/>
      <c r="M43" s="201"/>
    </row>
    <row r="44" spans="1:13">
      <c r="A44" s="4318" t="s">
        <v>382</v>
      </c>
      <c r="B44" s="4318"/>
      <c r="C44" s="4318"/>
      <c r="D44" s="4318"/>
      <c r="E44" s="4318"/>
      <c r="F44" s="535"/>
      <c r="G44" s="541">
        <f>SUM(G34:G43)</f>
        <v>83.06</v>
      </c>
      <c r="H44" s="59"/>
      <c r="J44" s="2129"/>
      <c r="K44" s="201"/>
      <c r="L44" s="201"/>
      <c r="M44" s="201"/>
    </row>
    <row r="45" spans="1:13">
      <c r="A45" s="4313" t="s">
        <v>370</v>
      </c>
      <c r="B45" s="4319" t="s">
        <v>383</v>
      </c>
      <c r="C45" s="4313" t="s">
        <v>338</v>
      </c>
      <c r="D45" s="531" t="s">
        <v>374</v>
      </c>
      <c r="E45" s="531">
        <v>260</v>
      </c>
      <c r="F45" s="531"/>
      <c r="G45" s="531"/>
      <c r="J45" s="2129"/>
      <c r="K45" s="201"/>
      <c r="L45" s="201"/>
      <c r="M45" s="201"/>
    </row>
    <row r="46" spans="1:13" ht="26.4">
      <c r="A46" s="4313"/>
      <c r="B46" s="4319"/>
      <c r="C46" s="4313"/>
      <c r="D46" s="540" t="s">
        <v>378</v>
      </c>
      <c r="E46" s="531">
        <v>220</v>
      </c>
      <c r="F46" s="531"/>
      <c r="G46" s="541">
        <f>E46*F46/100</f>
        <v>0</v>
      </c>
      <c r="J46" s="2129"/>
      <c r="K46" s="201"/>
      <c r="L46" s="201"/>
      <c r="M46" s="201"/>
    </row>
    <row r="47" spans="1:13" ht="26.4">
      <c r="A47" s="4313"/>
      <c r="B47" s="4319"/>
      <c r="C47" s="4313"/>
      <c r="D47" s="540" t="s">
        <v>379</v>
      </c>
      <c r="E47" s="531">
        <v>150</v>
      </c>
      <c r="F47" s="2130">
        <f>0.5+1.8</f>
        <v>2.2999999999999998</v>
      </c>
      <c r="G47" s="541">
        <f>E47*F47/100</f>
        <v>3.45</v>
      </c>
      <c r="J47" s="2129" t="s">
        <v>1608</v>
      </c>
      <c r="K47" s="201"/>
      <c r="L47" s="201"/>
      <c r="M47" s="201"/>
    </row>
    <row r="48" spans="1:13">
      <c r="A48" s="2079" t="s">
        <v>376</v>
      </c>
      <c r="B48" s="539" t="s">
        <v>384</v>
      </c>
      <c r="C48" s="529" t="s">
        <v>338</v>
      </c>
      <c r="D48" s="529" t="s">
        <v>338</v>
      </c>
      <c r="E48" s="531">
        <v>270</v>
      </c>
      <c r="F48" s="2304">
        <f>62.46+0.15+0.08+0.12</f>
        <v>62.809999999999995</v>
      </c>
      <c r="G48" s="541">
        <f>E48*F48/100</f>
        <v>169.58699999999996</v>
      </c>
      <c r="K48" s="201"/>
      <c r="L48" s="201"/>
      <c r="M48" s="201"/>
    </row>
    <row r="49" spans="1:12">
      <c r="A49" s="4311" t="s">
        <v>387</v>
      </c>
      <c r="B49" s="4311"/>
      <c r="C49" s="4311"/>
      <c r="D49" s="4311"/>
      <c r="E49" s="4311"/>
      <c r="F49" s="4311"/>
      <c r="G49" s="541">
        <f>G45+G46+G47+G48</f>
        <v>173.03699999999995</v>
      </c>
      <c r="J49" s="2131">
        <f>G33+G44+G49</f>
        <v>256.36699999999996</v>
      </c>
      <c r="K49" s="132"/>
      <c r="L49" s="2131"/>
    </row>
    <row r="50" spans="1:12">
      <c r="A50" s="50"/>
      <c r="B50" s="51"/>
      <c r="C50" s="50"/>
      <c r="D50" s="5"/>
      <c r="E50" s="5"/>
      <c r="F50" s="5"/>
      <c r="G50" s="5"/>
      <c r="J50" s="78"/>
      <c r="K50" s="78"/>
      <c r="L50" s="78"/>
    </row>
    <row r="51" spans="1:12">
      <c r="J51" s="6">
        <f>SUM(F24:F48)</f>
        <v>92.36999999999999</v>
      </c>
    </row>
    <row r="52" spans="1:12" s="776" customFormat="1" ht="23.25" customHeight="1">
      <c r="A52" s="839" t="s">
        <v>1266</v>
      </c>
      <c r="B52" s="774"/>
      <c r="C52" s="775"/>
      <c r="H52" s="2068"/>
    </row>
    <row r="53" spans="1:12" s="776" customFormat="1" ht="15" customHeight="1">
      <c r="A53" s="839" t="s">
        <v>1304</v>
      </c>
      <c r="B53" s="778"/>
      <c r="C53" s="775"/>
      <c r="G53" s="779" t="s">
        <v>1268</v>
      </c>
    </row>
    <row r="54" spans="1:12" s="52" customFormat="1">
      <c r="F54" s="53"/>
    </row>
    <row r="55" spans="1:12" s="52" customFormat="1">
      <c r="A55" s="98"/>
      <c r="F55" s="53"/>
    </row>
    <row r="56" spans="1:12" s="52" customFormat="1">
      <c r="A56" s="98"/>
      <c r="F56" s="53"/>
    </row>
  </sheetData>
  <mergeCells count="30">
    <mergeCell ref="A10:A11"/>
    <mergeCell ref="B10:B11"/>
    <mergeCell ref="C10:C11"/>
    <mergeCell ref="D10:D11"/>
    <mergeCell ref="A13:A30"/>
    <mergeCell ref="B15:B16"/>
    <mergeCell ref="C15:C16"/>
    <mergeCell ref="B17:B20"/>
    <mergeCell ref="C17:C18"/>
    <mergeCell ref="C19:C20"/>
    <mergeCell ref="B21:B25"/>
    <mergeCell ref="C21:C23"/>
    <mergeCell ref="C24:C25"/>
    <mergeCell ref="B26:B30"/>
    <mergeCell ref="C26:C28"/>
    <mergeCell ref="C29:C30"/>
    <mergeCell ref="A49:F49"/>
    <mergeCell ref="A31:A32"/>
    <mergeCell ref="A33:E33"/>
    <mergeCell ref="A34:A41"/>
    <mergeCell ref="B34:B38"/>
    <mergeCell ref="C34:C36"/>
    <mergeCell ref="C37:C38"/>
    <mergeCell ref="B39:B41"/>
    <mergeCell ref="C39:C41"/>
    <mergeCell ref="A42:A43"/>
    <mergeCell ref="A44:E44"/>
    <mergeCell ref="A45:A47"/>
    <mergeCell ref="B45:B47"/>
    <mergeCell ref="C45:C47"/>
  </mergeCells>
  <printOptions horizontalCentered="1"/>
  <pageMargins left="0.78740157480314965" right="0.78740157480314965" top="0.78740157480314965" bottom="0.11811023622047245" header="0.51181102362204722" footer="3.937007874015748E-2"/>
  <pageSetup paperSize="9" scale="90" orientation="portrait" r:id="rId1"/>
  <headerFooter alignWithMargins="0"/>
  <colBreaks count="1" manualBreakCount="1">
    <brk id="7" max="1048575" man="1"/>
  </colBreaks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9">
    <tabColor rgb="FF7030A0"/>
  </sheetPr>
  <dimension ref="A1:L72"/>
  <sheetViews>
    <sheetView workbookViewId="0">
      <pane xSplit="3" ySplit="8" topLeftCell="D9" activePane="bottomRight" state="frozenSplit"/>
      <selection sqref="A1:XFD1048576"/>
      <selection pane="topRight" sqref="A1:XFD1048576"/>
      <selection pane="bottomLeft" sqref="A1:XFD1048576"/>
      <selection pane="bottomRight" sqref="A1:XFD1048576"/>
    </sheetView>
  </sheetViews>
  <sheetFormatPr defaultRowHeight="13.2"/>
  <cols>
    <col min="1" max="1" width="9.109375" style="10"/>
    <col min="2" max="2" width="18" style="10" customWidth="1"/>
    <col min="3" max="3" width="12.88671875" style="10" customWidth="1"/>
    <col min="4" max="4" width="12.33203125" style="10" customWidth="1"/>
    <col min="5" max="5" width="11" style="10" customWidth="1"/>
    <col min="6" max="6" width="10.5546875" style="10" customWidth="1"/>
    <col min="7" max="257" width="9.109375" style="10"/>
    <col min="258" max="258" width="18" style="10" customWidth="1"/>
    <col min="259" max="259" width="12.88671875" style="10" customWidth="1"/>
    <col min="260" max="260" width="12.33203125" style="10" customWidth="1"/>
    <col min="261" max="261" width="11" style="10" customWidth="1"/>
    <col min="262" max="262" width="10.5546875" style="10" customWidth="1"/>
    <col min="263" max="513" width="9.109375" style="10"/>
    <col min="514" max="514" width="18" style="10" customWidth="1"/>
    <col min="515" max="515" width="12.88671875" style="10" customWidth="1"/>
    <col min="516" max="516" width="12.33203125" style="10" customWidth="1"/>
    <col min="517" max="517" width="11" style="10" customWidth="1"/>
    <col min="518" max="518" width="10.5546875" style="10" customWidth="1"/>
    <col min="519" max="769" width="9.109375" style="10"/>
    <col min="770" max="770" width="18" style="10" customWidth="1"/>
    <col min="771" max="771" width="12.88671875" style="10" customWidth="1"/>
    <col min="772" max="772" width="12.33203125" style="10" customWidth="1"/>
    <col min="773" max="773" width="11" style="10" customWidth="1"/>
    <col min="774" max="774" width="10.5546875" style="10" customWidth="1"/>
    <col min="775" max="1025" width="9.109375" style="10"/>
    <col min="1026" max="1026" width="18" style="10" customWidth="1"/>
    <col min="1027" max="1027" width="12.88671875" style="10" customWidth="1"/>
    <col min="1028" max="1028" width="12.33203125" style="10" customWidth="1"/>
    <col min="1029" max="1029" width="11" style="10" customWidth="1"/>
    <col min="1030" max="1030" width="10.5546875" style="10" customWidth="1"/>
    <col min="1031" max="1281" width="9.109375" style="10"/>
    <col min="1282" max="1282" width="18" style="10" customWidth="1"/>
    <col min="1283" max="1283" width="12.88671875" style="10" customWidth="1"/>
    <col min="1284" max="1284" width="12.33203125" style="10" customWidth="1"/>
    <col min="1285" max="1285" width="11" style="10" customWidth="1"/>
    <col min="1286" max="1286" width="10.5546875" style="10" customWidth="1"/>
    <col min="1287" max="1537" width="9.109375" style="10"/>
    <col min="1538" max="1538" width="18" style="10" customWidth="1"/>
    <col min="1539" max="1539" width="12.88671875" style="10" customWidth="1"/>
    <col min="1540" max="1540" width="12.33203125" style="10" customWidth="1"/>
    <col min="1541" max="1541" width="11" style="10" customWidth="1"/>
    <col min="1542" max="1542" width="10.5546875" style="10" customWidth="1"/>
    <col min="1543" max="1793" width="9.109375" style="10"/>
    <col min="1794" max="1794" width="18" style="10" customWidth="1"/>
    <col min="1795" max="1795" width="12.88671875" style="10" customWidth="1"/>
    <col min="1796" max="1796" width="12.33203125" style="10" customWidth="1"/>
    <col min="1797" max="1797" width="11" style="10" customWidth="1"/>
    <col min="1798" max="1798" width="10.5546875" style="10" customWidth="1"/>
    <col min="1799" max="2049" width="9.109375" style="10"/>
    <col min="2050" max="2050" width="18" style="10" customWidth="1"/>
    <col min="2051" max="2051" width="12.88671875" style="10" customWidth="1"/>
    <col min="2052" max="2052" width="12.33203125" style="10" customWidth="1"/>
    <col min="2053" max="2053" width="11" style="10" customWidth="1"/>
    <col min="2054" max="2054" width="10.5546875" style="10" customWidth="1"/>
    <col min="2055" max="2305" width="9.109375" style="10"/>
    <col min="2306" max="2306" width="18" style="10" customWidth="1"/>
    <col min="2307" max="2307" width="12.88671875" style="10" customWidth="1"/>
    <col min="2308" max="2308" width="12.33203125" style="10" customWidth="1"/>
    <col min="2309" max="2309" width="11" style="10" customWidth="1"/>
    <col min="2310" max="2310" width="10.5546875" style="10" customWidth="1"/>
    <col min="2311" max="2561" width="9.109375" style="10"/>
    <col min="2562" max="2562" width="18" style="10" customWidth="1"/>
    <col min="2563" max="2563" width="12.88671875" style="10" customWidth="1"/>
    <col min="2564" max="2564" width="12.33203125" style="10" customWidth="1"/>
    <col min="2565" max="2565" width="11" style="10" customWidth="1"/>
    <col min="2566" max="2566" width="10.5546875" style="10" customWidth="1"/>
    <col min="2567" max="2817" width="9.109375" style="10"/>
    <col min="2818" max="2818" width="18" style="10" customWidth="1"/>
    <col min="2819" max="2819" width="12.88671875" style="10" customWidth="1"/>
    <col min="2820" max="2820" width="12.33203125" style="10" customWidth="1"/>
    <col min="2821" max="2821" width="11" style="10" customWidth="1"/>
    <col min="2822" max="2822" width="10.5546875" style="10" customWidth="1"/>
    <col min="2823" max="3073" width="9.109375" style="10"/>
    <col min="3074" max="3074" width="18" style="10" customWidth="1"/>
    <col min="3075" max="3075" width="12.88671875" style="10" customWidth="1"/>
    <col min="3076" max="3076" width="12.33203125" style="10" customWidth="1"/>
    <col min="3077" max="3077" width="11" style="10" customWidth="1"/>
    <col min="3078" max="3078" width="10.5546875" style="10" customWidth="1"/>
    <col min="3079" max="3329" width="9.109375" style="10"/>
    <col min="3330" max="3330" width="18" style="10" customWidth="1"/>
    <col min="3331" max="3331" width="12.88671875" style="10" customWidth="1"/>
    <col min="3332" max="3332" width="12.33203125" style="10" customWidth="1"/>
    <col min="3333" max="3333" width="11" style="10" customWidth="1"/>
    <col min="3334" max="3334" width="10.5546875" style="10" customWidth="1"/>
    <col min="3335" max="3585" width="9.109375" style="10"/>
    <col min="3586" max="3586" width="18" style="10" customWidth="1"/>
    <col min="3587" max="3587" width="12.88671875" style="10" customWidth="1"/>
    <col min="3588" max="3588" width="12.33203125" style="10" customWidth="1"/>
    <col min="3589" max="3589" width="11" style="10" customWidth="1"/>
    <col min="3590" max="3590" width="10.5546875" style="10" customWidth="1"/>
    <col min="3591" max="3841" width="9.109375" style="10"/>
    <col min="3842" max="3842" width="18" style="10" customWidth="1"/>
    <col min="3843" max="3843" width="12.88671875" style="10" customWidth="1"/>
    <col min="3844" max="3844" width="12.33203125" style="10" customWidth="1"/>
    <col min="3845" max="3845" width="11" style="10" customWidth="1"/>
    <col min="3846" max="3846" width="10.5546875" style="10" customWidth="1"/>
    <col min="3847" max="4097" width="9.109375" style="10"/>
    <col min="4098" max="4098" width="18" style="10" customWidth="1"/>
    <col min="4099" max="4099" width="12.88671875" style="10" customWidth="1"/>
    <col min="4100" max="4100" width="12.33203125" style="10" customWidth="1"/>
    <col min="4101" max="4101" width="11" style="10" customWidth="1"/>
    <col min="4102" max="4102" width="10.5546875" style="10" customWidth="1"/>
    <col min="4103" max="4353" width="9.109375" style="10"/>
    <col min="4354" max="4354" width="18" style="10" customWidth="1"/>
    <col min="4355" max="4355" width="12.88671875" style="10" customWidth="1"/>
    <col min="4356" max="4356" width="12.33203125" style="10" customWidth="1"/>
    <col min="4357" max="4357" width="11" style="10" customWidth="1"/>
    <col min="4358" max="4358" width="10.5546875" style="10" customWidth="1"/>
    <col min="4359" max="4609" width="9.109375" style="10"/>
    <col min="4610" max="4610" width="18" style="10" customWidth="1"/>
    <col min="4611" max="4611" width="12.88671875" style="10" customWidth="1"/>
    <col min="4612" max="4612" width="12.33203125" style="10" customWidth="1"/>
    <col min="4613" max="4613" width="11" style="10" customWidth="1"/>
    <col min="4614" max="4614" width="10.5546875" style="10" customWidth="1"/>
    <col min="4615" max="4865" width="9.109375" style="10"/>
    <col min="4866" max="4866" width="18" style="10" customWidth="1"/>
    <col min="4867" max="4867" width="12.88671875" style="10" customWidth="1"/>
    <col min="4868" max="4868" width="12.33203125" style="10" customWidth="1"/>
    <col min="4869" max="4869" width="11" style="10" customWidth="1"/>
    <col min="4870" max="4870" width="10.5546875" style="10" customWidth="1"/>
    <col min="4871" max="5121" width="9.109375" style="10"/>
    <col min="5122" max="5122" width="18" style="10" customWidth="1"/>
    <col min="5123" max="5123" width="12.88671875" style="10" customWidth="1"/>
    <col min="5124" max="5124" width="12.33203125" style="10" customWidth="1"/>
    <col min="5125" max="5125" width="11" style="10" customWidth="1"/>
    <col min="5126" max="5126" width="10.5546875" style="10" customWidth="1"/>
    <col min="5127" max="5377" width="9.109375" style="10"/>
    <col min="5378" max="5378" width="18" style="10" customWidth="1"/>
    <col min="5379" max="5379" width="12.88671875" style="10" customWidth="1"/>
    <col min="5380" max="5380" width="12.33203125" style="10" customWidth="1"/>
    <col min="5381" max="5381" width="11" style="10" customWidth="1"/>
    <col min="5382" max="5382" width="10.5546875" style="10" customWidth="1"/>
    <col min="5383" max="5633" width="9.109375" style="10"/>
    <col min="5634" max="5634" width="18" style="10" customWidth="1"/>
    <col min="5635" max="5635" width="12.88671875" style="10" customWidth="1"/>
    <col min="5636" max="5636" width="12.33203125" style="10" customWidth="1"/>
    <col min="5637" max="5637" width="11" style="10" customWidth="1"/>
    <col min="5638" max="5638" width="10.5546875" style="10" customWidth="1"/>
    <col min="5639" max="5889" width="9.109375" style="10"/>
    <col min="5890" max="5890" width="18" style="10" customWidth="1"/>
    <col min="5891" max="5891" width="12.88671875" style="10" customWidth="1"/>
    <col min="5892" max="5892" width="12.33203125" style="10" customWidth="1"/>
    <col min="5893" max="5893" width="11" style="10" customWidth="1"/>
    <col min="5894" max="5894" width="10.5546875" style="10" customWidth="1"/>
    <col min="5895" max="6145" width="9.109375" style="10"/>
    <col min="6146" max="6146" width="18" style="10" customWidth="1"/>
    <col min="6147" max="6147" width="12.88671875" style="10" customWidth="1"/>
    <col min="6148" max="6148" width="12.33203125" style="10" customWidth="1"/>
    <col min="6149" max="6149" width="11" style="10" customWidth="1"/>
    <col min="6150" max="6150" width="10.5546875" style="10" customWidth="1"/>
    <col min="6151" max="6401" width="9.109375" style="10"/>
    <col min="6402" max="6402" width="18" style="10" customWidth="1"/>
    <col min="6403" max="6403" width="12.88671875" style="10" customWidth="1"/>
    <col min="6404" max="6404" width="12.33203125" style="10" customWidth="1"/>
    <col min="6405" max="6405" width="11" style="10" customWidth="1"/>
    <col min="6406" max="6406" width="10.5546875" style="10" customWidth="1"/>
    <col min="6407" max="6657" width="9.109375" style="10"/>
    <col min="6658" max="6658" width="18" style="10" customWidth="1"/>
    <col min="6659" max="6659" width="12.88671875" style="10" customWidth="1"/>
    <col min="6660" max="6660" width="12.33203125" style="10" customWidth="1"/>
    <col min="6661" max="6661" width="11" style="10" customWidth="1"/>
    <col min="6662" max="6662" width="10.5546875" style="10" customWidth="1"/>
    <col min="6663" max="6913" width="9.109375" style="10"/>
    <col min="6914" max="6914" width="18" style="10" customWidth="1"/>
    <col min="6915" max="6915" width="12.88671875" style="10" customWidth="1"/>
    <col min="6916" max="6916" width="12.33203125" style="10" customWidth="1"/>
    <col min="6917" max="6917" width="11" style="10" customWidth="1"/>
    <col min="6918" max="6918" width="10.5546875" style="10" customWidth="1"/>
    <col min="6919" max="7169" width="9.109375" style="10"/>
    <col min="7170" max="7170" width="18" style="10" customWidth="1"/>
    <col min="7171" max="7171" width="12.88671875" style="10" customWidth="1"/>
    <col min="7172" max="7172" width="12.33203125" style="10" customWidth="1"/>
    <col min="7173" max="7173" width="11" style="10" customWidth="1"/>
    <col min="7174" max="7174" width="10.5546875" style="10" customWidth="1"/>
    <col min="7175" max="7425" width="9.109375" style="10"/>
    <col min="7426" max="7426" width="18" style="10" customWidth="1"/>
    <col min="7427" max="7427" width="12.88671875" style="10" customWidth="1"/>
    <col min="7428" max="7428" width="12.33203125" style="10" customWidth="1"/>
    <col min="7429" max="7429" width="11" style="10" customWidth="1"/>
    <col min="7430" max="7430" width="10.5546875" style="10" customWidth="1"/>
    <col min="7431" max="7681" width="9.109375" style="10"/>
    <col min="7682" max="7682" width="18" style="10" customWidth="1"/>
    <col min="7683" max="7683" width="12.88671875" style="10" customWidth="1"/>
    <col min="7684" max="7684" width="12.33203125" style="10" customWidth="1"/>
    <col min="7685" max="7685" width="11" style="10" customWidth="1"/>
    <col min="7686" max="7686" width="10.5546875" style="10" customWidth="1"/>
    <col min="7687" max="7937" width="9.109375" style="10"/>
    <col min="7938" max="7938" width="18" style="10" customWidth="1"/>
    <col min="7939" max="7939" width="12.88671875" style="10" customWidth="1"/>
    <col min="7940" max="7940" width="12.33203125" style="10" customWidth="1"/>
    <col min="7941" max="7941" width="11" style="10" customWidth="1"/>
    <col min="7942" max="7942" width="10.5546875" style="10" customWidth="1"/>
    <col min="7943" max="8193" width="9.109375" style="10"/>
    <col min="8194" max="8194" width="18" style="10" customWidth="1"/>
    <col min="8195" max="8195" width="12.88671875" style="10" customWidth="1"/>
    <col min="8196" max="8196" width="12.33203125" style="10" customWidth="1"/>
    <col min="8197" max="8197" width="11" style="10" customWidth="1"/>
    <col min="8198" max="8198" width="10.5546875" style="10" customWidth="1"/>
    <col min="8199" max="8449" width="9.109375" style="10"/>
    <col min="8450" max="8450" width="18" style="10" customWidth="1"/>
    <col min="8451" max="8451" width="12.88671875" style="10" customWidth="1"/>
    <col min="8452" max="8452" width="12.33203125" style="10" customWidth="1"/>
    <col min="8453" max="8453" width="11" style="10" customWidth="1"/>
    <col min="8454" max="8454" width="10.5546875" style="10" customWidth="1"/>
    <col min="8455" max="8705" width="9.109375" style="10"/>
    <col min="8706" max="8706" width="18" style="10" customWidth="1"/>
    <col min="8707" max="8707" width="12.88671875" style="10" customWidth="1"/>
    <col min="8708" max="8708" width="12.33203125" style="10" customWidth="1"/>
    <col min="8709" max="8709" width="11" style="10" customWidth="1"/>
    <col min="8710" max="8710" width="10.5546875" style="10" customWidth="1"/>
    <col min="8711" max="8961" width="9.109375" style="10"/>
    <col min="8962" max="8962" width="18" style="10" customWidth="1"/>
    <col min="8963" max="8963" width="12.88671875" style="10" customWidth="1"/>
    <col min="8964" max="8964" width="12.33203125" style="10" customWidth="1"/>
    <col min="8965" max="8965" width="11" style="10" customWidth="1"/>
    <col min="8966" max="8966" width="10.5546875" style="10" customWidth="1"/>
    <col min="8967" max="9217" width="9.109375" style="10"/>
    <col min="9218" max="9218" width="18" style="10" customWidth="1"/>
    <col min="9219" max="9219" width="12.88671875" style="10" customWidth="1"/>
    <col min="9220" max="9220" width="12.33203125" style="10" customWidth="1"/>
    <col min="9221" max="9221" width="11" style="10" customWidth="1"/>
    <col min="9222" max="9222" width="10.5546875" style="10" customWidth="1"/>
    <col min="9223" max="9473" width="9.109375" style="10"/>
    <col min="9474" max="9474" width="18" style="10" customWidth="1"/>
    <col min="9475" max="9475" width="12.88671875" style="10" customWidth="1"/>
    <col min="9476" max="9476" width="12.33203125" style="10" customWidth="1"/>
    <col min="9477" max="9477" width="11" style="10" customWidth="1"/>
    <col min="9478" max="9478" width="10.5546875" style="10" customWidth="1"/>
    <col min="9479" max="9729" width="9.109375" style="10"/>
    <col min="9730" max="9730" width="18" style="10" customWidth="1"/>
    <col min="9731" max="9731" width="12.88671875" style="10" customWidth="1"/>
    <col min="9732" max="9732" width="12.33203125" style="10" customWidth="1"/>
    <col min="9733" max="9733" width="11" style="10" customWidth="1"/>
    <col min="9734" max="9734" width="10.5546875" style="10" customWidth="1"/>
    <col min="9735" max="9985" width="9.109375" style="10"/>
    <col min="9986" max="9986" width="18" style="10" customWidth="1"/>
    <col min="9987" max="9987" width="12.88671875" style="10" customWidth="1"/>
    <col min="9988" max="9988" width="12.33203125" style="10" customWidth="1"/>
    <col min="9989" max="9989" width="11" style="10" customWidth="1"/>
    <col min="9990" max="9990" width="10.5546875" style="10" customWidth="1"/>
    <col min="9991" max="10241" width="9.109375" style="10"/>
    <col min="10242" max="10242" width="18" style="10" customWidth="1"/>
    <col min="10243" max="10243" width="12.88671875" style="10" customWidth="1"/>
    <col min="10244" max="10244" width="12.33203125" style="10" customWidth="1"/>
    <col min="10245" max="10245" width="11" style="10" customWidth="1"/>
    <col min="10246" max="10246" width="10.5546875" style="10" customWidth="1"/>
    <col min="10247" max="10497" width="9.109375" style="10"/>
    <col min="10498" max="10498" width="18" style="10" customWidth="1"/>
    <col min="10499" max="10499" width="12.88671875" style="10" customWidth="1"/>
    <col min="10500" max="10500" width="12.33203125" style="10" customWidth="1"/>
    <col min="10501" max="10501" width="11" style="10" customWidth="1"/>
    <col min="10502" max="10502" width="10.5546875" style="10" customWidth="1"/>
    <col min="10503" max="10753" width="9.109375" style="10"/>
    <col min="10754" max="10754" width="18" style="10" customWidth="1"/>
    <col min="10755" max="10755" width="12.88671875" style="10" customWidth="1"/>
    <col min="10756" max="10756" width="12.33203125" style="10" customWidth="1"/>
    <col min="10757" max="10757" width="11" style="10" customWidth="1"/>
    <col min="10758" max="10758" width="10.5546875" style="10" customWidth="1"/>
    <col min="10759" max="11009" width="9.109375" style="10"/>
    <col min="11010" max="11010" width="18" style="10" customWidth="1"/>
    <col min="11011" max="11011" width="12.88671875" style="10" customWidth="1"/>
    <col min="11012" max="11012" width="12.33203125" style="10" customWidth="1"/>
    <col min="11013" max="11013" width="11" style="10" customWidth="1"/>
    <col min="11014" max="11014" width="10.5546875" style="10" customWidth="1"/>
    <col min="11015" max="11265" width="9.109375" style="10"/>
    <col min="11266" max="11266" width="18" style="10" customWidth="1"/>
    <col min="11267" max="11267" width="12.88671875" style="10" customWidth="1"/>
    <col min="11268" max="11268" width="12.33203125" style="10" customWidth="1"/>
    <col min="11269" max="11269" width="11" style="10" customWidth="1"/>
    <col min="11270" max="11270" width="10.5546875" style="10" customWidth="1"/>
    <col min="11271" max="11521" width="9.109375" style="10"/>
    <col min="11522" max="11522" width="18" style="10" customWidth="1"/>
    <col min="11523" max="11523" width="12.88671875" style="10" customWidth="1"/>
    <col min="11524" max="11524" width="12.33203125" style="10" customWidth="1"/>
    <col min="11525" max="11525" width="11" style="10" customWidth="1"/>
    <col min="11526" max="11526" width="10.5546875" style="10" customWidth="1"/>
    <col min="11527" max="11777" width="9.109375" style="10"/>
    <col min="11778" max="11778" width="18" style="10" customWidth="1"/>
    <col min="11779" max="11779" width="12.88671875" style="10" customWidth="1"/>
    <col min="11780" max="11780" width="12.33203125" style="10" customWidth="1"/>
    <col min="11781" max="11781" width="11" style="10" customWidth="1"/>
    <col min="11782" max="11782" width="10.5546875" style="10" customWidth="1"/>
    <col min="11783" max="12033" width="9.109375" style="10"/>
    <col min="12034" max="12034" width="18" style="10" customWidth="1"/>
    <col min="12035" max="12035" width="12.88671875" style="10" customWidth="1"/>
    <col min="12036" max="12036" width="12.33203125" style="10" customWidth="1"/>
    <col min="12037" max="12037" width="11" style="10" customWidth="1"/>
    <col min="12038" max="12038" width="10.5546875" style="10" customWidth="1"/>
    <col min="12039" max="12289" width="9.109375" style="10"/>
    <col min="12290" max="12290" width="18" style="10" customWidth="1"/>
    <col min="12291" max="12291" width="12.88671875" style="10" customWidth="1"/>
    <col min="12292" max="12292" width="12.33203125" style="10" customWidth="1"/>
    <col min="12293" max="12293" width="11" style="10" customWidth="1"/>
    <col min="12294" max="12294" width="10.5546875" style="10" customWidth="1"/>
    <col min="12295" max="12545" width="9.109375" style="10"/>
    <col min="12546" max="12546" width="18" style="10" customWidth="1"/>
    <col min="12547" max="12547" width="12.88671875" style="10" customWidth="1"/>
    <col min="12548" max="12548" width="12.33203125" style="10" customWidth="1"/>
    <col min="12549" max="12549" width="11" style="10" customWidth="1"/>
    <col min="12550" max="12550" width="10.5546875" style="10" customWidth="1"/>
    <col min="12551" max="12801" width="9.109375" style="10"/>
    <col min="12802" max="12802" width="18" style="10" customWidth="1"/>
    <col min="12803" max="12803" width="12.88671875" style="10" customWidth="1"/>
    <col min="12804" max="12804" width="12.33203125" style="10" customWidth="1"/>
    <col min="12805" max="12805" width="11" style="10" customWidth="1"/>
    <col min="12806" max="12806" width="10.5546875" style="10" customWidth="1"/>
    <col min="12807" max="13057" width="9.109375" style="10"/>
    <col min="13058" max="13058" width="18" style="10" customWidth="1"/>
    <col min="13059" max="13059" width="12.88671875" style="10" customWidth="1"/>
    <col min="13060" max="13060" width="12.33203125" style="10" customWidth="1"/>
    <col min="13061" max="13061" width="11" style="10" customWidth="1"/>
    <col min="13062" max="13062" width="10.5546875" style="10" customWidth="1"/>
    <col min="13063" max="13313" width="9.109375" style="10"/>
    <col min="13314" max="13314" width="18" style="10" customWidth="1"/>
    <col min="13315" max="13315" width="12.88671875" style="10" customWidth="1"/>
    <col min="13316" max="13316" width="12.33203125" style="10" customWidth="1"/>
    <col min="13317" max="13317" width="11" style="10" customWidth="1"/>
    <col min="13318" max="13318" width="10.5546875" style="10" customWidth="1"/>
    <col min="13319" max="13569" width="9.109375" style="10"/>
    <col min="13570" max="13570" width="18" style="10" customWidth="1"/>
    <col min="13571" max="13571" width="12.88671875" style="10" customWidth="1"/>
    <col min="13572" max="13572" width="12.33203125" style="10" customWidth="1"/>
    <col min="13573" max="13573" width="11" style="10" customWidth="1"/>
    <col min="13574" max="13574" width="10.5546875" style="10" customWidth="1"/>
    <col min="13575" max="13825" width="9.109375" style="10"/>
    <col min="13826" max="13826" width="18" style="10" customWidth="1"/>
    <col min="13827" max="13827" width="12.88671875" style="10" customWidth="1"/>
    <col min="13828" max="13828" width="12.33203125" style="10" customWidth="1"/>
    <col min="13829" max="13829" width="11" style="10" customWidth="1"/>
    <col min="13830" max="13830" width="10.5546875" style="10" customWidth="1"/>
    <col min="13831" max="14081" width="9.109375" style="10"/>
    <col min="14082" max="14082" width="18" style="10" customWidth="1"/>
    <col min="14083" max="14083" width="12.88671875" style="10" customWidth="1"/>
    <col min="14084" max="14084" width="12.33203125" style="10" customWidth="1"/>
    <col min="14085" max="14085" width="11" style="10" customWidth="1"/>
    <col min="14086" max="14086" width="10.5546875" style="10" customWidth="1"/>
    <col min="14087" max="14337" width="9.109375" style="10"/>
    <col min="14338" max="14338" width="18" style="10" customWidth="1"/>
    <col min="14339" max="14339" width="12.88671875" style="10" customWidth="1"/>
    <col min="14340" max="14340" width="12.33203125" style="10" customWidth="1"/>
    <col min="14341" max="14341" width="11" style="10" customWidth="1"/>
    <col min="14342" max="14342" width="10.5546875" style="10" customWidth="1"/>
    <col min="14343" max="14593" width="9.109375" style="10"/>
    <col min="14594" max="14594" width="18" style="10" customWidth="1"/>
    <col min="14595" max="14595" width="12.88671875" style="10" customWidth="1"/>
    <col min="14596" max="14596" width="12.33203125" style="10" customWidth="1"/>
    <col min="14597" max="14597" width="11" style="10" customWidth="1"/>
    <col min="14598" max="14598" width="10.5546875" style="10" customWidth="1"/>
    <col min="14599" max="14849" width="9.109375" style="10"/>
    <col min="14850" max="14850" width="18" style="10" customWidth="1"/>
    <col min="14851" max="14851" width="12.88671875" style="10" customWidth="1"/>
    <col min="14852" max="14852" width="12.33203125" style="10" customWidth="1"/>
    <col min="14853" max="14853" width="11" style="10" customWidth="1"/>
    <col min="14854" max="14854" width="10.5546875" style="10" customWidth="1"/>
    <col min="14855" max="15105" width="9.109375" style="10"/>
    <col min="15106" max="15106" width="18" style="10" customWidth="1"/>
    <col min="15107" max="15107" width="12.88671875" style="10" customWidth="1"/>
    <col min="15108" max="15108" width="12.33203125" style="10" customWidth="1"/>
    <col min="15109" max="15109" width="11" style="10" customWidth="1"/>
    <col min="15110" max="15110" width="10.5546875" style="10" customWidth="1"/>
    <col min="15111" max="15361" width="9.109375" style="10"/>
    <col min="15362" max="15362" width="18" style="10" customWidth="1"/>
    <col min="15363" max="15363" width="12.88671875" style="10" customWidth="1"/>
    <col min="15364" max="15364" width="12.33203125" style="10" customWidth="1"/>
    <col min="15365" max="15365" width="11" style="10" customWidth="1"/>
    <col min="15366" max="15366" width="10.5546875" style="10" customWidth="1"/>
    <col min="15367" max="15617" width="9.109375" style="10"/>
    <col min="15618" max="15618" width="18" style="10" customWidth="1"/>
    <col min="15619" max="15619" width="12.88671875" style="10" customWidth="1"/>
    <col min="15620" max="15620" width="12.33203125" style="10" customWidth="1"/>
    <col min="15621" max="15621" width="11" style="10" customWidth="1"/>
    <col min="15622" max="15622" width="10.5546875" style="10" customWidth="1"/>
    <col min="15623" max="15873" width="9.109375" style="10"/>
    <col min="15874" max="15874" width="18" style="10" customWidth="1"/>
    <col min="15875" max="15875" width="12.88671875" style="10" customWidth="1"/>
    <col min="15876" max="15876" width="12.33203125" style="10" customWidth="1"/>
    <col min="15877" max="15877" width="11" style="10" customWidth="1"/>
    <col min="15878" max="15878" width="10.5546875" style="10" customWidth="1"/>
    <col min="15879" max="16129" width="9.109375" style="10"/>
    <col min="16130" max="16130" width="18" style="10" customWidth="1"/>
    <col min="16131" max="16131" width="12.88671875" style="10" customWidth="1"/>
    <col min="16132" max="16132" width="12.33203125" style="10" customWidth="1"/>
    <col min="16133" max="16133" width="11" style="10" customWidth="1"/>
    <col min="16134" max="16134" width="10.5546875" style="10" customWidth="1"/>
    <col min="16135" max="16384" width="9.109375" style="10"/>
  </cols>
  <sheetData>
    <row r="1" spans="1:12">
      <c r="G1" s="2126" t="s">
        <v>388</v>
      </c>
    </row>
    <row r="2" spans="1:12" ht="33.75" customHeight="1">
      <c r="A2" s="100" t="s">
        <v>631</v>
      </c>
      <c r="B2" s="100"/>
      <c r="C2" s="100"/>
      <c r="D2" s="100"/>
      <c r="E2" s="100"/>
      <c r="F2" s="100"/>
      <c r="G2" s="100"/>
    </row>
    <row r="3" spans="1:12" ht="14.25" customHeight="1">
      <c r="A3" s="133" t="s">
        <v>2231</v>
      </c>
      <c r="B3" s="100"/>
      <c r="C3" s="100"/>
      <c r="D3" s="100"/>
      <c r="E3" s="100"/>
      <c r="F3" s="100"/>
      <c r="G3" s="100"/>
    </row>
    <row r="4" spans="1:12">
      <c r="A4" s="2315" t="s">
        <v>2394</v>
      </c>
      <c r="B4" s="110"/>
      <c r="C4" s="110"/>
      <c r="D4" s="110"/>
      <c r="E4" s="110" t="s">
        <v>832</v>
      </c>
      <c r="F4" s="110"/>
      <c r="G4" s="110"/>
      <c r="L4" s="2127"/>
    </row>
    <row r="5" spans="1:12" ht="14.25" customHeight="1">
      <c r="A5" s="2133" t="s">
        <v>1424</v>
      </c>
      <c r="B5" s="1275"/>
      <c r="C5" s="1275"/>
      <c r="D5" s="1275"/>
      <c r="E5" s="1275"/>
      <c r="F5" s="1275"/>
      <c r="G5" s="95"/>
      <c r="H5" s="95"/>
    </row>
    <row r="6" spans="1:12" ht="66">
      <c r="A6" s="4322" t="s">
        <v>54</v>
      </c>
      <c r="B6" s="4322" t="s">
        <v>171</v>
      </c>
      <c r="C6" s="4322" t="s">
        <v>389</v>
      </c>
      <c r="D6" s="4322" t="s">
        <v>361</v>
      </c>
      <c r="E6" s="2085" t="s">
        <v>390</v>
      </c>
      <c r="F6" s="2085" t="s">
        <v>391</v>
      </c>
      <c r="G6" s="2085" t="s">
        <v>366</v>
      </c>
    </row>
    <row r="7" spans="1:12">
      <c r="A7" s="4323"/>
      <c r="B7" s="4323"/>
      <c r="C7" s="4323"/>
      <c r="D7" s="4323"/>
      <c r="E7" s="2085" t="s">
        <v>392</v>
      </c>
      <c r="F7" s="2085" t="s">
        <v>393</v>
      </c>
      <c r="G7" s="2085" t="s">
        <v>369</v>
      </c>
    </row>
    <row r="8" spans="1:12">
      <c r="A8" s="529">
        <v>1</v>
      </c>
      <c r="B8" s="529">
        <f>+A8+1</f>
        <v>2</v>
      </c>
      <c r="C8" s="529">
        <f>+B8+1</f>
        <v>3</v>
      </c>
      <c r="D8" s="529">
        <f>+C8+1</f>
        <v>4</v>
      </c>
      <c r="E8" s="529">
        <f>+D8+1</f>
        <v>5</v>
      </c>
      <c r="F8" s="529">
        <f>+E8+1</f>
        <v>6</v>
      </c>
      <c r="G8" s="529" t="s">
        <v>394</v>
      </c>
    </row>
    <row r="9" spans="1:12">
      <c r="A9" s="4312">
        <v>1</v>
      </c>
      <c r="B9" s="4313" t="s">
        <v>395</v>
      </c>
      <c r="C9" s="4313" t="s">
        <v>396</v>
      </c>
      <c r="D9" s="534">
        <v>1150</v>
      </c>
      <c r="E9" s="2078">
        <v>1000</v>
      </c>
      <c r="F9" s="861"/>
      <c r="G9" s="2079"/>
    </row>
    <row r="10" spans="1:12">
      <c r="A10" s="4312"/>
      <c r="B10" s="4313"/>
      <c r="C10" s="4313"/>
      <c r="D10" s="534">
        <v>750</v>
      </c>
      <c r="E10" s="2078">
        <v>600</v>
      </c>
      <c r="F10" s="861"/>
      <c r="G10" s="2079"/>
    </row>
    <row r="11" spans="1:12">
      <c r="A11" s="4312"/>
      <c r="B11" s="4313"/>
      <c r="C11" s="4313"/>
      <c r="D11" s="2079" t="s">
        <v>397</v>
      </c>
      <c r="E11" s="2078">
        <v>500</v>
      </c>
      <c r="F11" s="861"/>
      <c r="G11" s="2079"/>
    </row>
    <row r="12" spans="1:12">
      <c r="A12" s="4312"/>
      <c r="B12" s="4313"/>
      <c r="C12" s="4313"/>
      <c r="D12" s="2079">
        <v>330</v>
      </c>
      <c r="E12" s="2078">
        <v>250</v>
      </c>
      <c r="F12" s="861"/>
      <c r="G12" s="2079"/>
    </row>
    <row r="13" spans="1:12">
      <c r="A13" s="4312"/>
      <c r="B13" s="4313"/>
      <c r="C13" s="4313"/>
      <c r="D13" s="2079">
        <v>220</v>
      </c>
      <c r="E13" s="2078">
        <v>210</v>
      </c>
      <c r="F13" s="861">
        <v>1</v>
      </c>
      <c r="G13" s="544">
        <f>E13*F13</f>
        <v>210</v>
      </c>
    </row>
    <row r="14" spans="1:12">
      <c r="A14" s="4312"/>
      <c r="B14" s="4313"/>
      <c r="C14" s="4313"/>
      <c r="D14" s="2079" t="s">
        <v>398</v>
      </c>
      <c r="E14" s="2078">
        <v>105</v>
      </c>
      <c r="F14" s="862"/>
      <c r="G14" s="544">
        <f>E14*F14</f>
        <v>0</v>
      </c>
    </row>
    <row r="15" spans="1:12">
      <c r="A15" s="4312"/>
      <c r="B15" s="4313"/>
      <c r="C15" s="4313"/>
      <c r="D15" s="2079">
        <v>35</v>
      </c>
      <c r="E15" s="2078">
        <v>75</v>
      </c>
      <c r="F15" s="863"/>
      <c r="G15" s="544">
        <f>E15*F15</f>
        <v>0</v>
      </c>
    </row>
    <row r="16" spans="1:12" ht="12.75" customHeight="1">
      <c r="A16" s="4312">
        <v>2</v>
      </c>
      <c r="B16" s="4329" t="s">
        <v>399</v>
      </c>
      <c r="C16" s="4313" t="s">
        <v>400</v>
      </c>
      <c r="D16" s="534">
        <v>1150</v>
      </c>
      <c r="E16" s="2078">
        <v>60</v>
      </c>
      <c r="F16" s="863"/>
      <c r="G16" s="544"/>
    </row>
    <row r="17" spans="1:7">
      <c r="A17" s="4312"/>
      <c r="B17" s="4329"/>
      <c r="C17" s="4329"/>
      <c r="D17" s="534">
        <v>750</v>
      </c>
      <c r="E17" s="2078">
        <v>43</v>
      </c>
      <c r="F17" s="863"/>
      <c r="G17" s="544"/>
    </row>
    <row r="18" spans="1:7">
      <c r="A18" s="4312"/>
      <c r="B18" s="4329"/>
      <c r="C18" s="4329"/>
      <c r="D18" s="2079" t="s">
        <v>397</v>
      </c>
      <c r="E18" s="2078">
        <v>28</v>
      </c>
      <c r="F18" s="863"/>
      <c r="G18" s="544"/>
    </row>
    <row r="19" spans="1:7">
      <c r="A19" s="4312"/>
      <c r="B19" s="4329"/>
      <c r="C19" s="4329"/>
      <c r="D19" s="2079">
        <v>330</v>
      </c>
      <c r="E19" s="2078">
        <v>18</v>
      </c>
      <c r="F19" s="863"/>
      <c r="G19" s="544"/>
    </row>
    <row r="20" spans="1:7">
      <c r="A20" s="4312"/>
      <c r="B20" s="4329"/>
      <c r="C20" s="4329"/>
      <c r="D20" s="2079">
        <v>220</v>
      </c>
      <c r="E20" s="2078">
        <v>14</v>
      </c>
      <c r="F20" s="863">
        <v>2</v>
      </c>
      <c r="G20" s="544">
        <f>E20*F20</f>
        <v>28</v>
      </c>
    </row>
    <row r="21" spans="1:7">
      <c r="A21" s="4312"/>
      <c r="B21" s="4329"/>
      <c r="C21" s="4329"/>
      <c r="D21" s="2079" t="s">
        <v>398</v>
      </c>
      <c r="E21" s="2078">
        <v>7.8</v>
      </c>
      <c r="F21" s="862"/>
      <c r="G21" s="544">
        <f>E21*F21</f>
        <v>0</v>
      </c>
    </row>
    <row r="22" spans="1:7">
      <c r="A22" s="4312"/>
      <c r="B22" s="4329"/>
      <c r="C22" s="4329"/>
      <c r="D22" s="2079">
        <v>35</v>
      </c>
      <c r="E22" s="2078">
        <v>2.1</v>
      </c>
      <c r="F22" s="861"/>
      <c r="G22" s="544">
        <f>E22*F22</f>
        <v>0</v>
      </c>
    </row>
    <row r="23" spans="1:7">
      <c r="A23" s="4312"/>
      <c r="B23" s="4329"/>
      <c r="C23" s="4313"/>
      <c r="D23" s="545" t="s">
        <v>401</v>
      </c>
      <c r="E23" s="546">
        <v>1</v>
      </c>
      <c r="F23" s="913">
        <v>136</v>
      </c>
      <c r="G23" s="544">
        <f>E23*F23</f>
        <v>136</v>
      </c>
    </row>
    <row r="24" spans="1:7" ht="12.75" customHeight="1">
      <c r="A24" s="4312">
        <v>3</v>
      </c>
      <c r="B24" s="4329" t="s">
        <v>402</v>
      </c>
      <c r="C24" s="4313" t="s">
        <v>403</v>
      </c>
      <c r="D24" s="534">
        <v>1150</v>
      </c>
      <c r="E24" s="2079">
        <v>180</v>
      </c>
      <c r="F24" s="861"/>
      <c r="G24" s="2079"/>
    </row>
    <row r="25" spans="1:7">
      <c r="A25" s="4312"/>
      <c r="B25" s="4329"/>
      <c r="C25" s="4329"/>
      <c r="D25" s="534">
        <v>750</v>
      </c>
      <c r="E25" s="2079">
        <v>130</v>
      </c>
      <c r="F25" s="861"/>
      <c r="G25" s="2079"/>
    </row>
    <row r="26" spans="1:7">
      <c r="A26" s="4312"/>
      <c r="B26" s="4329"/>
      <c r="C26" s="4329"/>
      <c r="D26" s="2079" t="s">
        <v>397</v>
      </c>
      <c r="E26" s="2078">
        <v>88</v>
      </c>
      <c r="F26" s="861"/>
      <c r="G26" s="2079"/>
    </row>
    <row r="27" spans="1:7">
      <c r="A27" s="4312"/>
      <c r="B27" s="4329"/>
      <c r="C27" s="4329"/>
      <c r="D27" s="2079">
        <v>330</v>
      </c>
      <c r="E27" s="2078">
        <v>66</v>
      </c>
      <c r="F27" s="861"/>
      <c r="G27" s="2079"/>
    </row>
    <row r="28" spans="1:7">
      <c r="A28" s="4312"/>
      <c r="B28" s="4329"/>
      <c r="C28" s="4329"/>
      <c r="D28" s="2079">
        <v>220</v>
      </c>
      <c r="E28" s="2078">
        <v>43</v>
      </c>
      <c r="F28" s="861"/>
      <c r="G28" s="2079"/>
    </row>
    <row r="29" spans="1:7">
      <c r="A29" s="4312"/>
      <c r="B29" s="4329"/>
      <c r="C29" s="4329"/>
      <c r="D29" s="2079" t="s">
        <v>398</v>
      </c>
      <c r="E29" s="2078">
        <v>26</v>
      </c>
      <c r="F29" s="861"/>
      <c r="G29" s="2079"/>
    </row>
    <row r="30" spans="1:7">
      <c r="A30" s="4312"/>
      <c r="B30" s="4329"/>
      <c r="C30" s="4329"/>
      <c r="D30" s="2079">
        <v>35</v>
      </c>
      <c r="E30" s="2078">
        <v>11</v>
      </c>
      <c r="F30" s="861"/>
      <c r="G30" s="2079"/>
    </row>
    <row r="31" spans="1:7">
      <c r="A31" s="4312"/>
      <c r="B31" s="4329"/>
      <c r="C31" s="4313"/>
      <c r="D31" s="545" t="s">
        <v>401</v>
      </c>
      <c r="E31" s="2078">
        <v>5.5</v>
      </c>
      <c r="F31" s="2069">
        <f>6+3</f>
        <v>9</v>
      </c>
      <c r="G31" s="544">
        <f>E31*F31</f>
        <v>49.5</v>
      </c>
    </row>
    <row r="32" spans="1:7" ht="12.75" customHeight="1">
      <c r="A32" s="4312">
        <v>4</v>
      </c>
      <c r="B32" s="4313" t="s">
        <v>500</v>
      </c>
      <c r="C32" s="4313" t="s">
        <v>404</v>
      </c>
      <c r="D32" s="2079">
        <v>220</v>
      </c>
      <c r="E32" s="2079">
        <v>23</v>
      </c>
      <c r="F32" s="861"/>
      <c r="G32" s="2079"/>
    </row>
    <row r="33" spans="1:7">
      <c r="A33" s="4312"/>
      <c r="B33" s="4313"/>
      <c r="C33" s="4313"/>
      <c r="D33" s="2079" t="s">
        <v>398</v>
      </c>
      <c r="E33" s="2079">
        <v>14</v>
      </c>
      <c r="F33" s="861"/>
      <c r="G33" s="547">
        <f>E33*F33</f>
        <v>0</v>
      </c>
    </row>
    <row r="34" spans="1:7">
      <c r="A34" s="4312"/>
      <c r="B34" s="4313"/>
      <c r="C34" s="4313"/>
      <c r="D34" s="2079">
        <v>35</v>
      </c>
      <c r="E34" s="2079">
        <v>6.4</v>
      </c>
      <c r="F34" s="861"/>
      <c r="G34" s="2079"/>
    </row>
    <row r="35" spans="1:7">
      <c r="A35" s="4312"/>
      <c r="B35" s="4313"/>
      <c r="C35" s="4313"/>
      <c r="D35" s="545" t="s">
        <v>401</v>
      </c>
      <c r="E35" s="2079">
        <v>3.1</v>
      </c>
      <c r="F35" s="914">
        <v>349</v>
      </c>
      <c r="G35" s="544">
        <f>E35*F35</f>
        <v>1081.9000000000001</v>
      </c>
    </row>
    <row r="36" spans="1:7" ht="12.75" customHeight="1">
      <c r="A36" s="4312">
        <v>5</v>
      </c>
      <c r="B36" s="4313" t="s">
        <v>405</v>
      </c>
      <c r="C36" s="4313" t="s">
        <v>400</v>
      </c>
      <c r="D36" s="2079" t="s">
        <v>397</v>
      </c>
      <c r="E36" s="2078">
        <v>35</v>
      </c>
      <c r="F36" s="861"/>
      <c r="G36" s="2079"/>
    </row>
    <row r="37" spans="1:7">
      <c r="A37" s="4312"/>
      <c r="B37" s="4313"/>
      <c r="C37" s="4313"/>
      <c r="D37" s="2079">
        <v>330</v>
      </c>
      <c r="E37" s="2079">
        <v>24</v>
      </c>
      <c r="F37" s="861"/>
      <c r="G37" s="2079"/>
    </row>
    <row r="38" spans="1:7">
      <c r="A38" s="4312"/>
      <c r="B38" s="4313"/>
      <c r="C38" s="4313"/>
      <c r="D38" s="2079">
        <v>220</v>
      </c>
      <c r="E38" s="2079">
        <v>19</v>
      </c>
      <c r="F38" s="861"/>
      <c r="G38" s="2079"/>
    </row>
    <row r="39" spans="1:7">
      <c r="A39" s="4312"/>
      <c r="B39" s="4313"/>
      <c r="C39" s="4313"/>
      <c r="D39" s="2079" t="s">
        <v>398</v>
      </c>
      <c r="E39" s="2079">
        <v>9.5</v>
      </c>
      <c r="F39" s="862"/>
      <c r="G39" s="544">
        <f>E39*F39</f>
        <v>0</v>
      </c>
    </row>
    <row r="40" spans="1:7">
      <c r="A40" s="4312"/>
      <c r="B40" s="4313"/>
      <c r="C40" s="4313"/>
      <c r="D40" s="2079">
        <v>35</v>
      </c>
      <c r="E40" s="2079">
        <v>4.7</v>
      </c>
      <c r="F40" s="861"/>
      <c r="G40" s="544">
        <f>E40*F40</f>
        <v>0</v>
      </c>
    </row>
    <row r="41" spans="1:7" ht="26.4">
      <c r="A41" s="2078">
        <v>6</v>
      </c>
      <c r="B41" s="2079" t="s">
        <v>406</v>
      </c>
      <c r="C41" s="2079" t="s">
        <v>404</v>
      </c>
      <c r="D41" s="548" t="s">
        <v>401</v>
      </c>
      <c r="E41" s="2079">
        <v>2.2999999999999998</v>
      </c>
      <c r="F41" s="862">
        <f>4+3</f>
        <v>7</v>
      </c>
      <c r="G41" s="547">
        <f>E41*F41</f>
        <v>16.099999999999998</v>
      </c>
    </row>
    <row r="42" spans="1:7" ht="39.6">
      <c r="A42" s="2078">
        <v>7</v>
      </c>
      <c r="B42" s="2079" t="s">
        <v>407</v>
      </c>
      <c r="C42" s="2079" t="s">
        <v>404</v>
      </c>
      <c r="D42" s="548" t="s">
        <v>401</v>
      </c>
      <c r="E42" s="2079">
        <v>26</v>
      </c>
      <c r="F42" s="861"/>
      <c r="G42" s="2079"/>
    </row>
    <row r="43" spans="1:7" ht="26.4">
      <c r="A43" s="2078">
        <v>8</v>
      </c>
      <c r="B43" s="2079" t="s">
        <v>408</v>
      </c>
      <c r="C43" s="2079" t="s">
        <v>404</v>
      </c>
      <c r="D43" s="548" t="s">
        <v>401</v>
      </c>
      <c r="E43" s="2079">
        <v>48</v>
      </c>
      <c r="F43" s="861"/>
      <c r="G43" s="2079"/>
    </row>
    <row r="44" spans="1:7" ht="12.75" customHeight="1">
      <c r="A44" s="4312">
        <v>9</v>
      </c>
      <c r="B44" s="4313" t="s">
        <v>409</v>
      </c>
      <c r="C44" s="4313" t="s">
        <v>410</v>
      </c>
      <c r="D44" s="2079">
        <v>35</v>
      </c>
      <c r="E44" s="2079">
        <v>2.4</v>
      </c>
      <c r="F44" s="861"/>
      <c r="G44" s="2079"/>
    </row>
    <row r="45" spans="1:7">
      <c r="A45" s="4312"/>
      <c r="B45" s="4313"/>
      <c r="C45" s="4313"/>
      <c r="D45" s="548" t="s">
        <v>401</v>
      </c>
      <c r="E45" s="2079">
        <v>2.4</v>
      </c>
      <c r="F45" s="861"/>
      <c r="G45" s="544">
        <f>E45*F45</f>
        <v>0</v>
      </c>
    </row>
    <row r="46" spans="1:7" ht="26.4">
      <c r="A46" s="2078">
        <v>10</v>
      </c>
      <c r="B46" s="2079" t="s">
        <v>411</v>
      </c>
      <c r="C46" s="2079" t="s">
        <v>412</v>
      </c>
      <c r="D46" s="548" t="s">
        <v>401</v>
      </c>
      <c r="E46" s="2079">
        <v>2.5</v>
      </c>
      <c r="F46" s="862"/>
      <c r="G46" s="547">
        <f>E46*F46</f>
        <v>0</v>
      </c>
    </row>
    <row r="47" spans="1:7" ht="26.4">
      <c r="A47" s="2078">
        <v>11</v>
      </c>
      <c r="B47" s="2079" t="s">
        <v>413</v>
      </c>
      <c r="C47" s="2079" t="s">
        <v>414</v>
      </c>
      <c r="D47" s="548" t="s">
        <v>401</v>
      </c>
      <c r="E47" s="2079">
        <v>2.2999999999999998</v>
      </c>
      <c r="F47" s="2134">
        <f>10+2</f>
        <v>12</v>
      </c>
      <c r="G47" s="547">
        <f>E47*F47</f>
        <v>27.599999999999998</v>
      </c>
    </row>
    <row r="48" spans="1:7" ht="26.4">
      <c r="A48" s="2078">
        <v>12</v>
      </c>
      <c r="B48" s="2079" t="s">
        <v>415</v>
      </c>
      <c r="C48" s="2079" t="s">
        <v>414</v>
      </c>
      <c r="D48" s="548" t="s">
        <v>401</v>
      </c>
      <c r="E48" s="2079">
        <v>3</v>
      </c>
      <c r="F48" s="2312">
        <f>63+2</f>
        <v>65</v>
      </c>
      <c r="G48" s="547">
        <f>E48*F48</f>
        <v>195</v>
      </c>
    </row>
    <row r="49" spans="1:11" ht="39.6">
      <c r="A49" s="2078">
        <v>13</v>
      </c>
      <c r="B49" s="2079" t="s">
        <v>416</v>
      </c>
      <c r="C49" s="2079" t="s">
        <v>417</v>
      </c>
      <c r="D49" s="2079">
        <v>35</v>
      </c>
      <c r="E49" s="2079">
        <v>3.5</v>
      </c>
      <c r="F49" s="861"/>
      <c r="G49" s="2079"/>
    </row>
    <row r="50" spans="1:11">
      <c r="A50" s="4312" t="s">
        <v>418</v>
      </c>
      <c r="B50" s="4313" t="s">
        <v>419</v>
      </c>
      <c r="C50" s="4313"/>
      <c r="D50" s="2079" t="s">
        <v>697</v>
      </c>
      <c r="E50" s="544">
        <v>0</v>
      </c>
      <c r="F50" s="544">
        <v>0</v>
      </c>
      <c r="G50" s="544">
        <f>G13+G20</f>
        <v>238</v>
      </c>
    </row>
    <row r="51" spans="1:11">
      <c r="A51" s="4312"/>
      <c r="B51" s="4313"/>
      <c r="C51" s="4313"/>
      <c r="D51" s="2079" t="s">
        <v>239</v>
      </c>
      <c r="E51" s="544">
        <v>0</v>
      </c>
      <c r="F51" s="544">
        <v>0</v>
      </c>
      <c r="G51" s="544">
        <f>G15+G22+G23+G30+G31+G34+G35+G40+G41+G42+G43+G44+G45+G46+G47+G48+G49</f>
        <v>1506.1</v>
      </c>
      <c r="I51" s="144">
        <f>SUM(G9:G49)</f>
        <v>1744.1</v>
      </c>
    </row>
    <row r="52" spans="1:11">
      <c r="A52" s="4312"/>
      <c r="B52" s="4313"/>
      <c r="C52" s="4313"/>
      <c r="D52" s="2079" t="s">
        <v>681</v>
      </c>
      <c r="E52" s="544">
        <v>0</v>
      </c>
      <c r="F52" s="544">
        <v>0</v>
      </c>
      <c r="G52" s="549">
        <v>0</v>
      </c>
      <c r="J52" s="144">
        <f>G50+G51+G52</f>
        <v>1744.1</v>
      </c>
      <c r="K52" s="515">
        <f>SUMIF($D$9:$D$49,$D$23,$G$9:$G$49)+G15+G22+G40+G13+G20</f>
        <v>1744.1</v>
      </c>
    </row>
    <row r="53" spans="1:11">
      <c r="A53" s="49"/>
      <c r="B53" s="50"/>
      <c r="C53" s="50"/>
      <c r="D53" s="50"/>
      <c r="E53" s="49"/>
      <c r="F53" s="49"/>
      <c r="G53" s="50"/>
    </row>
    <row r="54" spans="1:11" hidden="1">
      <c r="A54" s="10" t="s">
        <v>663</v>
      </c>
    </row>
    <row r="55" spans="1:11" ht="21.75" hidden="1" customHeight="1">
      <c r="A55" s="4327" t="s">
        <v>1123</v>
      </c>
      <c r="B55" s="4327"/>
      <c r="C55" s="4327"/>
      <c r="D55" s="4327"/>
      <c r="E55" s="4327"/>
      <c r="F55" s="4327"/>
      <c r="G55" s="4327"/>
    </row>
    <row r="56" spans="1:11" ht="39.75" hidden="1" customHeight="1">
      <c r="A56" s="4327" t="s">
        <v>1124</v>
      </c>
      <c r="B56" s="4327"/>
      <c r="C56" s="4327"/>
      <c r="D56" s="4327"/>
      <c r="E56" s="4327"/>
      <c r="F56" s="4327"/>
      <c r="G56" s="4327"/>
    </row>
    <row r="57" spans="1:11" ht="31.5" hidden="1" customHeight="1">
      <c r="A57" s="4328" t="s">
        <v>1125</v>
      </c>
      <c r="B57" s="4328"/>
      <c r="C57" s="4328"/>
      <c r="D57" s="4328"/>
      <c r="E57" s="4328"/>
      <c r="F57" s="4328"/>
      <c r="G57" s="4328"/>
    </row>
    <row r="58" spans="1:11" ht="41.25" hidden="1" customHeight="1">
      <c r="A58" s="4327" t="s">
        <v>1126</v>
      </c>
      <c r="B58" s="4327"/>
      <c r="C58" s="4327"/>
      <c r="D58" s="4327"/>
      <c r="E58" s="4327"/>
      <c r="F58" s="4327"/>
      <c r="G58" s="4327"/>
    </row>
    <row r="59" spans="1:11" ht="46.5" hidden="1" customHeight="1">
      <c r="A59" s="4327" t="s">
        <v>1127</v>
      </c>
      <c r="B59" s="4327"/>
      <c r="C59" s="4327"/>
      <c r="D59" s="4327"/>
      <c r="E59" s="4327"/>
      <c r="F59" s="4327"/>
      <c r="G59" s="4327"/>
    </row>
    <row r="60" spans="1:11" ht="45.75" hidden="1" customHeight="1">
      <c r="A60" s="4327" t="s">
        <v>1128</v>
      </c>
      <c r="B60" s="4327"/>
      <c r="C60" s="4327"/>
      <c r="D60" s="4327"/>
      <c r="E60" s="4327"/>
      <c r="F60" s="4327"/>
      <c r="G60" s="4327"/>
    </row>
    <row r="61" spans="1:11" ht="27.75" hidden="1" customHeight="1">
      <c r="A61" s="4327" t="s">
        <v>1129</v>
      </c>
      <c r="B61" s="4327"/>
      <c r="C61" s="4327"/>
      <c r="D61" s="4327"/>
      <c r="E61" s="4327"/>
      <c r="F61" s="4327"/>
      <c r="G61" s="4327"/>
    </row>
    <row r="62" spans="1:11" ht="28.5" hidden="1" customHeight="1">
      <c r="A62" s="4327" t="s">
        <v>1130</v>
      </c>
      <c r="B62" s="4327"/>
      <c r="C62" s="4327"/>
      <c r="D62" s="4327"/>
      <c r="E62" s="4327"/>
      <c r="F62" s="4327"/>
      <c r="G62" s="4327"/>
    </row>
    <row r="63" spans="1:11" ht="33.75" hidden="1" customHeight="1">
      <c r="A63" s="4327" t="s">
        <v>1131</v>
      </c>
      <c r="B63" s="4327"/>
      <c r="C63" s="4327"/>
      <c r="D63" s="4327"/>
      <c r="E63" s="4327"/>
      <c r="F63" s="4327"/>
      <c r="G63" s="4327"/>
    </row>
    <row r="64" spans="1:11" s="776" customFormat="1" ht="23.25" customHeight="1">
      <c r="A64" s="839" t="s">
        <v>1266</v>
      </c>
      <c r="B64" s="774"/>
      <c r="C64" s="775"/>
      <c r="H64" s="2068"/>
    </row>
    <row r="65" spans="1:7" s="776" customFormat="1" ht="15" customHeight="1">
      <c r="A65" s="839" t="s">
        <v>1304</v>
      </c>
      <c r="B65" s="778"/>
      <c r="C65" s="775"/>
      <c r="G65" s="779" t="s">
        <v>1268</v>
      </c>
    </row>
    <row r="66" spans="1:7" s="52" customFormat="1"/>
    <row r="67" spans="1:7" s="52" customFormat="1">
      <c r="A67" s="98"/>
    </row>
    <row r="68" spans="1:7" s="52" customFormat="1">
      <c r="A68" s="98"/>
    </row>
    <row r="69" spans="1:7" ht="58.5" customHeight="1">
      <c r="A69" s="4327"/>
      <c r="B69" s="4327"/>
      <c r="C69" s="4327"/>
      <c r="D69" s="4327"/>
      <c r="E69" s="4327"/>
      <c r="F69" s="4327"/>
      <c r="G69" s="4327"/>
    </row>
    <row r="70" spans="1:7" ht="53.25" customHeight="1">
      <c r="A70" s="4327"/>
      <c r="B70" s="4327"/>
      <c r="C70" s="4327"/>
      <c r="D70" s="4327"/>
      <c r="E70" s="4327"/>
      <c r="F70" s="4327"/>
      <c r="G70" s="4327"/>
    </row>
    <row r="71" spans="1:7" ht="31.5" customHeight="1">
      <c r="A71" s="4327"/>
      <c r="B71" s="4327"/>
      <c r="C71" s="4327"/>
      <c r="D71" s="4327"/>
      <c r="E71" s="4327"/>
      <c r="F71" s="4327"/>
      <c r="G71" s="4327"/>
    </row>
    <row r="72" spans="1:7" ht="27.75" customHeight="1">
      <c r="A72" s="4326"/>
      <c r="B72" s="4326"/>
      <c r="C72" s="4326"/>
      <c r="D72" s="4326"/>
      <c r="E72" s="4326"/>
      <c r="F72" s="4326"/>
      <c r="G72" s="4326"/>
    </row>
  </sheetData>
  <mergeCells count="37">
    <mergeCell ref="A6:A7"/>
    <mergeCell ref="B6:B7"/>
    <mergeCell ref="C6:C7"/>
    <mergeCell ref="D6:D7"/>
    <mergeCell ref="A9:A15"/>
    <mergeCell ref="B9:B15"/>
    <mergeCell ref="C9:C15"/>
    <mergeCell ref="A16:A23"/>
    <mergeCell ref="B16:B23"/>
    <mergeCell ref="C16:C23"/>
    <mergeCell ref="A24:A31"/>
    <mergeCell ref="B24:B31"/>
    <mergeCell ref="C24:C31"/>
    <mergeCell ref="A55:G55"/>
    <mergeCell ref="A32:A35"/>
    <mergeCell ref="B32:B35"/>
    <mergeCell ref="C32:C35"/>
    <mergeCell ref="A36:A40"/>
    <mergeCell ref="B36:B40"/>
    <mergeCell ref="C36:C40"/>
    <mergeCell ref="A44:A45"/>
    <mergeCell ref="B44:B45"/>
    <mergeCell ref="C44:C45"/>
    <mergeCell ref="A50:A52"/>
    <mergeCell ref="B50:C52"/>
    <mergeCell ref="A72:G72"/>
    <mergeCell ref="A56:G56"/>
    <mergeCell ref="A57:G57"/>
    <mergeCell ref="A58:G58"/>
    <mergeCell ref="A59:G59"/>
    <mergeCell ref="A60:G60"/>
    <mergeCell ref="A61:G61"/>
    <mergeCell ref="A62:G62"/>
    <mergeCell ref="A63:G63"/>
    <mergeCell ref="A69:G69"/>
    <mergeCell ref="A70:G70"/>
    <mergeCell ref="A71:G71"/>
  </mergeCells>
  <printOptions horizontalCentered="1"/>
  <pageMargins left="0.78740157480314965" right="0.78740157480314965" top="0.59055118110236227" bottom="0.11811023622047245" header="0.51181102362204722" footer="3.937007874015748E-2"/>
  <pageSetup paperSize="9" scale="87" orientation="portrait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0">
    <tabColor rgb="FF7030A0"/>
  </sheetPr>
  <dimension ref="A1:O23"/>
  <sheetViews>
    <sheetView topLeftCell="A21" zoomScaleSheetLayoutView="75" workbookViewId="0">
      <selection sqref="A1:XFD1048576"/>
    </sheetView>
  </sheetViews>
  <sheetFormatPr defaultRowHeight="13.2"/>
  <cols>
    <col min="1" max="1" width="6.109375" customWidth="1"/>
    <col min="2" max="2" width="18.44140625" customWidth="1"/>
    <col min="3" max="3" width="11.44140625" customWidth="1"/>
    <col min="4" max="8" width="10.5546875" customWidth="1"/>
  </cols>
  <sheetData>
    <row r="1" spans="1:15" ht="19.5" customHeight="1">
      <c r="G1" s="3970" t="s">
        <v>1307</v>
      </c>
      <c r="H1" s="3970"/>
    </row>
    <row r="2" spans="1:15" ht="66.75" customHeight="1">
      <c r="A2" s="844" t="s">
        <v>2197</v>
      </c>
      <c r="B2" s="845"/>
      <c r="C2" s="844"/>
      <c r="D2" s="844"/>
      <c r="E2" s="844"/>
      <c r="F2" s="844"/>
      <c r="G2" s="844"/>
      <c r="H2" s="844"/>
    </row>
    <row r="3" spans="1:15" ht="31.5" customHeight="1">
      <c r="B3" s="3971" t="s">
        <v>1308</v>
      </c>
      <c r="C3" s="3971"/>
      <c r="D3" s="3971"/>
      <c r="E3" s="3971"/>
      <c r="F3" s="3971"/>
      <c r="G3" s="3971"/>
      <c r="H3" s="3971"/>
    </row>
    <row r="4" spans="1:15" s="2279" customFormat="1" ht="21" customHeight="1">
      <c r="B4" s="2314" t="s">
        <v>2394</v>
      </c>
      <c r="C4" s="2278"/>
      <c r="D4" s="2278"/>
      <c r="E4" s="2278"/>
      <c r="F4" s="2278"/>
      <c r="G4" s="2278"/>
      <c r="H4" s="2278"/>
    </row>
    <row r="5" spans="1:15" ht="22.5" customHeight="1">
      <c r="H5" s="875" t="s">
        <v>1424</v>
      </c>
    </row>
    <row r="6" spans="1:15" ht="15.6">
      <c r="A6" s="846"/>
      <c r="B6" s="847" t="s">
        <v>1309</v>
      </c>
      <c r="C6" s="848" t="s">
        <v>1310</v>
      </c>
      <c r="D6" s="848" t="s">
        <v>1311</v>
      </c>
      <c r="E6" s="848" t="s">
        <v>1312</v>
      </c>
      <c r="F6" s="848" t="s">
        <v>1313</v>
      </c>
      <c r="G6" s="848" t="s">
        <v>1314</v>
      </c>
      <c r="H6" s="848" t="s">
        <v>1315</v>
      </c>
    </row>
    <row r="7" spans="1:15" ht="26.4">
      <c r="B7" s="849" t="s">
        <v>1316</v>
      </c>
      <c r="C7" s="850" t="s">
        <v>1317</v>
      </c>
      <c r="D7" s="1787">
        <f>П.2.1.общ.!L7</f>
        <v>2000.4669999999999</v>
      </c>
      <c r="E7" s="1787">
        <f>$D$7</f>
        <v>2000.4669999999999</v>
      </c>
      <c r="F7" s="1787">
        <f>$D$7</f>
        <v>2000.4669999999999</v>
      </c>
      <c r="G7" s="1787">
        <f>$D$7</f>
        <v>2000.4669999999999</v>
      </c>
      <c r="H7" s="1787">
        <f>$D$7</f>
        <v>2000.4669999999999</v>
      </c>
      <c r="M7" s="915">
        <f>П.2.1.общ.!L7</f>
        <v>2000.4669999999999</v>
      </c>
      <c r="O7">
        <v>1708.2970000000003</v>
      </c>
    </row>
    <row r="9" spans="1:15" ht="45" customHeight="1">
      <c r="A9" s="846"/>
      <c r="B9" s="3972" t="s">
        <v>1318</v>
      </c>
      <c r="C9" s="3972"/>
      <c r="D9" s="3972"/>
      <c r="E9" s="3972"/>
    </row>
    <row r="10" spans="1:15">
      <c r="B10" s="851"/>
      <c r="C10" s="851"/>
      <c r="D10" s="851"/>
      <c r="E10" s="851"/>
    </row>
    <row r="11" spans="1:15">
      <c r="B11" s="3972"/>
      <c r="C11" s="3972"/>
      <c r="D11" s="3972"/>
      <c r="E11" s="3972"/>
    </row>
    <row r="22" spans="1:12" s="776" customFormat="1" ht="23.25" customHeight="1">
      <c r="A22" s="839" t="s">
        <v>1266</v>
      </c>
      <c r="B22" s="839"/>
      <c r="C22" s="834"/>
      <c r="D22" s="835"/>
      <c r="E22" s="835"/>
      <c r="F22" s="835"/>
      <c r="G22" s="835"/>
      <c r="H22" s="838"/>
      <c r="I22" s="835"/>
      <c r="J22" s="835"/>
      <c r="K22" s="835"/>
      <c r="L22" s="835"/>
    </row>
    <row r="23" spans="1:12" s="776" customFormat="1" ht="15" customHeight="1">
      <c r="A23" s="839" t="s">
        <v>1304</v>
      </c>
      <c r="B23" s="840"/>
      <c r="C23" s="834"/>
      <c r="D23" s="835"/>
      <c r="E23" s="841"/>
      <c r="F23" s="841"/>
      <c r="G23" s="835"/>
      <c r="H23" s="842" t="s">
        <v>1268</v>
      </c>
      <c r="I23" s="835"/>
      <c r="J23" s="835"/>
      <c r="K23" s="835"/>
      <c r="L23" s="835"/>
    </row>
  </sheetData>
  <mergeCells count="4">
    <mergeCell ref="G1:H1"/>
    <mergeCell ref="B3:H3"/>
    <mergeCell ref="B9:E9"/>
    <mergeCell ref="B11:E11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95" orientation="portrait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1">
    <tabColor rgb="FFFFC000"/>
  </sheetPr>
  <dimension ref="A1:O52"/>
  <sheetViews>
    <sheetView topLeftCell="A19" workbookViewId="0">
      <selection activeCell="B32" sqref="A1:XFD1048576"/>
    </sheetView>
  </sheetViews>
  <sheetFormatPr defaultRowHeight="13.2"/>
  <cols>
    <col min="2" max="2" width="18.88671875" customWidth="1"/>
    <col min="4" max="4" width="16.5546875" customWidth="1"/>
    <col min="6" max="6" width="11.109375" bestFit="1" customWidth="1"/>
    <col min="7" max="7" width="9.5546875" bestFit="1" customWidth="1"/>
    <col min="9" max="9" width="10" bestFit="1" customWidth="1"/>
  </cols>
  <sheetData>
    <row r="1" spans="1:14">
      <c r="A1" s="65"/>
      <c r="B1" s="65"/>
      <c r="D1" t="s">
        <v>556</v>
      </c>
      <c r="G1" s="167">
        <v>3.0397430727576475</v>
      </c>
      <c r="H1" s="91">
        <v>1.03</v>
      </c>
      <c r="I1" s="167">
        <v>3.1309353649403771</v>
      </c>
      <c r="J1" t="s">
        <v>557</v>
      </c>
      <c r="L1" s="860"/>
      <c r="M1" s="295">
        <v>3.0397430727576475</v>
      </c>
      <c r="N1" s="295"/>
    </row>
    <row r="2" spans="1:14" ht="15.6">
      <c r="A2" s="65">
        <v>11</v>
      </c>
      <c r="B2" s="66" t="s">
        <v>558</v>
      </c>
      <c r="C2" s="67"/>
      <c r="D2" s="65">
        <v>14736.209895015914</v>
      </c>
      <c r="E2" t="s">
        <v>24</v>
      </c>
      <c r="G2" s="94"/>
      <c r="H2" s="91"/>
      <c r="I2" s="92">
        <v>3130.935364940377</v>
      </c>
      <c r="J2" t="s">
        <v>559</v>
      </c>
      <c r="K2" s="93">
        <v>4806.2425218834042</v>
      </c>
      <c r="L2" s="860"/>
      <c r="M2" s="860"/>
      <c r="N2" s="295"/>
    </row>
    <row r="3" spans="1:14" ht="16.8">
      <c r="A3" s="65">
        <v>11.1</v>
      </c>
      <c r="B3" s="66" t="s">
        <v>560</v>
      </c>
      <c r="C3" s="67"/>
      <c r="D3" s="65">
        <v>12.03736893304054</v>
      </c>
    </row>
    <row r="4" spans="1:14" ht="16.8">
      <c r="A4" s="65">
        <v>11.2</v>
      </c>
      <c r="B4" s="66" t="s">
        <v>561</v>
      </c>
      <c r="C4" s="67"/>
      <c r="D4" s="65">
        <v>14724.172526082873</v>
      </c>
    </row>
    <row r="5" spans="1:14" ht="15.6">
      <c r="A5" s="65">
        <v>11.3</v>
      </c>
      <c r="B5" s="66" t="s">
        <v>562</v>
      </c>
      <c r="C5" s="67"/>
      <c r="D5" s="65">
        <v>0</v>
      </c>
    </row>
    <row r="6" spans="1:14" ht="16.8">
      <c r="A6" s="65">
        <v>11.4</v>
      </c>
      <c r="B6" s="66" t="s">
        <v>563</v>
      </c>
      <c r="C6" s="67"/>
      <c r="D6" s="65">
        <v>0</v>
      </c>
      <c r="I6" s="169" t="s">
        <v>654</v>
      </c>
      <c r="J6" s="170" t="s">
        <v>656</v>
      </c>
      <c r="K6" s="171"/>
      <c r="L6" s="171"/>
      <c r="M6" s="171"/>
      <c r="N6" s="168"/>
    </row>
    <row r="7" spans="1:14" ht="16.8">
      <c r="A7" s="65">
        <v>11.5</v>
      </c>
      <c r="B7" s="66" t="s">
        <v>564</v>
      </c>
      <c r="C7" s="67"/>
      <c r="D7" s="65">
        <v>0</v>
      </c>
      <c r="I7" s="169" t="s">
        <v>655</v>
      </c>
      <c r="J7" s="171" t="s">
        <v>668</v>
      </c>
      <c r="K7" s="171"/>
      <c r="L7" s="171"/>
      <c r="M7" s="171"/>
      <c r="N7" s="168"/>
    </row>
    <row r="8" spans="1:14" ht="15.6">
      <c r="A8" s="65">
        <v>11.6</v>
      </c>
      <c r="B8" s="66" t="s">
        <v>565</v>
      </c>
      <c r="C8" s="67"/>
      <c r="D8" s="65">
        <v>16620.710384469996</v>
      </c>
      <c r="F8" s="1360">
        <v>32876.366405051456</v>
      </c>
      <c r="G8" s="1360">
        <v>32876.366405051456</v>
      </c>
      <c r="I8" s="169">
        <v>1.2509999999999999</v>
      </c>
      <c r="J8" s="171">
        <v>1.1579999999999999</v>
      </c>
      <c r="K8" s="171"/>
      <c r="L8" s="171"/>
      <c r="M8" s="171"/>
      <c r="N8" s="168"/>
    </row>
    <row r="9" spans="1:14" ht="16.8">
      <c r="A9" s="65">
        <v>11.7</v>
      </c>
      <c r="B9" s="66" t="s">
        <v>566</v>
      </c>
      <c r="C9" s="67"/>
      <c r="D9" s="65">
        <v>142.34820472681065</v>
      </c>
    </row>
    <row r="10" spans="1:14" ht="16.8">
      <c r="A10" s="65">
        <v>11.8</v>
      </c>
      <c r="B10" s="66" t="s">
        <v>567</v>
      </c>
      <c r="C10" s="67"/>
      <c r="D10" s="65">
        <v>16478.362179743184</v>
      </c>
    </row>
    <row r="11" spans="1:14" ht="15.6">
      <c r="A11" s="65">
        <v>11.9</v>
      </c>
      <c r="B11" s="66" t="s">
        <v>568</v>
      </c>
      <c r="C11" s="67"/>
      <c r="D11" s="65">
        <v>1519.4461255655449</v>
      </c>
    </row>
    <row r="12" spans="1:14" ht="16.8">
      <c r="A12" s="68">
        <v>11.1</v>
      </c>
      <c r="B12" s="66" t="s">
        <v>569</v>
      </c>
      <c r="C12" s="67"/>
      <c r="D12" s="65">
        <v>1.2411694538564912</v>
      </c>
    </row>
    <row r="13" spans="1:14" ht="16.8">
      <c r="A13" s="65">
        <v>11.11</v>
      </c>
      <c r="B13" s="66" t="s">
        <v>570</v>
      </c>
      <c r="C13" s="67"/>
      <c r="D13" s="65">
        <v>1518.2049561116885</v>
      </c>
    </row>
    <row r="14" spans="1:14">
      <c r="A14" s="65"/>
      <c r="B14" s="65"/>
      <c r="D14" s="67"/>
    </row>
    <row r="15" spans="1:14" ht="16.8">
      <c r="A15" s="65">
        <v>12</v>
      </c>
      <c r="B15" s="66" t="s">
        <v>571</v>
      </c>
      <c r="C15" s="69"/>
      <c r="D15" s="65">
        <v>403.67595304593482</v>
      </c>
      <c r="E15" s="70" t="s">
        <v>572</v>
      </c>
      <c r="F15" s="67"/>
      <c r="G15" s="67"/>
    </row>
    <row r="16" spans="1:14" ht="16.8">
      <c r="A16" s="65">
        <v>12.1</v>
      </c>
      <c r="B16" s="71" t="s">
        <v>573</v>
      </c>
      <c r="C16" s="69"/>
      <c r="D16" s="65">
        <v>5762.3481354616888</v>
      </c>
      <c r="E16" s="67"/>
      <c r="F16" s="67"/>
      <c r="G16" s="67"/>
    </row>
    <row r="17" spans="1:11" ht="16.8">
      <c r="A17" s="65">
        <v>12.2</v>
      </c>
      <c r="B17" s="66" t="s">
        <v>574</v>
      </c>
      <c r="C17" s="69"/>
      <c r="D17" s="65">
        <v>0</v>
      </c>
      <c r="E17" s="67"/>
      <c r="F17" s="67"/>
      <c r="G17" s="67"/>
    </row>
    <row r="18" spans="1:11" ht="16.8">
      <c r="A18" s="65">
        <v>12.3</v>
      </c>
      <c r="B18" s="66" t="s">
        <v>575</v>
      </c>
      <c r="C18" s="67"/>
      <c r="D18" s="65">
        <v>5762.3481354616888</v>
      </c>
      <c r="E18" s="67"/>
      <c r="F18" s="67"/>
      <c r="G18" s="67"/>
    </row>
    <row r="19" spans="1:11" ht="16.8">
      <c r="A19" s="65">
        <v>12.4</v>
      </c>
      <c r="B19" s="66" t="s">
        <v>576</v>
      </c>
      <c r="C19" s="67"/>
      <c r="D19" s="498">
        <v>0</v>
      </c>
      <c r="E19" s="67"/>
      <c r="F19" s="67"/>
      <c r="G19" s="67"/>
      <c r="K19" s="498" t="e">
        <v>#DIV/0!</v>
      </c>
    </row>
    <row r="20" spans="1:11" ht="16.8">
      <c r="A20" s="65">
        <v>12.5</v>
      </c>
      <c r="B20" s="66" t="s">
        <v>577</v>
      </c>
      <c r="C20" s="67"/>
      <c r="D20" s="65">
        <v>0</v>
      </c>
      <c r="E20" s="67"/>
      <c r="F20" s="67"/>
      <c r="G20" s="67"/>
    </row>
    <row r="21" spans="1:11" ht="16.8">
      <c r="A21" s="65">
        <v>12.6</v>
      </c>
      <c r="B21" s="66" t="s">
        <v>578</v>
      </c>
      <c r="C21" s="67"/>
      <c r="D21" s="65">
        <v>1667.3120227943518</v>
      </c>
      <c r="E21" s="67"/>
      <c r="F21" s="67"/>
      <c r="G21" s="67"/>
    </row>
    <row r="22" spans="1:11" ht="16.8">
      <c r="A22" s="72" t="s">
        <v>579</v>
      </c>
      <c r="B22" s="71" t="s">
        <v>580</v>
      </c>
      <c r="C22" s="67"/>
      <c r="D22" s="65">
        <v>1.1892409628142002</v>
      </c>
      <c r="E22" s="67"/>
      <c r="F22" s="67"/>
      <c r="G22" s="67"/>
    </row>
    <row r="23" spans="1:11" ht="16.8">
      <c r="A23" s="65">
        <v>12.7</v>
      </c>
      <c r="B23" s="66" t="s">
        <v>581</v>
      </c>
      <c r="C23" s="67"/>
      <c r="D23" s="65">
        <v>739.95200058986302</v>
      </c>
      <c r="E23" s="67"/>
      <c r="F23" s="67"/>
      <c r="G23" s="67"/>
    </row>
    <row r="24" spans="1:11" ht="16.8">
      <c r="A24" s="65">
        <v>12.8</v>
      </c>
      <c r="B24" s="66" t="s">
        <v>582</v>
      </c>
      <c r="C24" s="67"/>
      <c r="D24" s="65">
        <v>3973.4704872150314</v>
      </c>
      <c r="E24" s="67"/>
      <c r="F24" s="67"/>
      <c r="G24" s="67"/>
    </row>
    <row r="25" spans="1:11">
      <c r="A25" s="65"/>
      <c r="B25" s="65"/>
      <c r="C25" s="67"/>
      <c r="D25" s="65"/>
      <c r="E25" s="67"/>
      <c r="F25" s="67"/>
      <c r="G25" s="67" t="s">
        <v>583</v>
      </c>
    </row>
    <row r="26" spans="1:11" ht="16.8">
      <c r="A26" s="65">
        <v>13</v>
      </c>
      <c r="B26" s="66" t="s">
        <v>584</v>
      </c>
      <c r="C26" s="67"/>
      <c r="D26" s="1361">
        <v>0.6176276810441248</v>
      </c>
      <c r="E26" s="65"/>
      <c r="F26" s="65"/>
      <c r="G26" s="67">
        <v>8973.8617595542273</v>
      </c>
    </row>
    <row r="27" spans="1:11" ht="16.8">
      <c r="A27" s="65">
        <v>13.1</v>
      </c>
      <c r="B27" s="66" t="s">
        <v>585</v>
      </c>
      <c r="C27" s="67"/>
      <c r="D27" s="1362">
        <v>0</v>
      </c>
      <c r="E27" s="65"/>
      <c r="F27" s="65"/>
      <c r="G27" s="67">
        <v>0</v>
      </c>
    </row>
    <row r="28" spans="1:11" ht="16.8">
      <c r="A28" s="65">
        <v>13.2</v>
      </c>
      <c r="B28" s="66" t="s">
        <v>586</v>
      </c>
      <c r="C28" s="67"/>
      <c r="D28" s="1361">
        <v>2.5510017390069422</v>
      </c>
      <c r="E28" s="65" t="s">
        <v>587</v>
      </c>
      <c r="F28" s="65"/>
      <c r="G28" s="67">
        <v>21643.106519341822</v>
      </c>
    </row>
    <row r="29" spans="1:11" ht="16.8">
      <c r="A29" s="65">
        <v>13.3</v>
      </c>
      <c r="B29" s="66" t="s">
        <v>582</v>
      </c>
      <c r="C29" s="67"/>
      <c r="D29" s="1361">
        <v>6.0794440297924561</v>
      </c>
      <c r="E29" s="65"/>
      <c r="F29" s="65"/>
      <c r="G29" s="67">
        <v>2259.1563802109781</v>
      </c>
    </row>
    <row r="30" spans="1:11">
      <c r="A30" s="65"/>
      <c r="B30" s="65"/>
      <c r="D30" s="67"/>
      <c r="G30">
        <v>32876.12465910703</v>
      </c>
      <c r="J30" s="3296">
        <v>33639.677642305185</v>
      </c>
      <c r="K30" s="3296">
        <v>33640.075558737677</v>
      </c>
    </row>
    <row r="31" spans="1:11" ht="16.8">
      <c r="A31" s="65">
        <v>14</v>
      </c>
      <c r="B31" s="66" t="s">
        <v>588</v>
      </c>
      <c r="C31" s="67"/>
      <c r="D31" s="65">
        <v>124.53472028118894</v>
      </c>
      <c r="E31" s="73" t="s">
        <v>589</v>
      </c>
      <c r="F31" s="73"/>
    </row>
    <row r="32" spans="1:11" ht="16.8">
      <c r="A32" s="65">
        <v>14.1</v>
      </c>
      <c r="B32" s="66" t="s">
        <v>590</v>
      </c>
      <c r="C32" s="67"/>
      <c r="D32" s="65">
        <v>2969.4448497521171</v>
      </c>
      <c r="E32" s="73" t="s">
        <v>24</v>
      </c>
      <c r="F32" s="73"/>
    </row>
    <row r="33" spans="1:15" ht="16.8">
      <c r="A33" s="65">
        <v>14.2</v>
      </c>
      <c r="B33" s="66" t="s">
        <v>591</v>
      </c>
      <c r="C33" s="67"/>
      <c r="D33" s="498">
        <v>0</v>
      </c>
      <c r="E33" s="73" t="s">
        <v>589</v>
      </c>
      <c r="F33" s="73"/>
      <c r="K33" s="498" t="e">
        <v>#DIV/0!</v>
      </c>
    </row>
    <row r="34" spans="1:15" ht="16.8">
      <c r="A34" s="65">
        <v>14.3</v>
      </c>
      <c r="B34" s="66" t="s">
        <v>592</v>
      </c>
      <c r="C34" s="67"/>
      <c r="D34" s="65">
        <v>0</v>
      </c>
      <c r="E34" s="74"/>
    </row>
    <row r="35" spans="1:15" ht="16.8">
      <c r="A35" s="65">
        <v>14.4</v>
      </c>
      <c r="B35" s="66" t="s">
        <v>593</v>
      </c>
      <c r="C35" s="65"/>
      <c r="D35" s="65">
        <v>0</v>
      </c>
      <c r="E35" s="74"/>
      <c r="H35" s="75" t="s">
        <v>594</v>
      </c>
    </row>
    <row r="36" spans="1:15" ht="16.8">
      <c r="A36" s="65">
        <v>14.5</v>
      </c>
      <c r="B36" s="66" t="s">
        <v>595</v>
      </c>
      <c r="C36" s="65" t="s">
        <v>596</v>
      </c>
      <c r="D36" s="65">
        <v>329.79723235795052</v>
      </c>
      <c r="E36" s="74"/>
      <c r="F36" t="s">
        <v>597</v>
      </c>
      <c r="G36">
        <v>0.3297972323579505</v>
      </c>
      <c r="H36">
        <v>1798.9166124685225</v>
      </c>
      <c r="I36">
        <v>2579.0143570391733</v>
      </c>
      <c r="K36" s="156"/>
      <c r="L36" s="156"/>
    </row>
    <row r="37" spans="1:15" ht="15.6">
      <c r="A37" s="65">
        <v>14.6</v>
      </c>
      <c r="B37" s="66" t="s">
        <v>598</v>
      </c>
      <c r="C37" s="65" t="s">
        <v>599</v>
      </c>
      <c r="D37" s="65">
        <v>9.3992123913999972</v>
      </c>
      <c r="E37" s="74"/>
      <c r="H37">
        <v>0</v>
      </c>
      <c r="K37" s="156"/>
      <c r="L37" s="156"/>
    </row>
    <row r="38" spans="1:15" ht="16.8">
      <c r="A38" s="65">
        <v>14.7</v>
      </c>
      <c r="B38" s="66" t="s">
        <v>600</v>
      </c>
      <c r="C38" s="65" t="s">
        <v>24</v>
      </c>
      <c r="D38" s="65">
        <v>2915.9772721452168</v>
      </c>
      <c r="E38" s="74" t="s">
        <v>601</v>
      </c>
      <c r="H38">
        <v>2821.8836348922146</v>
      </c>
      <c r="K38" s="156"/>
      <c r="L38" s="156"/>
    </row>
    <row r="39" spans="1:15" ht="16.8">
      <c r="A39" s="65">
        <v>14.8</v>
      </c>
      <c r="B39" s="66" t="s">
        <v>602</v>
      </c>
      <c r="C39" s="67"/>
      <c r="D39" s="68">
        <v>1170.5282372835945</v>
      </c>
      <c r="H39">
        <v>169.2799191066805</v>
      </c>
      <c r="K39" s="156"/>
      <c r="L39" s="156"/>
    </row>
    <row r="40" spans="1:15" ht="16.8">
      <c r="A40" s="65">
        <v>14.9</v>
      </c>
      <c r="B40" s="66" t="s">
        <v>603</v>
      </c>
      <c r="C40" s="67"/>
      <c r="D40" s="65">
        <v>493.28960130879062</v>
      </c>
      <c r="G40">
        <v>0.49328960130879063</v>
      </c>
      <c r="H40" s="158">
        <v>4790.0801664674182</v>
      </c>
      <c r="I40">
        <v>726.12229312653983</v>
      </c>
      <c r="J40" s="158">
        <v>4806.2425218834042</v>
      </c>
      <c r="K40" s="156"/>
      <c r="L40" s="156">
        <v>16.162355415985985</v>
      </c>
    </row>
    <row r="41" spans="1:15" ht="16.8">
      <c r="A41" s="68">
        <v>14.1</v>
      </c>
      <c r="B41" s="66" t="s">
        <v>604</v>
      </c>
      <c r="C41" s="67"/>
      <c r="D41" s="65">
        <v>169.2799191066805</v>
      </c>
      <c r="K41" s="156"/>
      <c r="L41" s="156"/>
    </row>
    <row r="42" spans="1:15" ht="16.8">
      <c r="A42" s="65">
        <v>14.11</v>
      </c>
      <c r="B42" s="66" t="s">
        <v>605</v>
      </c>
      <c r="C42" s="67"/>
      <c r="D42" s="65">
        <v>94.093637253002271</v>
      </c>
      <c r="L42" s="1356" t="s">
        <v>1622</v>
      </c>
    </row>
    <row r="43" spans="1:15">
      <c r="A43" s="65"/>
      <c r="B43" s="65"/>
      <c r="C43" s="67"/>
      <c r="D43" s="67"/>
      <c r="I43">
        <v>3305.136650165713</v>
      </c>
      <c r="J43" s="1244" t="s">
        <v>1622</v>
      </c>
      <c r="K43" s="157"/>
      <c r="L43" s="1356" t="s">
        <v>1705</v>
      </c>
    </row>
    <row r="44" spans="1:15">
      <c r="A44" s="65"/>
      <c r="B44" s="65"/>
      <c r="C44" s="67"/>
      <c r="D44" s="67"/>
      <c r="H44" s="293" t="s">
        <v>875</v>
      </c>
      <c r="J44" s="1244" t="s">
        <v>1621</v>
      </c>
      <c r="K44" s="1244"/>
      <c r="L44" s="1356"/>
      <c r="M44" s="295"/>
      <c r="N44" s="295"/>
    </row>
    <row r="45" spans="1:15">
      <c r="A45" s="65">
        <v>15</v>
      </c>
      <c r="B45" s="65"/>
      <c r="C45" s="67"/>
      <c r="D45" s="1246">
        <v>0.74216240132531375</v>
      </c>
      <c r="E45" t="s">
        <v>606</v>
      </c>
      <c r="G45" t="s">
        <v>697</v>
      </c>
      <c r="H45" s="292"/>
      <c r="I45" s="294"/>
      <c r="J45" s="1245">
        <v>6.404250792805781E-2</v>
      </c>
      <c r="K45" s="1244"/>
      <c r="L45" s="1357">
        <v>0.14000000000000001</v>
      </c>
      <c r="M45" s="295"/>
      <c r="N45" s="295"/>
    </row>
    <row r="46" spans="1:15">
      <c r="A46" s="65">
        <v>15.1</v>
      </c>
      <c r="B46" s="65"/>
      <c r="C46" s="67"/>
      <c r="D46" s="200">
        <v>0</v>
      </c>
      <c r="G46" t="s">
        <v>548</v>
      </c>
      <c r="H46" s="293"/>
      <c r="I46" s="294"/>
      <c r="J46" s="1245">
        <v>0</v>
      </c>
      <c r="K46" s="1244"/>
      <c r="L46" s="1356"/>
      <c r="M46" s="526"/>
      <c r="N46" s="295"/>
      <c r="O46" s="155"/>
    </row>
    <row r="47" spans="1:15">
      <c r="A47" s="65">
        <v>15.2</v>
      </c>
      <c r="B47" s="65"/>
      <c r="C47" s="67"/>
      <c r="D47" s="200">
        <v>2.8809999999999998</v>
      </c>
      <c r="F47" s="527"/>
      <c r="G47" t="s">
        <v>549</v>
      </c>
      <c r="H47" s="470">
        <v>0.49099999999999999</v>
      </c>
      <c r="I47" s="294"/>
      <c r="J47" s="1245">
        <v>1.161</v>
      </c>
      <c r="K47" s="1244"/>
      <c r="L47" s="1358">
        <v>0.88400000000000001</v>
      </c>
      <c r="M47" s="526"/>
      <c r="N47" s="295"/>
      <c r="O47" s="154"/>
    </row>
    <row r="48" spans="1:15">
      <c r="A48" s="65">
        <v>15.3</v>
      </c>
      <c r="B48" s="65"/>
      <c r="C48" s="67"/>
      <c r="D48" s="200">
        <v>6.5730000000000004</v>
      </c>
      <c r="F48" s="527"/>
      <c r="G48" t="s">
        <v>681</v>
      </c>
      <c r="H48" s="470">
        <v>0.56299999999999994</v>
      </c>
      <c r="I48" s="294"/>
      <c r="J48" s="1245">
        <v>4.6689999999999996</v>
      </c>
      <c r="K48" s="1244"/>
      <c r="L48" s="1358">
        <v>0.96899999999999997</v>
      </c>
      <c r="M48" s="526"/>
      <c r="N48" s="295"/>
      <c r="O48" s="154"/>
    </row>
    <row r="49" spans="1:15">
      <c r="A49" s="67"/>
      <c r="B49" s="67"/>
      <c r="C49" s="67"/>
      <c r="D49" s="67"/>
      <c r="L49" s="295"/>
      <c r="M49" s="295"/>
      <c r="N49" s="295"/>
      <c r="O49" s="154"/>
    </row>
    <row r="50" spans="1:15">
      <c r="A50" s="67"/>
      <c r="B50" s="67"/>
      <c r="C50" s="317"/>
      <c r="D50" s="318"/>
      <c r="E50" s="318"/>
      <c r="L50" s="295"/>
      <c r="M50" s="295"/>
      <c r="N50" s="295"/>
    </row>
    <row r="51" spans="1:15">
      <c r="A51" s="67"/>
      <c r="B51" s="67"/>
      <c r="C51" s="318"/>
      <c r="D51" s="318"/>
      <c r="E51" s="318"/>
    </row>
    <row r="52" spans="1:15">
      <c r="D52" s="67"/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2">
    <tabColor rgb="FFCCFF66"/>
  </sheetPr>
  <dimension ref="A1:M56"/>
  <sheetViews>
    <sheetView workbookViewId="0">
      <pane xSplit="1" ySplit="12" topLeftCell="B28" activePane="bottomRight" state="frozenSplit"/>
      <selection activeCell="M38" sqref="M38"/>
      <selection pane="topRight" activeCell="M38" sqref="M38"/>
      <selection pane="bottomLeft" activeCell="M38" sqref="M38"/>
      <selection pane="bottomRight" activeCell="M38" sqref="M38"/>
    </sheetView>
  </sheetViews>
  <sheetFormatPr defaultRowHeight="13.2"/>
  <cols>
    <col min="1" max="1" width="10.88671875" style="10" customWidth="1"/>
    <col min="2" max="2" width="12" style="10" customWidth="1"/>
    <col min="3" max="3" width="11.5546875" style="10" customWidth="1"/>
    <col min="4" max="4" width="11.44140625" style="10" customWidth="1"/>
    <col min="5" max="5" width="10.5546875" style="10" customWidth="1"/>
    <col min="6" max="6" width="14.88671875" style="6" customWidth="1"/>
    <col min="7" max="7" width="16.109375" style="10" customWidth="1"/>
    <col min="8" max="8" width="9.109375" style="10"/>
    <col min="9" max="11" width="9.109375" style="10" customWidth="1"/>
    <col min="12" max="12" width="11.6640625" style="10" customWidth="1"/>
    <col min="13" max="14" width="9.109375" style="10" customWidth="1"/>
    <col min="15" max="256" width="9.109375" style="10"/>
    <col min="257" max="257" width="10.88671875" style="10" customWidth="1"/>
    <col min="258" max="258" width="12" style="10" customWidth="1"/>
    <col min="259" max="259" width="11.5546875" style="10" customWidth="1"/>
    <col min="260" max="260" width="11.44140625" style="10" customWidth="1"/>
    <col min="261" max="261" width="10.5546875" style="10" customWidth="1"/>
    <col min="262" max="262" width="14.88671875" style="10" customWidth="1"/>
    <col min="263" max="263" width="16.109375" style="10" customWidth="1"/>
    <col min="264" max="512" width="9.109375" style="10"/>
    <col min="513" max="513" width="10.88671875" style="10" customWidth="1"/>
    <col min="514" max="514" width="12" style="10" customWidth="1"/>
    <col min="515" max="515" width="11.5546875" style="10" customWidth="1"/>
    <col min="516" max="516" width="11.44140625" style="10" customWidth="1"/>
    <col min="517" max="517" width="10.5546875" style="10" customWidth="1"/>
    <col min="518" max="518" width="14.88671875" style="10" customWidth="1"/>
    <col min="519" max="519" width="16.109375" style="10" customWidth="1"/>
    <col min="520" max="768" width="9.109375" style="10"/>
    <col min="769" max="769" width="10.88671875" style="10" customWidth="1"/>
    <col min="770" max="770" width="12" style="10" customWidth="1"/>
    <col min="771" max="771" width="11.5546875" style="10" customWidth="1"/>
    <col min="772" max="772" width="11.44140625" style="10" customWidth="1"/>
    <col min="773" max="773" width="10.5546875" style="10" customWidth="1"/>
    <col min="774" max="774" width="14.88671875" style="10" customWidth="1"/>
    <col min="775" max="775" width="16.109375" style="10" customWidth="1"/>
    <col min="776" max="1024" width="9.109375" style="10"/>
    <col min="1025" max="1025" width="10.88671875" style="10" customWidth="1"/>
    <col min="1026" max="1026" width="12" style="10" customWidth="1"/>
    <col min="1027" max="1027" width="11.5546875" style="10" customWidth="1"/>
    <col min="1028" max="1028" width="11.44140625" style="10" customWidth="1"/>
    <col min="1029" max="1029" width="10.5546875" style="10" customWidth="1"/>
    <col min="1030" max="1030" width="14.88671875" style="10" customWidth="1"/>
    <col min="1031" max="1031" width="16.109375" style="10" customWidth="1"/>
    <col min="1032" max="1280" width="9.109375" style="10"/>
    <col min="1281" max="1281" width="10.88671875" style="10" customWidth="1"/>
    <col min="1282" max="1282" width="12" style="10" customWidth="1"/>
    <col min="1283" max="1283" width="11.5546875" style="10" customWidth="1"/>
    <col min="1284" max="1284" width="11.44140625" style="10" customWidth="1"/>
    <col min="1285" max="1285" width="10.5546875" style="10" customWidth="1"/>
    <col min="1286" max="1286" width="14.88671875" style="10" customWidth="1"/>
    <col min="1287" max="1287" width="16.109375" style="10" customWidth="1"/>
    <col min="1288" max="1536" width="9.109375" style="10"/>
    <col min="1537" max="1537" width="10.88671875" style="10" customWidth="1"/>
    <col min="1538" max="1538" width="12" style="10" customWidth="1"/>
    <col min="1539" max="1539" width="11.5546875" style="10" customWidth="1"/>
    <col min="1540" max="1540" width="11.44140625" style="10" customWidth="1"/>
    <col min="1541" max="1541" width="10.5546875" style="10" customWidth="1"/>
    <col min="1542" max="1542" width="14.88671875" style="10" customWidth="1"/>
    <col min="1543" max="1543" width="16.109375" style="10" customWidth="1"/>
    <col min="1544" max="1792" width="9.109375" style="10"/>
    <col min="1793" max="1793" width="10.88671875" style="10" customWidth="1"/>
    <col min="1794" max="1794" width="12" style="10" customWidth="1"/>
    <col min="1795" max="1795" width="11.5546875" style="10" customWidth="1"/>
    <col min="1796" max="1796" width="11.44140625" style="10" customWidth="1"/>
    <col min="1797" max="1797" width="10.5546875" style="10" customWidth="1"/>
    <col min="1798" max="1798" width="14.88671875" style="10" customWidth="1"/>
    <col min="1799" max="1799" width="16.109375" style="10" customWidth="1"/>
    <col min="1800" max="2048" width="9.109375" style="10"/>
    <col min="2049" max="2049" width="10.88671875" style="10" customWidth="1"/>
    <col min="2050" max="2050" width="12" style="10" customWidth="1"/>
    <col min="2051" max="2051" width="11.5546875" style="10" customWidth="1"/>
    <col min="2052" max="2052" width="11.44140625" style="10" customWidth="1"/>
    <col min="2053" max="2053" width="10.5546875" style="10" customWidth="1"/>
    <col min="2054" max="2054" width="14.88671875" style="10" customWidth="1"/>
    <col min="2055" max="2055" width="16.109375" style="10" customWidth="1"/>
    <col min="2056" max="2304" width="9.109375" style="10"/>
    <col min="2305" max="2305" width="10.88671875" style="10" customWidth="1"/>
    <col min="2306" max="2306" width="12" style="10" customWidth="1"/>
    <col min="2307" max="2307" width="11.5546875" style="10" customWidth="1"/>
    <col min="2308" max="2308" width="11.44140625" style="10" customWidth="1"/>
    <col min="2309" max="2309" width="10.5546875" style="10" customWidth="1"/>
    <col min="2310" max="2310" width="14.88671875" style="10" customWidth="1"/>
    <col min="2311" max="2311" width="16.109375" style="10" customWidth="1"/>
    <col min="2312" max="2560" width="9.109375" style="10"/>
    <col min="2561" max="2561" width="10.88671875" style="10" customWidth="1"/>
    <col min="2562" max="2562" width="12" style="10" customWidth="1"/>
    <col min="2563" max="2563" width="11.5546875" style="10" customWidth="1"/>
    <col min="2564" max="2564" width="11.44140625" style="10" customWidth="1"/>
    <col min="2565" max="2565" width="10.5546875" style="10" customWidth="1"/>
    <col min="2566" max="2566" width="14.88671875" style="10" customWidth="1"/>
    <col min="2567" max="2567" width="16.109375" style="10" customWidth="1"/>
    <col min="2568" max="2816" width="9.109375" style="10"/>
    <col min="2817" max="2817" width="10.88671875" style="10" customWidth="1"/>
    <col min="2818" max="2818" width="12" style="10" customWidth="1"/>
    <col min="2819" max="2819" width="11.5546875" style="10" customWidth="1"/>
    <col min="2820" max="2820" width="11.44140625" style="10" customWidth="1"/>
    <col min="2821" max="2821" width="10.5546875" style="10" customWidth="1"/>
    <col min="2822" max="2822" width="14.88671875" style="10" customWidth="1"/>
    <col min="2823" max="2823" width="16.109375" style="10" customWidth="1"/>
    <col min="2824" max="3072" width="9.109375" style="10"/>
    <col min="3073" max="3073" width="10.88671875" style="10" customWidth="1"/>
    <col min="3074" max="3074" width="12" style="10" customWidth="1"/>
    <col min="3075" max="3075" width="11.5546875" style="10" customWidth="1"/>
    <col min="3076" max="3076" width="11.44140625" style="10" customWidth="1"/>
    <col min="3077" max="3077" width="10.5546875" style="10" customWidth="1"/>
    <col min="3078" max="3078" width="14.88671875" style="10" customWidth="1"/>
    <col min="3079" max="3079" width="16.109375" style="10" customWidth="1"/>
    <col min="3080" max="3328" width="9.109375" style="10"/>
    <col min="3329" max="3329" width="10.88671875" style="10" customWidth="1"/>
    <col min="3330" max="3330" width="12" style="10" customWidth="1"/>
    <col min="3331" max="3331" width="11.5546875" style="10" customWidth="1"/>
    <col min="3332" max="3332" width="11.44140625" style="10" customWidth="1"/>
    <col min="3333" max="3333" width="10.5546875" style="10" customWidth="1"/>
    <col min="3334" max="3334" width="14.88671875" style="10" customWidth="1"/>
    <col min="3335" max="3335" width="16.109375" style="10" customWidth="1"/>
    <col min="3336" max="3584" width="9.109375" style="10"/>
    <col min="3585" max="3585" width="10.88671875" style="10" customWidth="1"/>
    <col min="3586" max="3586" width="12" style="10" customWidth="1"/>
    <col min="3587" max="3587" width="11.5546875" style="10" customWidth="1"/>
    <col min="3588" max="3588" width="11.44140625" style="10" customWidth="1"/>
    <col min="3589" max="3589" width="10.5546875" style="10" customWidth="1"/>
    <col min="3590" max="3590" width="14.88671875" style="10" customWidth="1"/>
    <col min="3591" max="3591" width="16.109375" style="10" customWidth="1"/>
    <col min="3592" max="3840" width="9.109375" style="10"/>
    <col min="3841" max="3841" width="10.88671875" style="10" customWidth="1"/>
    <col min="3842" max="3842" width="12" style="10" customWidth="1"/>
    <col min="3843" max="3843" width="11.5546875" style="10" customWidth="1"/>
    <col min="3844" max="3844" width="11.44140625" style="10" customWidth="1"/>
    <col min="3845" max="3845" width="10.5546875" style="10" customWidth="1"/>
    <col min="3846" max="3846" width="14.88671875" style="10" customWidth="1"/>
    <col min="3847" max="3847" width="16.109375" style="10" customWidth="1"/>
    <col min="3848" max="4096" width="9.109375" style="10"/>
    <col min="4097" max="4097" width="10.88671875" style="10" customWidth="1"/>
    <col min="4098" max="4098" width="12" style="10" customWidth="1"/>
    <col min="4099" max="4099" width="11.5546875" style="10" customWidth="1"/>
    <col min="4100" max="4100" width="11.44140625" style="10" customWidth="1"/>
    <col min="4101" max="4101" width="10.5546875" style="10" customWidth="1"/>
    <col min="4102" max="4102" width="14.88671875" style="10" customWidth="1"/>
    <col min="4103" max="4103" width="16.109375" style="10" customWidth="1"/>
    <col min="4104" max="4352" width="9.109375" style="10"/>
    <col min="4353" max="4353" width="10.88671875" style="10" customWidth="1"/>
    <col min="4354" max="4354" width="12" style="10" customWidth="1"/>
    <col min="4355" max="4355" width="11.5546875" style="10" customWidth="1"/>
    <col min="4356" max="4356" width="11.44140625" style="10" customWidth="1"/>
    <col min="4357" max="4357" width="10.5546875" style="10" customWidth="1"/>
    <col min="4358" max="4358" width="14.88671875" style="10" customWidth="1"/>
    <col min="4359" max="4359" width="16.109375" style="10" customWidth="1"/>
    <col min="4360" max="4608" width="9.109375" style="10"/>
    <col min="4609" max="4609" width="10.88671875" style="10" customWidth="1"/>
    <col min="4610" max="4610" width="12" style="10" customWidth="1"/>
    <col min="4611" max="4611" width="11.5546875" style="10" customWidth="1"/>
    <col min="4612" max="4612" width="11.44140625" style="10" customWidth="1"/>
    <col min="4613" max="4613" width="10.5546875" style="10" customWidth="1"/>
    <col min="4614" max="4614" width="14.88671875" style="10" customWidth="1"/>
    <col min="4615" max="4615" width="16.109375" style="10" customWidth="1"/>
    <col min="4616" max="4864" width="9.109375" style="10"/>
    <col min="4865" max="4865" width="10.88671875" style="10" customWidth="1"/>
    <col min="4866" max="4866" width="12" style="10" customWidth="1"/>
    <col min="4867" max="4867" width="11.5546875" style="10" customWidth="1"/>
    <col min="4868" max="4868" width="11.44140625" style="10" customWidth="1"/>
    <col min="4869" max="4869" width="10.5546875" style="10" customWidth="1"/>
    <col min="4870" max="4870" width="14.88671875" style="10" customWidth="1"/>
    <col min="4871" max="4871" width="16.109375" style="10" customWidth="1"/>
    <col min="4872" max="5120" width="9.109375" style="10"/>
    <col min="5121" max="5121" width="10.88671875" style="10" customWidth="1"/>
    <col min="5122" max="5122" width="12" style="10" customWidth="1"/>
    <col min="5123" max="5123" width="11.5546875" style="10" customWidth="1"/>
    <col min="5124" max="5124" width="11.44140625" style="10" customWidth="1"/>
    <col min="5125" max="5125" width="10.5546875" style="10" customWidth="1"/>
    <col min="5126" max="5126" width="14.88671875" style="10" customWidth="1"/>
    <col min="5127" max="5127" width="16.109375" style="10" customWidth="1"/>
    <col min="5128" max="5376" width="9.109375" style="10"/>
    <col min="5377" max="5377" width="10.88671875" style="10" customWidth="1"/>
    <col min="5378" max="5378" width="12" style="10" customWidth="1"/>
    <col min="5379" max="5379" width="11.5546875" style="10" customWidth="1"/>
    <col min="5380" max="5380" width="11.44140625" style="10" customWidth="1"/>
    <col min="5381" max="5381" width="10.5546875" style="10" customWidth="1"/>
    <col min="5382" max="5382" width="14.88671875" style="10" customWidth="1"/>
    <col min="5383" max="5383" width="16.109375" style="10" customWidth="1"/>
    <col min="5384" max="5632" width="9.109375" style="10"/>
    <col min="5633" max="5633" width="10.88671875" style="10" customWidth="1"/>
    <col min="5634" max="5634" width="12" style="10" customWidth="1"/>
    <col min="5635" max="5635" width="11.5546875" style="10" customWidth="1"/>
    <col min="5636" max="5636" width="11.44140625" style="10" customWidth="1"/>
    <col min="5637" max="5637" width="10.5546875" style="10" customWidth="1"/>
    <col min="5638" max="5638" width="14.88671875" style="10" customWidth="1"/>
    <col min="5639" max="5639" width="16.109375" style="10" customWidth="1"/>
    <col min="5640" max="5888" width="9.109375" style="10"/>
    <col min="5889" max="5889" width="10.88671875" style="10" customWidth="1"/>
    <col min="5890" max="5890" width="12" style="10" customWidth="1"/>
    <col min="5891" max="5891" width="11.5546875" style="10" customWidth="1"/>
    <col min="5892" max="5892" width="11.44140625" style="10" customWidth="1"/>
    <col min="5893" max="5893" width="10.5546875" style="10" customWidth="1"/>
    <col min="5894" max="5894" width="14.88671875" style="10" customWidth="1"/>
    <col min="5895" max="5895" width="16.109375" style="10" customWidth="1"/>
    <col min="5896" max="6144" width="9.109375" style="10"/>
    <col min="6145" max="6145" width="10.88671875" style="10" customWidth="1"/>
    <col min="6146" max="6146" width="12" style="10" customWidth="1"/>
    <col min="6147" max="6147" width="11.5546875" style="10" customWidth="1"/>
    <col min="6148" max="6148" width="11.44140625" style="10" customWidth="1"/>
    <col min="6149" max="6149" width="10.5546875" style="10" customWidth="1"/>
    <col min="6150" max="6150" width="14.88671875" style="10" customWidth="1"/>
    <col min="6151" max="6151" width="16.109375" style="10" customWidth="1"/>
    <col min="6152" max="6400" width="9.109375" style="10"/>
    <col min="6401" max="6401" width="10.88671875" style="10" customWidth="1"/>
    <col min="6402" max="6402" width="12" style="10" customWidth="1"/>
    <col min="6403" max="6403" width="11.5546875" style="10" customWidth="1"/>
    <col min="6404" max="6404" width="11.44140625" style="10" customWidth="1"/>
    <col min="6405" max="6405" width="10.5546875" style="10" customWidth="1"/>
    <col min="6406" max="6406" width="14.88671875" style="10" customWidth="1"/>
    <col min="6407" max="6407" width="16.109375" style="10" customWidth="1"/>
    <col min="6408" max="6656" width="9.109375" style="10"/>
    <col min="6657" max="6657" width="10.88671875" style="10" customWidth="1"/>
    <col min="6658" max="6658" width="12" style="10" customWidth="1"/>
    <col min="6659" max="6659" width="11.5546875" style="10" customWidth="1"/>
    <col min="6660" max="6660" width="11.44140625" style="10" customWidth="1"/>
    <col min="6661" max="6661" width="10.5546875" style="10" customWidth="1"/>
    <col min="6662" max="6662" width="14.88671875" style="10" customWidth="1"/>
    <col min="6663" max="6663" width="16.109375" style="10" customWidth="1"/>
    <col min="6664" max="6912" width="9.109375" style="10"/>
    <col min="6913" max="6913" width="10.88671875" style="10" customWidth="1"/>
    <col min="6914" max="6914" width="12" style="10" customWidth="1"/>
    <col min="6915" max="6915" width="11.5546875" style="10" customWidth="1"/>
    <col min="6916" max="6916" width="11.44140625" style="10" customWidth="1"/>
    <col min="6917" max="6917" width="10.5546875" style="10" customWidth="1"/>
    <col min="6918" max="6918" width="14.88671875" style="10" customWidth="1"/>
    <col min="6919" max="6919" width="16.109375" style="10" customWidth="1"/>
    <col min="6920" max="7168" width="9.109375" style="10"/>
    <col min="7169" max="7169" width="10.88671875" style="10" customWidth="1"/>
    <col min="7170" max="7170" width="12" style="10" customWidth="1"/>
    <col min="7171" max="7171" width="11.5546875" style="10" customWidth="1"/>
    <col min="7172" max="7172" width="11.44140625" style="10" customWidth="1"/>
    <col min="7173" max="7173" width="10.5546875" style="10" customWidth="1"/>
    <col min="7174" max="7174" width="14.88671875" style="10" customWidth="1"/>
    <col min="7175" max="7175" width="16.109375" style="10" customWidth="1"/>
    <col min="7176" max="7424" width="9.109375" style="10"/>
    <col min="7425" max="7425" width="10.88671875" style="10" customWidth="1"/>
    <col min="7426" max="7426" width="12" style="10" customWidth="1"/>
    <col min="7427" max="7427" width="11.5546875" style="10" customWidth="1"/>
    <col min="7428" max="7428" width="11.44140625" style="10" customWidth="1"/>
    <col min="7429" max="7429" width="10.5546875" style="10" customWidth="1"/>
    <col min="7430" max="7430" width="14.88671875" style="10" customWidth="1"/>
    <col min="7431" max="7431" width="16.109375" style="10" customWidth="1"/>
    <col min="7432" max="7680" width="9.109375" style="10"/>
    <col min="7681" max="7681" width="10.88671875" style="10" customWidth="1"/>
    <col min="7682" max="7682" width="12" style="10" customWidth="1"/>
    <col min="7683" max="7683" width="11.5546875" style="10" customWidth="1"/>
    <col min="7684" max="7684" width="11.44140625" style="10" customWidth="1"/>
    <col min="7685" max="7685" width="10.5546875" style="10" customWidth="1"/>
    <col min="7686" max="7686" width="14.88671875" style="10" customWidth="1"/>
    <col min="7687" max="7687" width="16.109375" style="10" customWidth="1"/>
    <col min="7688" max="7936" width="9.109375" style="10"/>
    <col min="7937" max="7937" width="10.88671875" style="10" customWidth="1"/>
    <col min="7938" max="7938" width="12" style="10" customWidth="1"/>
    <col min="7939" max="7939" width="11.5546875" style="10" customWidth="1"/>
    <col min="7940" max="7940" width="11.44140625" style="10" customWidth="1"/>
    <col min="7941" max="7941" width="10.5546875" style="10" customWidth="1"/>
    <col min="7942" max="7942" width="14.88671875" style="10" customWidth="1"/>
    <col min="7943" max="7943" width="16.109375" style="10" customWidth="1"/>
    <col min="7944" max="8192" width="9.109375" style="10"/>
    <col min="8193" max="8193" width="10.88671875" style="10" customWidth="1"/>
    <col min="8194" max="8194" width="12" style="10" customWidth="1"/>
    <col min="8195" max="8195" width="11.5546875" style="10" customWidth="1"/>
    <col min="8196" max="8196" width="11.44140625" style="10" customWidth="1"/>
    <col min="8197" max="8197" width="10.5546875" style="10" customWidth="1"/>
    <col min="8198" max="8198" width="14.88671875" style="10" customWidth="1"/>
    <col min="8199" max="8199" width="16.109375" style="10" customWidth="1"/>
    <col min="8200" max="8448" width="9.109375" style="10"/>
    <col min="8449" max="8449" width="10.88671875" style="10" customWidth="1"/>
    <col min="8450" max="8450" width="12" style="10" customWidth="1"/>
    <col min="8451" max="8451" width="11.5546875" style="10" customWidth="1"/>
    <col min="8452" max="8452" width="11.44140625" style="10" customWidth="1"/>
    <col min="8453" max="8453" width="10.5546875" style="10" customWidth="1"/>
    <col min="8454" max="8454" width="14.88671875" style="10" customWidth="1"/>
    <col min="8455" max="8455" width="16.109375" style="10" customWidth="1"/>
    <col min="8456" max="8704" width="9.109375" style="10"/>
    <col min="8705" max="8705" width="10.88671875" style="10" customWidth="1"/>
    <col min="8706" max="8706" width="12" style="10" customWidth="1"/>
    <col min="8707" max="8707" width="11.5546875" style="10" customWidth="1"/>
    <col min="8708" max="8708" width="11.44140625" style="10" customWidth="1"/>
    <col min="8709" max="8709" width="10.5546875" style="10" customWidth="1"/>
    <col min="8710" max="8710" width="14.88671875" style="10" customWidth="1"/>
    <col min="8711" max="8711" width="16.109375" style="10" customWidth="1"/>
    <col min="8712" max="8960" width="9.109375" style="10"/>
    <col min="8961" max="8961" width="10.88671875" style="10" customWidth="1"/>
    <col min="8962" max="8962" width="12" style="10" customWidth="1"/>
    <col min="8963" max="8963" width="11.5546875" style="10" customWidth="1"/>
    <col min="8964" max="8964" width="11.44140625" style="10" customWidth="1"/>
    <col min="8965" max="8965" width="10.5546875" style="10" customWidth="1"/>
    <col min="8966" max="8966" width="14.88671875" style="10" customWidth="1"/>
    <col min="8967" max="8967" width="16.109375" style="10" customWidth="1"/>
    <col min="8968" max="9216" width="9.109375" style="10"/>
    <col min="9217" max="9217" width="10.88671875" style="10" customWidth="1"/>
    <col min="9218" max="9218" width="12" style="10" customWidth="1"/>
    <col min="9219" max="9219" width="11.5546875" style="10" customWidth="1"/>
    <col min="9220" max="9220" width="11.44140625" style="10" customWidth="1"/>
    <col min="9221" max="9221" width="10.5546875" style="10" customWidth="1"/>
    <col min="9222" max="9222" width="14.88671875" style="10" customWidth="1"/>
    <col min="9223" max="9223" width="16.109375" style="10" customWidth="1"/>
    <col min="9224" max="9472" width="9.109375" style="10"/>
    <col min="9473" max="9473" width="10.88671875" style="10" customWidth="1"/>
    <col min="9474" max="9474" width="12" style="10" customWidth="1"/>
    <col min="9475" max="9475" width="11.5546875" style="10" customWidth="1"/>
    <col min="9476" max="9476" width="11.44140625" style="10" customWidth="1"/>
    <col min="9477" max="9477" width="10.5546875" style="10" customWidth="1"/>
    <col min="9478" max="9478" width="14.88671875" style="10" customWidth="1"/>
    <col min="9479" max="9479" width="16.109375" style="10" customWidth="1"/>
    <col min="9480" max="9728" width="9.109375" style="10"/>
    <col min="9729" max="9729" width="10.88671875" style="10" customWidth="1"/>
    <col min="9730" max="9730" width="12" style="10" customWidth="1"/>
    <col min="9731" max="9731" width="11.5546875" style="10" customWidth="1"/>
    <col min="9732" max="9732" width="11.44140625" style="10" customWidth="1"/>
    <col min="9733" max="9733" width="10.5546875" style="10" customWidth="1"/>
    <col min="9734" max="9734" width="14.88671875" style="10" customWidth="1"/>
    <col min="9735" max="9735" width="16.109375" style="10" customWidth="1"/>
    <col min="9736" max="9984" width="9.109375" style="10"/>
    <col min="9985" max="9985" width="10.88671875" style="10" customWidth="1"/>
    <col min="9986" max="9986" width="12" style="10" customWidth="1"/>
    <col min="9987" max="9987" width="11.5546875" style="10" customWidth="1"/>
    <col min="9988" max="9988" width="11.44140625" style="10" customWidth="1"/>
    <col min="9989" max="9989" width="10.5546875" style="10" customWidth="1"/>
    <col min="9990" max="9990" width="14.88671875" style="10" customWidth="1"/>
    <col min="9991" max="9991" width="16.109375" style="10" customWidth="1"/>
    <col min="9992" max="10240" width="9.109375" style="10"/>
    <col min="10241" max="10241" width="10.88671875" style="10" customWidth="1"/>
    <col min="10242" max="10242" width="12" style="10" customWidth="1"/>
    <col min="10243" max="10243" width="11.5546875" style="10" customWidth="1"/>
    <col min="10244" max="10244" width="11.44140625" style="10" customWidth="1"/>
    <col min="10245" max="10245" width="10.5546875" style="10" customWidth="1"/>
    <col min="10246" max="10246" width="14.88671875" style="10" customWidth="1"/>
    <col min="10247" max="10247" width="16.109375" style="10" customWidth="1"/>
    <col min="10248" max="10496" width="9.109375" style="10"/>
    <col min="10497" max="10497" width="10.88671875" style="10" customWidth="1"/>
    <col min="10498" max="10498" width="12" style="10" customWidth="1"/>
    <col min="10499" max="10499" width="11.5546875" style="10" customWidth="1"/>
    <col min="10500" max="10500" width="11.44140625" style="10" customWidth="1"/>
    <col min="10501" max="10501" width="10.5546875" style="10" customWidth="1"/>
    <col min="10502" max="10502" width="14.88671875" style="10" customWidth="1"/>
    <col min="10503" max="10503" width="16.109375" style="10" customWidth="1"/>
    <col min="10504" max="10752" width="9.109375" style="10"/>
    <col min="10753" max="10753" width="10.88671875" style="10" customWidth="1"/>
    <col min="10754" max="10754" width="12" style="10" customWidth="1"/>
    <col min="10755" max="10755" width="11.5546875" style="10" customWidth="1"/>
    <col min="10756" max="10756" width="11.44140625" style="10" customWidth="1"/>
    <col min="10757" max="10757" width="10.5546875" style="10" customWidth="1"/>
    <col min="10758" max="10758" width="14.88671875" style="10" customWidth="1"/>
    <col min="10759" max="10759" width="16.109375" style="10" customWidth="1"/>
    <col min="10760" max="11008" width="9.109375" style="10"/>
    <col min="11009" max="11009" width="10.88671875" style="10" customWidth="1"/>
    <col min="11010" max="11010" width="12" style="10" customWidth="1"/>
    <col min="11011" max="11011" width="11.5546875" style="10" customWidth="1"/>
    <col min="11012" max="11012" width="11.44140625" style="10" customWidth="1"/>
    <col min="11013" max="11013" width="10.5546875" style="10" customWidth="1"/>
    <col min="11014" max="11014" width="14.88671875" style="10" customWidth="1"/>
    <col min="11015" max="11015" width="16.109375" style="10" customWidth="1"/>
    <col min="11016" max="11264" width="9.109375" style="10"/>
    <col min="11265" max="11265" width="10.88671875" style="10" customWidth="1"/>
    <col min="11266" max="11266" width="12" style="10" customWidth="1"/>
    <col min="11267" max="11267" width="11.5546875" style="10" customWidth="1"/>
    <col min="11268" max="11268" width="11.44140625" style="10" customWidth="1"/>
    <col min="11269" max="11269" width="10.5546875" style="10" customWidth="1"/>
    <col min="11270" max="11270" width="14.88671875" style="10" customWidth="1"/>
    <col min="11271" max="11271" width="16.109375" style="10" customWidth="1"/>
    <col min="11272" max="11520" width="9.109375" style="10"/>
    <col min="11521" max="11521" width="10.88671875" style="10" customWidth="1"/>
    <col min="11522" max="11522" width="12" style="10" customWidth="1"/>
    <col min="11523" max="11523" width="11.5546875" style="10" customWidth="1"/>
    <col min="11524" max="11524" width="11.44140625" style="10" customWidth="1"/>
    <col min="11525" max="11525" width="10.5546875" style="10" customWidth="1"/>
    <col min="11526" max="11526" width="14.88671875" style="10" customWidth="1"/>
    <col min="11527" max="11527" width="16.109375" style="10" customWidth="1"/>
    <col min="11528" max="11776" width="9.109375" style="10"/>
    <col min="11777" max="11777" width="10.88671875" style="10" customWidth="1"/>
    <col min="11778" max="11778" width="12" style="10" customWidth="1"/>
    <col min="11779" max="11779" width="11.5546875" style="10" customWidth="1"/>
    <col min="11780" max="11780" width="11.44140625" style="10" customWidth="1"/>
    <col min="11781" max="11781" width="10.5546875" style="10" customWidth="1"/>
    <col min="11782" max="11782" width="14.88671875" style="10" customWidth="1"/>
    <col min="11783" max="11783" width="16.109375" style="10" customWidth="1"/>
    <col min="11784" max="12032" width="9.109375" style="10"/>
    <col min="12033" max="12033" width="10.88671875" style="10" customWidth="1"/>
    <col min="12034" max="12034" width="12" style="10" customWidth="1"/>
    <col min="12035" max="12035" width="11.5546875" style="10" customWidth="1"/>
    <col min="12036" max="12036" width="11.44140625" style="10" customWidth="1"/>
    <col min="12037" max="12037" width="10.5546875" style="10" customWidth="1"/>
    <col min="12038" max="12038" width="14.88671875" style="10" customWidth="1"/>
    <col min="12039" max="12039" width="16.109375" style="10" customWidth="1"/>
    <col min="12040" max="12288" width="9.109375" style="10"/>
    <col min="12289" max="12289" width="10.88671875" style="10" customWidth="1"/>
    <col min="12290" max="12290" width="12" style="10" customWidth="1"/>
    <col min="12291" max="12291" width="11.5546875" style="10" customWidth="1"/>
    <col min="12292" max="12292" width="11.44140625" style="10" customWidth="1"/>
    <col min="12293" max="12293" width="10.5546875" style="10" customWidth="1"/>
    <col min="12294" max="12294" width="14.88671875" style="10" customWidth="1"/>
    <col min="12295" max="12295" width="16.109375" style="10" customWidth="1"/>
    <col min="12296" max="12544" width="9.109375" style="10"/>
    <col min="12545" max="12545" width="10.88671875" style="10" customWidth="1"/>
    <col min="12546" max="12546" width="12" style="10" customWidth="1"/>
    <col min="12547" max="12547" width="11.5546875" style="10" customWidth="1"/>
    <col min="12548" max="12548" width="11.44140625" style="10" customWidth="1"/>
    <col min="12549" max="12549" width="10.5546875" style="10" customWidth="1"/>
    <col min="12550" max="12550" width="14.88671875" style="10" customWidth="1"/>
    <col min="12551" max="12551" width="16.109375" style="10" customWidth="1"/>
    <col min="12552" max="12800" width="9.109375" style="10"/>
    <col min="12801" max="12801" width="10.88671875" style="10" customWidth="1"/>
    <col min="12802" max="12802" width="12" style="10" customWidth="1"/>
    <col min="12803" max="12803" width="11.5546875" style="10" customWidth="1"/>
    <col min="12804" max="12804" width="11.44140625" style="10" customWidth="1"/>
    <col min="12805" max="12805" width="10.5546875" style="10" customWidth="1"/>
    <col min="12806" max="12806" width="14.88671875" style="10" customWidth="1"/>
    <col min="12807" max="12807" width="16.109375" style="10" customWidth="1"/>
    <col min="12808" max="13056" width="9.109375" style="10"/>
    <col min="13057" max="13057" width="10.88671875" style="10" customWidth="1"/>
    <col min="13058" max="13058" width="12" style="10" customWidth="1"/>
    <col min="13059" max="13059" width="11.5546875" style="10" customWidth="1"/>
    <col min="13060" max="13060" width="11.44140625" style="10" customWidth="1"/>
    <col min="13061" max="13061" width="10.5546875" style="10" customWidth="1"/>
    <col min="13062" max="13062" width="14.88671875" style="10" customWidth="1"/>
    <col min="13063" max="13063" width="16.109375" style="10" customWidth="1"/>
    <col min="13064" max="13312" width="9.109375" style="10"/>
    <col min="13313" max="13313" width="10.88671875" style="10" customWidth="1"/>
    <col min="13314" max="13314" width="12" style="10" customWidth="1"/>
    <col min="13315" max="13315" width="11.5546875" style="10" customWidth="1"/>
    <col min="13316" max="13316" width="11.44140625" style="10" customWidth="1"/>
    <col min="13317" max="13317" width="10.5546875" style="10" customWidth="1"/>
    <col min="13318" max="13318" width="14.88671875" style="10" customWidth="1"/>
    <col min="13319" max="13319" width="16.109375" style="10" customWidth="1"/>
    <col min="13320" max="13568" width="9.109375" style="10"/>
    <col min="13569" max="13569" width="10.88671875" style="10" customWidth="1"/>
    <col min="13570" max="13570" width="12" style="10" customWidth="1"/>
    <col min="13571" max="13571" width="11.5546875" style="10" customWidth="1"/>
    <col min="13572" max="13572" width="11.44140625" style="10" customWidth="1"/>
    <col min="13573" max="13573" width="10.5546875" style="10" customWidth="1"/>
    <col min="13574" max="13574" width="14.88671875" style="10" customWidth="1"/>
    <col min="13575" max="13575" width="16.109375" style="10" customWidth="1"/>
    <col min="13576" max="13824" width="9.109375" style="10"/>
    <col min="13825" max="13825" width="10.88671875" style="10" customWidth="1"/>
    <col min="13826" max="13826" width="12" style="10" customWidth="1"/>
    <col min="13827" max="13827" width="11.5546875" style="10" customWidth="1"/>
    <col min="13828" max="13828" width="11.44140625" style="10" customWidth="1"/>
    <col min="13829" max="13829" width="10.5546875" style="10" customWidth="1"/>
    <col min="13830" max="13830" width="14.88671875" style="10" customWidth="1"/>
    <col min="13831" max="13831" width="16.109375" style="10" customWidth="1"/>
    <col min="13832" max="14080" width="9.109375" style="10"/>
    <col min="14081" max="14081" width="10.88671875" style="10" customWidth="1"/>
    <col min="14082" max="14082" width="12" style="10" customWidth="1"/>
    <col min="14083" max="14083" width="11.5546875" style="10" customWidth="1"/>
    <col min="14084" max="14084" width="11.44140625" style="10" customWidth="1"/>
    <col min="14085" max="14085" width="10.5546875" style="10" customWidth="1"/>
    <col min="14086" max="14086" width="14.88671875" style="10" customWidth="1"/>
    <col min="14087" max="14087" width="16.109375" style="10" customWidth="1"/>
    <col min="14088" max="14336" width="9.109375" style="10"/>
    <col min="14337" max="14337" width="10.88671875" style="10" customWidth="1"/>
    <col min="14338" max="14338" width="12" style="10" customWidth="1"/>
    <col min="14339" max="14339" width="11.5546875" style="10" customWidth="1"/>
    <col min="14340" max="14340" width="11.44140625" style="10" customWidth="1"/>
    <col min="14341" max="14341" width="10.5546875" style="10" customWidth="1"/>
    <col min="14342" max="14342" width="14.88671875" style="10" customWidth="1"/>
    <col min="14343" max="14343" width="16.109375" style="10" customWidth="1"/>
    <col min="14344" max="14592" width="9.109375" style="10"/>
    <col min="14593" max="14593" width="10.88671875" style="10" customWidth="1"/>
    <col min="14594" max="14594" width="12" style="10" customWidth="1"/>
    <col min="14595" max="14595" width="11.5546875" style="10" customWidth="1"/>
    <col min="14596" max="14596" width="11.44140625" style="10" customWidth="1"/>
    <col min="14597" max="14597" width="10.5546875" style="10" customWidth="1"/>
    <col min="14598" max="14598" width="14.88671875" style="10" customWidth="1"/>
    <col min="14599" max="14599" width="16.109375" style="10" customWidth="1"/>
    <col min="14600" max="14848" width="9.109375" style="10"/>
    <col min="14849" max="14849" width="10.88671875" style="10" customWidth="1"/>
    <col min="14850" max="14850" width="12" style="10" customWidth="1"/>
    <col min="14851" max="14851" width="11.5546875" style="10" customWidth="1"/>
    <col min="14852" max="14852" width="11.44140625" style="10" customWidth="1"/>
    <col min="14853" max="14853" width="10.5546875" style="10" customWidth="1"/>
    <col min="14854" max="14854" width="14.88671875" style="10" customWidth="1"/>
    <col min="14855" max="14855" width="16.109375" style="10" customWidth="1"/>
    <col min="14856" max="15104" width="9.109375" style="10"/>
    <col min="15105" max="15105" width="10.88671875" style="10" customWidth="1"/>
    <col min="15106" max="15106" width="12" style="10" customWidth="1"/>
    <col min="15107" max="15107" width="11.5546875" style="10" customWidth="1"/>
    <col min="15108" max="15108" width="11.44140625" style="10" customWidth="1"/>
    <col min="15109" max="15109" width="10.5546875" style="10" customWidth="1"/>
    <col min="15110" max="15110" width="14.88671875" style="10" customWidth="1"/>
    <col min="15111" max="15111" width="16.109375" style="10" customWidth="1"/>
    <col min="15112" max="15360" width="9.109375" style="10"/>
    <col min="15361" max="15361" width="10.88671875" style="10" customWidth="1"/>
    <col min="15362" max="15362" width="12" style="10" customWidth="1"/>
    <col min="15363" max="15363" width="11.5546875" style="10" customWidth="1"/>
    <col min="15364" max="15364" width="11.44140625" style="10" customWidth="1"/>
    <col min="15365" max="15365" width="10.5546875" style="10" customWidth="1"/>
    <col min="15366" max="15366" width="14.88671875" style="10" customWidth="1"/>
    <col min="15367" max="15367" width="16.109375" style="10" customWidth="1"/>
    <col min="15368" max="15616" width="9.109375" style="10"/>
    <col min="15617" max="15617" width="10.88671875" style="10" customWidth="1"/>
    <col min="15618" max="15618" width="12" style="10" customWidth="1"/>
    <col min="15619" max="15619" width="11.5546875" style="10" customWidth="1"/>
    <col min="15620" max="15620" width="11.44140625" style="10" customWidth="1"/>
    <col min="15621" max="15621" width="10.5546875" style="10" customWidth="1"/>
    <col min="15622" max="15622" width="14.88671875" style="10" customWidth="1"/>
    <col min="15623" max="15623" width="16.109375" style="10" customWidth="1"/>
    <col min="15624" max="15872" width="9.109375" style="10"/>
    <col min="15873" max="15873" width="10.88671875" style="10" customWidth="1"/>
    <col min="15874" max="15874" width="12" style="10" customWidth="1"/>
    <col min="15875" max="15875" width="11.5546875" style="10" customWidth="1"/>
    <col min="15876" max="15876" width="11.44140625" style="10" customWidth="1"/>
    <col min="15877" max="15877" width="10.5546875" style="10" customWidth="1"/>
    <col min="15878" max="15878" width="14.88671875" style="10" customWidth="1"/>
    <col min="15879" max="15879" width="16.109375" style="10" customWidth="1"/>
    <col min="15880" max="16128" width="9.109375" style="10"/>
    <col min="16129" max="16129" width="10.88671875" style="10" customWidth="1"/>
    <col min="16130" max="16130" width="12" style="10" customWidth="1"/>
    <col min="16131" max="16131" width="11.5546875" style="10" customWidth="1"/>
    <col min="16132" max="16132" width="11.44140625" style="10" customWidth="1"/>
    <col min="16133" max="16133" width="10.5546875" style="10" customWidth="1"/>
    <col min="16134" max="16134" width="14.88671875" style="10" customWidth="1"/>
    <col min="16135" max="16135" width="16.109375" style="10" customWidth="1"/>
    <col min="16136" max="16384" width="9.109375" style="10"/>
  </cols>
  <sheetData>
    <row r="1" spans="1:13">
      <c r="G1" s="2126" t="s">
        <v>360</v>
      </c>
      <c r="I1" s="10" t="s">
        <v>421</v>
      </c>
      <c r="L1" s="2127">
        <f>G44+G33+G49+П.2.2.утв.2016!G50+П.2.2.утв.2016!G49+П.2.2.утв.2016!G51</f>
        <v>829.96699999999998</v>
      </c>
    </row>
    <row r="2" spans="1:13" ht="15.6">
      <c r="A2" s="131" t="s">
        <v>1305</v>
      </c>
      <c r="B2" s="868"/>
      <c r="C2" s="868"/>
      <c r="D2" s="868"/>
      <c r="E2" s="868"/>
      <c r="F2" s="868"/>
      <c r="G2" s="868"/>
      <c r="I2" s="10" t="s">
        <v>426</v>
      </c>
      <c r="L2" s="2127">
        <f>G33+П.2.2.утв.2016!G49</f>
        <v>295.27</v>
      </c>
      <c r="M2" s="10">
        <f>L2/L1</f>
        <v>0.35576113267153991</v>
      </c>
    </row>
    <row r="3" spans="1:13" ht="12.75" customHeight="1">
      <c r="A3" s="131" t="s">
        <v>1306</v>
      </c>
      <c r="B3" s="868"/>
      <c r="C3" s="868"/>
      <c r="D3" s="868"/>
      <c r="E3" s="868"/>
      <c r="F3" s="868"/>
      <c r="G3" s="868"/>
      <c r="I3" s="10" t="s">
        <v>427</v>
      </c>
      <c r="L3" s="2127">
        <f>SUM(G34:G38)+G42+П.2.2.утв.2016!G14+П.2.2.утв.2016!G21+П.2.2.утв.2016!G29+П.2.2.утв.2016!G33+П.2.2.утв.2016!G39+П.2.2.утв.2016!G43+П.2.2.утв.2016!G48</f>
        <v>0</v>
      </c>
      <c r="M3" s="10">
        <f>L3/L1</f>
        <v>0</v>
      </c>
    </row>
    <row r="4" spans="1:13" ht="12.75" customHeight="1">
      <c r="A4" s="131" t="s">
        <v>2487</v>
      </c>
      <c r="B4" s="100"/>
      <c r="C4" s="100"/>
      <c r="D4" s="100"/>
      <c r="E4" s="100"/>
      <c r="F4" s="100"/>
      <c r="G4" s="100"/>
      <c r="I4" s="10" t="s">
        <v>422</v>
      </c>
      <c r="L4" s="2127">
        <f>G40+G41+G43+П.2.2.утв.2016!G22+П.2.2.утв.2016!G30+П.2.2.утв.2016!G34+П.2.2.утв.2016!G40+П.2.2.утв.2016!G41+П.2.2.утв.2016!G42+П.2.2.утв.2016!G44+П.2.2.утв.2016!G45+П.2.2.утв.2016!G46+П.2.2.утв.2016!G47</f>
        <v>361.66</v>
      </c>
      <c r="M4" s="10">
        <f>L4/L1</f>
        <v>0.43575226484908441</v>
      </c>
    </row>
    <row r="5" spans="1:13" ht="13.5" customHeight="1">
      <c r="A5" s="131" t="s">
        <v>670</v>
      </c>
      <c r="B5" s="100"/>
      <c r="C5" s="100"/>
      <c r="D5" s="100"/>
      <c r="E5" s="100"/>
      <c r="F5" s="100"/>
      <c r="G5" s="100"/>
      <c r="I5" s="10" t="s">
        <v>423</v>
      </c>
      <c r="L5" s="2127">
        <f>G49</f>
        <v>173.03699999999995</v>
      </c>
      <c r="M5" s="10">
        <f>L5/L1</f>
        <v>0.20848660247937562</v>
      </c>
    </row>
    <row r="6" spans="1:13" ht="12.75" customHeight="1">
      <c r="A6" s="131" t="s">
        <v>672</v>
      </c>
      <c r="B6" s="110"/>
      <c r="C6" s="110"/>
      <c r="D6" s="110"/>
      <c r="E6" s="110"/>
      <c r="F6" s="110"/>
      <c r="G6" s="110"/>
      <c r="L6" s="2127"/>
    </row>
    <row r="7" spans="1:13" ht="15.6">
      <c r="A7" s="131" t="s">
        <v>671</v>
      </c>
      <c r="B7" s="110"/>
      <c r="C7" s="110"/>
      <c r="D7" s="110"/>
      <c r="E7" s="110"/>
      <c r="F7" s="110"/>
      <c r="G7" s="110"/>
      <c r="L7" s="2663">
        <f>SUM(L2:L5)</f>
        <v>829.96699999999998</v>
      </c>
      <c r="M7" s="36">
        <f>'П.2.1.пром.+ПСХ'!L7+П.2.1.ЛОЦ!L7</f>
        <v>829.96699999999998</v>
      </c>
    </row>
    <row r="8" spans="1:13">
      <c r="A8" s="868"/>
      <c r="B8" s="110"/>
      <c r="C8" s="110"/>
      <c r="D8" s="110"/>
      <c r="E8" s="110"/>
      <c r="F8" s="110"/>
      <c r="G8" s="110"/>
      <c r="L8" s="2663"/>
    </row>
    <row r="9" spans="1:13">
      <c r="A9" s="2064" t="s">
        <v>2539</v>
      </c>
      <c r="G9" s="872" t="s">
        <v>2389</v>
      </c>
      <c r="L9" s="2664">
        <v>833</v>
      </c>
      <c r="M9" s="2664" t="s">
        <v>2510</v>
      </c>
    </row>
    <row r="10" spans="1:13" ht="79.2">
      <c r="A10" s="4320"/>
      <c r="B10" s="4322" t="s">
        <v>361</v>
      </c>
      <c r="C10" s="4322" t="s">
        <v>362</v>
      </c>
      <c r="D10" s="4322" t="s">
        <v>363</v>
      </c>
      <c r="E10" s="2727" t="s">
        <v>364</v>
      </c>
      <c r="F10" s="2727" t="s">
        <v>365</v>
      </c>
      <c r="G10" s="2727" t="s">
        <v>366</v>
      </c>
      <c r="I10" s="78"/>
      <c r="L10" s="2664">
        <v>830</v>
      </c>
      <c r="M10" s="2664" t="s">
        <v>2538</v>
      </c>
    </row>
    <row r="11" spans="1:13">
      <c r="A11" s="4321"/>
      <c r="B11" s="4323"/>
      <c r="C11" s="4323"/>
      <c r="D11" s="4323"/>
      <c r="E11" s="2727" t="s">
        <v>367</v>
      </c>
      <c r="F11" s="2727" t="s">
        <v>368</v>
      </c>
      <c r="G11" s="2727" t="s">
        <v>369</v>
      </c>
      <c r="L11" s="60"/>
    </row>
    <row r="12" spans="1:13">
      <c r="A12" s="2723">
        <v>1</v>
      </c>
      <c r="B12" s="2723">
        <f>+A12+1</f>
        <v>2</v>
      </c>
      <c r="C12" s="2723">
        <f>+B12+1</f>
        <v>3</v>
      </c>
      <c r="D12" s="2723">
        <f>+C12+1</f>
        <v>4</v>
      </c>
      <c r="E12" s="2723">
        <f>+D12+1</f>
        <v>5</v>
      </c>
      <c r="F12" s="2723">
        <f>+E12+1</f>
        <v>6</v>
      </c>
      <c r="G12" s="2723" t="s">
        <v>502</v>
      </c>
    </row>
    <row r="13" spans="1:13">
      <c r="A13" s="4312" t="s">
        <v>370</v>
      </c>
      <c r="B13" s="2722">
        <v>1150</v>
      </c>
      <c r="C13" s="2723" t="s">
        <v>338</v>
      </c>
      <c r="D13" s="2725" t="s">
        <v>371</v>
      </c>
      <c r="E13" s="2723">
        <v>800</v>
      </c>
      <c r="F13" s="2723"/>
      <c r="G13" s="2723"/>
    </row>
    <row r="14" spans="1:13">
      <c r="A14" s="4312"/>
      <c r="B14" s="2722">
        <v>750</v>
      </c>
      <c r="C14" s="2723">
        <v>1</v>
      </c>
      <c r="D14" s="2725" t="s">
        <v>371</v>
      </c>
      <c r="E14" s="2723">
        <v>600</v>
      </c>
      <c r="F14" s="2723"/>
      <c r="G14" s="2723"/>
      <c r="L14" s="60"/>
      <c r="M14" s="79"/>
    </row>
    <row r="15" spans="1:13">
      <c r="A15" s="4312"/>
      <c r="B15" s="4324" t="s">
        <v>372</v>
      </c>
      <c r="C15" s="4316">
        <v>1</v>
      </c>
      <c r="D15" s="2725" t="s">
        <v>371</v>
      </c>
      <c r="E15" s="2723">
        <v>400</v>
      </c>
      <c r="F15" s="2723"/>
      <c r="G15" s="2723"/>
      <c r="L15" s="48"/>
      <c r="M15" s="79"/>
    </row>
    <row r="16" spans="1:13">
      <c r="A16" s="4312"/>
      <c r="B16" s="4324"/>
      <c r="C16" s="4316"/>
      <c r="D16" s="2725" t="s">
        <v>373</v>
      </c>
      <c r="E16" s="2723">
        <v>300</v>
      </c>
      <c r="F16" s="2723"/>
      <c r="G16" s="2723"/>
    </row>
    <row r="17" spans="1:12">
      <c r="A17" s="4312"/>
      <c r="B17" s="4324">
        <v>330</v>
      </c>
      <c r="C17" s="4316">
        <v>1</v>
      </c>
      <c r="D17" s="2725" t="s">
        <v>371</v>
      </c>
      <c r="E17" s="2723">
        <v>230</v>
      </c>
      <c r="F17" s="2723"/>
      <c r="G17" s="2723"/>
      <c r="L17" s="60"/>
    </row>
    <row r="18" spans="1:12">
      <c r="A18" s="4312"/>
      <c r="B18" s="4324"/>
      <c r="C18" s="4316"/>
      <c r="D18" s="2725" t="s">
        <v>373</v>
      </c>
      <c r="E18" s="2723">
        <v>170</v>
      </c>
      <c r="F18" s="2723"/>
      <c r="G18" s="2723"/>
    </row>
    <row r="19" spans="1:12">
      <c r="A19" s="4312"/>
      <c r="B19" s="4324"/>
      <c r="C19" s="4316">
        <v>2</v>
      </c>
      <c r="D19" s="2725" t="s">
        <v>371</v>
      </c>
      <c r="E19" s="2723">
        <v>290</v>
      </c>
      <c r="F19" s="2723"/>
      <c r="G19" s="2723"/>
    </row>
    <row r="20" spans="1:12">
      <c r="A20" s="4312"/>
      <c r="B20" s="4324"/>
      <c r="C20" s="4316"/>
      <c r="D20" s="2725" t="s">
        <v>373</v>
      </c>
      <c r="E20" s="2723">
        <v>210</v>
      </c>
      <c r="F20" s="2707"/>
      <c r="G20" s="2707"/>
    </row>
    <row r="21" spans="1:12">
      <c r="A21" s="4312"/>
      <c r="B21" s="4325">
        <v>220</v>
      </c>
      <c r="C21" s="4312">
        <v>1</v>
      </c>
      <c r="D21" s="2725" t="s">
        <v>374</v>
      </c>
      <c r="E21" s="531">
        <v>260</v>
      </c>
      <c r="F21" s="2708"/>
      <c r="G21" s="2708"/>
    </row>
    <row r="22" spans="1:12">
      <c r="A22" s="4312"/>
      <c r="B22" s="4325"/>
      <c r="C22" s="4312"/>
      <c r="D22" s="2725" t="s">
        <v>371</v>
      </c>
      <c r="E22" s="531">
        <v>210</v>
      </c>
      <c r="F22" s="2709"/>
      <c r="G22" s="2709"/>
    </row>
    <row r="23" spans="1:12">
      <c r="A23" s="4312"/>
      <c r="B23" s="4325"/>
      <c r="C23" s="4312"/>
      <c r="D23" s="2725" t="s">
        <v>373</v>
      </c>
      <c r="E23" s="531">
        <v>140</v>
      </c>
      <c r="F23" s="2709"/>
      <c r="G23" s="2709"/>
    </row>
    <row r="24" spans="1:12">
      <c r="A24" s="4312"/>
      <c r="B24" s="4325"/>
      <c r="C24" s="4312">
        <v>2</v>
      </c>
      <c r="D24" s="2725" t="s">
        <v>371</v>
      </c>
      <c r="E24" s="531">
        <v>270</v>
      </c>
      <c r="F24" s="2709">
        <v>0.1</v>
      </c>
      <c r="G24" s="2710">
        <f>E24*F24/100</f>
        <v>0.27</v>
      </c>
    </row>
    <row r="25" spans="1:12">
      <c r="A25" s="4312"/>
      <c r="B25" s="4325"/>
      <c r="C25" s="4312"/>
      <c r="D25" s="2725" t="s">
        <v>373</v>
      </c>
      <c r="E25" s="531">
        <v>180</v>
      </c>
      <c r="F25" s="2709"/>
      <c r="G25" s="2709"/>
    </row>
    <row r="26" spans="1:12">
      <c r="A26" s="4312"/>
      <c r="B26" s="4325" t="s">
        <v>375</v>
      </c>
      <c r="C26" s="4312">
        <v>1</v>
      </c>
      <c r="D26" s="2725" t="s">
        <v>374</v>
      </c>
      <c r="E26" s="531">
        <v>180</v>
      </c>
      <c r="F26" s="2708"/>
      <c r="G26" s="2708"/>
    </row>
    <row r="27" spans="1:12">
      <c r="A27" s="4312"/>
      <c r="B27" s="4325"/>
      <c r="C27" s="4312"/>
      <c r="D27" s="2725" t="s">
        <v>371</v>
      </c>
      <c r="E27" s="531">
        <v>160</v>
      </c>
      <c r="F27" s="2709"/>
      <c r="G27" s="2711">
        <f>E27*F27/100</f>
        <v>0</v>
      </c>
    </row>
    <row r="28" spans="1:12">
      <c r="A28" s="4312"/>
      <c r="B28" s="4325"/>
      <c r="C28" s="4312"/>
      <c r="D28" s="2725" t="s">
        <v>373</v>
      </c>
      <c r="E28" s="531">
        <v>130</v>
      </c>
      <c r="F28" s="2712"/>
      <c r="G28" s="2709"/>
    </row>
    <row r="29" spans="1:12">
      <c r="A29" s="4312"/>
      <c r="B29" s="4325"/>
      <c r="C29" s="4312">
        <v>2</v>
      </c>
      <c r="D29" s="2725" t="s">
        <v>371</v>
      </c>
      <c r="E29" s="531">
        <v>190</v>
      </c>
      <c r="F29" s="2709"/>
      <c r="G29" s="2708"/>
    </row>
    <row r="30" spans="1:12">
      <c r="A30" s="4312"/>
      <c r="B30" s="4325"/>
      <c r="C30" s="4312"/>
      <c r="D30" s="2725" t="s">
        <v>373</v>
      </c>
      <c r="E30" s="531">
        <v>160</v>
      </c>
      <c r="F30" s="2712"/>
      <c r="G30" s="2709"/>
    </row>
    <row r="31" spans="1:12">
      <c r="A31" s="4312" t="s">
        <v>376</v>
      </c>
      <c r="B31" s="2724">
        <v>220</v>
      </c>
      <c r="C31" s="2723" t="s">
        <v>338</v>
      </c>
      <c r="D31" s="2723" t="s">
        <v>338</v>
      </c>
      <c r="E31" s="531">
        <v>3000</v>
      </c>
      <c r="F31" s="2712"/>
      <c r="G31" s="2709"/>
    </row>
    <row r="32" spans="1:12">
      <c r="A32" s="4312"/>
      <c r="B32" s="2724">
        <v>110</v>
      </c>
      <c r="C32" s="2723" t="s">
        <v>338</v>
      </c>
      <c r="D32" s="2723" t="s">
        <v>338</v>
      </c>
      <c r="E32" s="531">
        <v>2300</v>
      </c>
      <c r="F32" s="2712"/>
      <c r="G32" s="2709"/>
    </row>
    <row r="33" spans="1:13">
      <c r="A33" s="4312" t="s">
        <v>501</v>
      </c>
      <c r="B33" s="4312"/>
      <c r="C33" s="4312"/>
      <c r="D33" s="4312"/>
      <c r="E33" s="4312"/>
      <c r="F33" s="2711"/>
      <c r="G33" s="2710">
        <f>SUM(G13:G32)</f>
        <v>0.27</v>
      </c>
      <c r="H33" s="58"/>
      <c r="I33" s="57"/>
      <c r="J33" s="57"/>
      <c r="K33" s="57"/>
      <c r="L33" s="57"/>
    </row>
    <row r="34" spans="1:13">
      <c r="A34" s="4313" t="s">
        <v>370</v>
      </c>
      <c r="B34" s="4314">
        <v>35</v>
      </c>
      <c r="C34" s="4313">
        <v>1</v>
      </c>
      <c r="D34" s="2725" t="s">
        <v>374</v>
      </c>
      <c r="E34" s="531">
        <v>170</v>
      </c>
      <c r="F34" s="2708"/>
      <c r="G34" s="2708"/>
    </row>
    <row r="35" spans="1:13">
      <c r="A35" s="4313"/>
      <c r="B35" s="4314"/>
      <c r="C35" s="4313"/>
      <c r="D35" s="2725" t="s">
        <v>371</v>
      </c>
      <c r="E35" s="531">
        <v>140</v>
      </c>
      <c r="F35" s="2709"/>
      <c r="G35" s="2709"/>
    </row>
    <row r="36" spans="1:13">
      <c r="A36" s="4313"/>
      <c r="B36" s="4314"/>
      <c r="C36" s="4313"/>
      <c r="D36" s="2725" t="s">
        <v>373</v>
      </c>
      <c r="E36" s="531">
        <v>120</v>
      </c>
      <c r="F36" s="2709"/>
      <c r="G36" s="2710">
        <f>E36*F36/100</f>
        <v>0</v>
      </c>
    </row>
    <row r="37" spans="1:13">
      <c r="A37" s="4313"/>
      <c r="B37" s="4314"/>
      <c r="C37" s="4313">
        <v>2</v>
      </c>
      <c r="D37" s="2725" t="s">
        <v>371</v>
      </c>
      <c r="E37" s="531">
        <v>180</v>
      </c>
      <c r="F37" s="2709"/>
      <c r="G37" s="2710">
        <f>E37*F37/100</f>
        <v>0</v>
      </c>
    </row>
    <row r="38" spans="1:13">
      <c r="A38" s="4313"/>
      <c r="B38" s="4314"/>
      <c r="C38" s="4313"/>
      <c r="D38" s="2725" t="s">
        <v>373</v>
      </c>
      <c r="E38" s="531">
        <v>150</v>
      </c>
      <c r="F38" s="2709"/>
      <c r="G38" s="2709"/>
    </row>
    <row r="39" spans="1:13">
      <c r="A39" s="4313"/>
      <c r="B39" s="4315" t="s">
        <v>377</v>
      </c>
      <c r="C39" s="4316" t="s">
        <v>338</v>
      </c>
      <c r="D39" s="531" t="s">
        <v>374</v>
      </c>
      <c r="E39" s="531">
        <v>160</v>
      </c>
      <c r="F39" s="2709"/>
      <c r="G39" s="2709"/>
    </row>
    <row r="40" spans="1:13" ht="26.4">
      <c r="A40" s="4313"/>
      <c r="B40" s="4315"/>
      <c r="C40" s="4316"/>
      <c r="D40" s="540" t="s">
        <v>378</v>
      </c>
      <c r="E40" s="531">
        <v>140</v>
      </c>
      <c r="F40" s="2709"/>
      <c r="G40" s="2713">
        <f>E40*F40/100</f>
        <v>0</v>
      </c>
    </row>
    <row r="41" spans="1:13" ht="26.4">
      <c r="A41" s="4313"/>
      <c r="B41" s="4315"/>
      <c r="C41" s="4316"/>
      <c r="D41" s="540" t="s">
        <v>379</v>
      </c>
      <c r="E41" s="531">
        <v>110</v>
      </c>
      <c r="F41" s="2716">
        <v>5</v>
      </c>
      <c r="G41" s="2713">
        <f>E41*F41/100</f>
        <v>5.5</v>
      </c>
      <c r="J41" s="2129" t="s">
        <v>1608</v>
      </c>
      <c r="K41" s="201"/>
      <c r="L41" s="201"/>
      <c r="M41" s="201"/>
    </row>
    <row r="42" spans="1:13">
      <c r="A42" s="4317" t="s">
        <v>376</v>
      </c>
      <c r="B42" s="2724" t="s">
        <v>380</v>
      </c>
      <c r="C42" s="2723" t="s">
        <v>338</v>
      </c>
      <c r="D42" s="2723" t="s">
        <v>338</v>
      </c>
      <c r="E42" s="531">
        <v>470</v>
      </c>
      <c r="F42" s="531"/>
      <c r="G42" s="531"/>
      <c r="J42" s="2129"/>
      <c r="K42" s="201"/>
      <c r="L42" s="201"/>
      <c r="M42" s="201"/>
    </row>
    <row r="43" spans="1:13">
      <c r="A43" s="4317"/>
      <c r="B43" s="542" t="s">
        <v>381</v>
      </c>
      <c r="C43" s="543" t="s">
        <v>338</v>
      </c>
      <c r="D43" s="543" t="s">
        <v>338</v>
      </c>
      <c r="E43" s="534">
        <v>350</v>
      </c>
      <c r="F43" s="2303">
        <f>19.01+1.7+1.45</f>
        <v>22.16</v>
      </c>
      <c r="G43" s="541">
        <f>E43*F43/100</f>
        <v>77.56</v>
      </c>
      <c r="J43" s="2129"/>
      <c r="K43" s="201">
        <f>100.2+100+130+100+200+140+140+100+200+180+100+200+100+600+250+250+100+250+100+270+50+100+70+100+70+120+100+100</f>
        <v>4320.2</v>
      </c>
      <c r="L43" s="201"/>
      <c r="M43" s="201"/>
    </row>
    <row r="44" spans="1:13">
      <c r="A44" s="4318" t="s">
        <v>382</v>
      </c>
      <c r="B44" s="4318"/>
      <c r="C44" s="4318"/>
      <c r="D44" s="4318"/>
      <c r="E44" s="4318"/>
      <c r="F44" s="535"/>
      <c r="G44" s="541">
        <f>SUM(G34:G43)</f>
        <v>83.06</v>
      </c>
      <c r="H44" s="59"/>
      <c r="J44" s="2129"/>
      <c r="K44" s="201"/>
      <c r="L44" s="201"/>
      <c r="M44" s="201"/>
    </row>
    <row r="45" spans="1:13">
      <c r="A45" s="4313" t="s">
        <v>370</v>
      </c>
      <c r="B45" s="4319" t="s">
        <v>383</v>
      </c>
      <c r="C45" s="4313" t="s">
        <v>338</v>
      </c>
      <c r="D45" s="531" t="s">
        <v>374</v>
      </c>
      <c r="E45" s="531">
        <v>260</v>
      </c>
      <c r="F45" s="531"/>
      <c r="G45" s="531"/>
      <c r="J45" s="2129"/>
      <c r="K45" s="201"/>
      <c r="L45" s="201"/>
      <c r="M45" s="201"/>
    </row>
    <row r="46" spans="1:13" ht="26.4">
      <c r="A46" s="4313"/>
      <c r="B46" s="4319"/>
      <c r="C46" s="4313"/>
      <c r="D46" s="540" t="s">
        <v>378</v>
      </c>
      <c r="E46" s="531">
        <v>220</v>
      </c>
      <c r="F46" s="531"/>
      <c r="G46" s="541">
        <f>E46*F46/100</f>
        <v>0</v>
      </c>
      <c r="J46" s="2129"/>
      <c r="K46" s="201"/>
      <c r="L46" s="201"/>
      <c r="M46" s="201"/>
    </row>
    <row r="47" spans="1:13" ht="26.4">
      <c r="A47" s="4313"/>
      <c r="B47" s="4319"/>
      <c r="C47" s="4313"/>
      <c r="D47" s="540" t="s">
        <v>379</v>
      </c>
      <c r="E47" s="531">
        <v>150</v>
      </c>
      <c r="F47" s="2130">
        <f>0.5+1.8</f>
        <v>2.2999999999999998</v>
      </c>
      <c r="G47" s="541">
        <f>E47*F47/100</f>
        <v>3.45</v>
      </c>
      <c r="J47" s="2129" t="s">
        <v>1608</v>
      </c>
      <c r="K47" s="201"/>
      <c r="L47" s="201"/>
      <c r="M47" s="201"/>
    </row>
    <row r="48" spans="1:13">
      <c r="A48" s="2725" t="s">
        <v>376</v>
      </c>
      <c r="B48" s="2726" t="s">
        <v>384</v>
      </c>
      <c r="C48" s="2723" t="s">
        <v>338</v>
      </c>
      <c r="D48" s="2723" t="s">
        <v>338</v>
      </c>
      <c r="E48" s="531">
        <v>270</v>
      </c>
      <c r="F48" s="2304">
        <f>62.46+0.15+0.08+0.12</f>
        <v>62.809999999999995</v>
      </c>
      <c r="G48" s="541">
        <f>E48*F48/100</f>
        <v>169.58699999999996</v>
      </c>
      <c r="K48" s="201"/>
      <c r="L48" s="201"/>
      <c r="M48" s="201"/>
    </row>
    <row r="49" spans="1:12">
      <c r="A49" s="4311" t="s">
        <v>387</v>
      </c>
      <c r="B49" s="4311"/>
      <c r="C49" s="4311"/>
      <c r="D49" s="4311"/>
      <c r="E49" s="4311"/>
      <c r="F49" s="4311"/>
      <c r="G49" s="541">
        <f>G45+G46+G47+G48</f>
        <v>173.03699999999995</v>
      </c>
      <c r="J49" s="2131">
        <f>G33+G44+G49</f>
        <v>256.36699999999996</v>
      </c>
      <c r="K49" s="132"/>
      <c r="L49" s="2131"/>
    </row>
    <row r="50" spans="1:12">
      <c r="A50" s="50"/>
      <c r="B50" s="51"/>
      <c r="C50" s="50"/>
      <c r="D50" s="5"/>
      <c r="E50" s="5"/>
      <c r="F50" s="5"/>
      <c r="G50" s="5"/>
      <c r="J50" s="78"/>
      <c r="K50" s="78"/>
      <c r="L50" s="78"/>
    </row>
    <row r="51" spans="1:12" ht="9.75" customHeight="1"/>
    <row r="52" spans="1:12" s="776" customFormat="1" ht="23.25" customHeight="1">
      <c r="A52" s="839" t="s">
        <v>1266</v>
      </c>
      <c r="B52" s="774"/>
      <c r="C52" s="775"/>
      <c r="H52" s="2068"/>
    </row>
    <row r="53" spans="1:12" s="776" customFormat="1" ht="15" customHeight="1">
      <c r="A53" s="839" t="s">
        <v>1304</v>
      </c>
      <c r="B53" s="778"/>
      <c r="C53" s="775"/>
      <c r="G53" s="779" t="s">
        <v>1268</v>
      </c>
    </row>
    <row r="54" spans="1:12" s="52" customFormat="1">
      <c r="F54" s="53"/>
    </row>
    <row r="55" spans="1:12" s="52" customFormat="1">
      <c r="A55" s="98"/>
      <c r="F55" s="53"/>
    </row>
    <row r="56" spans="1:12" s="52" customFormat="1">
      <c r="A56" s="98"/>
      <c r="F56" s="53"/>
    </row>
  </sheetData>
  <mergeCells count="30">
    <mergeCell ref="A10:A11"/>
    <mergeCell ref="B10:B11"/>
    <mergeCell ref="C10:C11"/>
    <mergeCell ref="D10:D11"/>
    <mergeCell ref="A13:A30"/>
    <mergeCell ref="B15:B16"/>
    <mergeCell ref="C15:C16"/>
    <mergeCell ref="B17:B20"/>
    <mergeCell ref="C17:C18"/>
    <mergeCell ref="C19:C20"/>
    <mergeCell ref="B21:B25"/>
    <mergeCell ref="C21:C23"/>
    <mergeCell ref="C24:C25"/>
    <mergeCell ref="B26:B30"/>
    <mergeCell ref="C26:C28"/>
    <mergeCell ref="C29:C30"/>
    <mergeCell ref="A49:F49"/>
    <mergeCell ref="A31:A32"/>
    <mergeCell ref="A33:E33"/>
    <mergeCell ref="A34:A41"/>
    <mergeCell ref="B34:B38"/>
    <mergeCell ref="C34:C36"/>
    <mergeCell ref="C37:C38"/>
    <mergeCell ref="B39:B41"/>
    <mergeCell ref="C39:C41"/>
    <mergeCell ref="A42:A43"/>
    <mergeCell ref="A44:E44"/>
    <mergeCell ref="A45:A47"/>
    <mergeCell ref="B45:B47"/>
    <mergeCell ref="C45:C47"/>
  </mergeCells>
  <printOptions horizontalCentered="1"/>
  <pageMargins left="0.78740157480314965" right="0.78740157480314965" top="0.78740157480314965" bottom="0.11811023622047245" header="0.51181102362204722" footer="3.937007874015748E-2"/>
  <pageSetup paperSize="9" scale="90" orientation="portrait" r:id="rId1"/>
  <headerFooter alignWithMargins="0"/>
  <colBreaks count="1" manualBreakCount="1">
    <brk id="7" max="1048575" man="1"/>
  </colBreaks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3">
    <tabColor rgb="FFCCFF66"/>
  </sheetPr>
  <dimension ref="A1:L71"/>
  <sheetViews>
    <sheetView workbookViewId="0">
      <pane xSplit="3" ySplit="7" topLeftCell="D32" activePane="bottomRight" state="frozenSplit"/>
      <selection activeCell="M38" sqref="M38"/>
      <selection pane="topRight" activeCell="M38" sqref="M38"/>
      <selection pane="bottomLeft" activeCell="M38" sqref="M38"/>
      <selection pane="bottomRight" activeCell="M38" sqref="M38"/>
    </sheetView>
  </sheetViews>
  <sheetFormatPr defaultRowHeight="13.2"/>
  <cols>
    <col min="1" max="1" width="11.5546875" style="10" customWidth="1"/>
    <col min="2" max="2" width="18" style="10" customWidth="1"/>
    <col min="3" max="3" width="12.88671875" style="10" customWidth="1"/>
    <col min="4" max="4" width="12.33203125" style="10" customWidth="1"/>
    <col min="5" max="5" width="11" style="10" customWidth="1"/>
    <col min="6" max="6" width="10.5546875" style="10" customWidth="1"/>
    <col min="7" max="8" width="9.109375" style="10"/>
    <col min="9" max="14" width="0" style="10" hidden="1" customWidth="1"/>
    <col min="15" max="257" width="9.109375" style="10"/>
    <col min="258" max="258" width="18" style="10" customWidth="1"/>
    <col min="259" max="259" width="12.88671875" style="10" customWidth="1"/>
    <col min="260" max="260" width="12.33203125" style="10" customWidth="1"/>
    <col min="261" max="261" width="11" style="10" customWidth="1"/>
    <col min="262" max="262" width="10.5546875" style="10" customWidth="1"/>
    <col min="263" max="513" width="9.109375" style="10"/>
    <col min="514" max="514" width="18" style="10" customWidth="1"/>
    <col min="515" max="515" width="12.88671875" style="10" customWidth="1"/>
    <col min="516" max="516" width="12.33203125" style="10" customWidth="1"/>
    <col min="517" max="517" width="11" style="10" customWidth="1"/>
    <col min="518" max="518" width="10.5546875" style="10" customWidth="1"/>
    <col min="519" max="769" width="9.109375" style="10"/>
    <col min="770" max="770" width="18" style="10" customWidth="1"/>
    <col min="771" max="771" width="12.88671875" style="10" customWidth="1"/>
    <col min="772" max="772" width="12.33203125" style="10" customWidth="1"/>
    <col min="773" max="773" width="11" style="10" customWidth="1"/>
    <col min="774" max="774" width="10.5546875" style="10" customWidth="1"/>
    <col min="775" max="1025" width="9.109375" style="10"/>
    <col min="1026" max="1026" width="18" style="10" customWidth="1"/>
    <col min="1027" max="1027" width="12.88671875" style="10" customWidth="1"/>
    <col min="1028" max="1028" width="12.33203125" style="10" customWidth="1"/>
    <col min="1029" max="1029" width="11" style="10" customWidth="1"/>
    <col min="1030" max="1030" width="10.5546875" style="10" customWidth="1"/>
    <col min="1031" max="1281" width="9.109375" style="10"/>
    <col min="1282" max="1282" width="18" style="10" customWidth="1"/>
    <col min="1283" max="1283" width="12.88671875" style="10" customWidth="1"/>
    <col min="1284" max="1284" width="12.33203125" style="10" customWidth="1"/>
    <col min="1285" max="1285" width="11" style="10" customWidth="1"/>
    <col min="1286" max="1286" width="10.5546875" style="10" customWidth="1"/>
    <col min="1287" max="1537" width="9.109375" style="10"/>
    <col min="1538" max="1538" width="18" style="10" customWidth="1"/>
    <col min="1539" max="1539" width="12.88671875" style="10" customWidth="1"/>
    <col min="1540" max="1540" width="12.33203125" style="10" customWidth="1"/>
    <col min="1541" max="1541" width="11" style="10" customWidth="1"/>
    <col min="1542" max="1542" width="10.5546875" style="10" customWidth="1"/>
    <col min="1543" max="1793" width="9.109375" style="10"/>
    <col min="1794" max="1794" width="18" style="10" customWidth="1"/>
    <col min="1795" max="1795" width="12.88671875" style="10" customWidth="1"/>
    <col min="1796" max="1796" width="12.33203125" style="10" customWidth="1"/>
    <col min="1797" max="1797" width="11" style="10" customWidth="1"/>
    <col min="1798" max="1798" width="10.5546875" style="10" customWidth="1"/>
    <col min="1799" max="2049" width="9.109375" style="10"/>
    <col min="2050" max="2050" width="18" style="10" customWidth="1"/>
    <col min="2051" max="2051" width="12.88671875" style="10" customWidth="1"/>
    <col min="2052" max="2052" width="12.33203125" style="10" customWidth="1"/>
    <col min="2053" max="2053" width="11" style="10" customWidth="1"/>
    <col min="2054" max="2054" width="10.5546875" style="10" customWidth="1"/>
    <col min="2055" max="2305" width="9.109375" style="10"/>
    <col min="2306" max="2306" width="18" style="10" customWidth="1"/>
    <col min="2307" max="2307" width="12.88671875" style="10" customWidth="1"/>
    <col min="2308" max="2308" width="12.33203125" style="10" customWidth="1"/>
    <col min="2309" max="2309" width="11" style="10" customWidth="1"/>
    <col min="2310" max="2310" width="10.5546875" style="10" customWidth="1"/>
    <col min="2311" max="2561" width="9.109375" style="10"/>
    <col min="2562" max="2562" width="18" style="10" customWidth="1"/>
    <col min="2563" max="2563" width="12.88671875" style="10" customWidth="1"/>
    <col min="2564" max="2564" width="12.33203125" style="10" customWidth="1"/>
    <col min="2565" max="2565" width="11" style="10" customWidth="1"/>
    <col min="2566" max="2566" width="10.5546875" style="10" customWidth="1"/>
    <col min="2567" max="2817" width="9.109375" style="10"/>
    <col min="2818" max="2818" width="18" style="10" customWidth="1"/>
    <col min="2819" max="2819" width="12.88671875" style="10" customWidth="1"/>
    <col min="2820" max="2820" width="12.33203125" style="10" customWidth="1"/>
    <col min="2821" max="2821" width="11" style="10" customWidth="1"/>
    <col min="2822" max="2822" width="10.5546875" style="10" customWidth="1"/>
    <col min="2823" max="3073" width="9.109375" style="10"/>
    <col min="3074" max="3074" width="18" style="10" customWidth="1"/>
    <col min="3075" max="3075" width="12.88671875" style="10" customWidth="1"/>
    <col min="3076" max="3076" width="12.33203125" style="10" customWidth="1"/>
    <col min="3077" max="3077" width="11" style="10" customWidth="1"/>
    <col min="3078" max="3078" width="10.5546875" style="10" customWidth="1"/>
    <col min="3079" max="3329" width="9.109375" style="10"/>
    <col min="3330" max="3330" width="18" style="10" customWidth="1"/>
    <col min="3331" max="3331" width="12.88671875" style="10" customWidth="1"/>
    <col min="3332" max="3332" width="12.33203125" style="10" customWidth="1"/>
    <col min="3333" max="3333" width="11" style="10" customWidth="1"/>
    <col min="3334" max="3334" width="10.5546875" style="10" customWidth="1"/>
    <col min="3335" max="3585" width="9.109375" style="10"/>
    <col min="3586" max="3586" width="18" style="10" customWidth="1"/>
    <col min="3587" max="3587" width="12.88671875" style="10" customWidth="1"/>
    <col min="3588" max="3588" width="12.33203125" style="10" customWidth="1"/>
    <col min="3589" max="3589" width="11" style="10" customWidth="1"/>
    <col min="3590" max="3590" width="10.5546875" style="10" customWidth="1"/>
    <col min="3591" max="3841" width="9.109375" style="10"/>
    <col min="3842" max="3842" width="18" style="10" customWidth="1"/>
    <col min="3843" max="3843" width="12.88671875" style="10" customWidth="1"/>
    <col min="3844" max="3844" width="12.33203125" style="10" customWidth="1"/>
    <col min="3845" max="3845" width="11" style="10" customWidth="1"/>
    <col min="3846" max="3846" width="10.5546875" style="10" customWidth="1"/>
    <col min="3847" max="4097" width="9.109375" style="10"/>
    <col min="4098" max="4098" width="18" style="10" customWidth="1"/>
    <col min="4099" max="4099" width="12.88671875" style="10" customWidth="1"/>
    <col min="4100" max="4100" width="12.33203125" style="10" customWidth="1"/>
    <col min="4101" max="4101" width="11" style="10" customWidth="1"/>
    <col min="4102" max="4102" width="10.5546875" style="10" customWidth="1"/>
    <col min="4103" max="4353" width="9.109375" style="10"/>
    <col min="4354" max="4354" width="18" style="10" customWidth="1"/>
    <col min="4355" max="4355" width="12.88671875" style="10" customWidth="1"/>
    <col min="4356" max="4356" width="12.33203125" style="10" customWidth="1"/>
    <col min="4357" max="4357" width="11" style="10" customWidth="1"/>
    <col min="4358" max="4358" width="10.5546875" style="10" customWidth="1"/>
    <col min="4359" max="4609" width="9.109375" style="10"/>
    <col min="4610" max="4610" width="18" style="10" customWidth="1"/>
    <col min="4611" max="4611" width="12.88671875" style="10" customWidth="1"/>
    <col min="4612" max="4612" width="12.33203125" style="10" customWidth="1"/>
    <col min="4613" max="4613" width="11" style="10" customWidth="1"/>
    <col min="4614" max="4614" width="10.5546875" style="10" customWidth="1"/>
    <col min="4615" max="4865" width="9.109375" style="10"/>
    <col min="4866" max="4866" width="18" style="10" customWidth="1"/>
    <col min="4867" max="4867" width="12.88671875" style="10" customWidth="1"/>
    <col min="4868" max="4868" width="12.33203125" style="10" customWidth="1"/>
    <col min="4869" max="4869" width="11" style="10" customWidth="1"/>
    <col min="4870" max="4870" width="10.5546875" style="10" customWidth="1"/>
    <col min="4871" max="5121" width="9.109375" style="10"/>
    <col min="5122" max="5122" width="18" style="10" customWidth="1"/>
    <col min="5123" max="5123" width="12.88671875" style="10" customWidth="1"/>
    <col min="5124" max="5124" width="12.33203125" style="10" customWidth="1"/>
    <col min="5125" max="5125" width="11" style="10" customWidth="1"/>
    <col min="5126" max="5126" width="10.5546875" style="10" customWidth="1"/>
    <col min="5127" max="5377" width="9.109375" style="10"/>
    <col min="5378" max="5378" width="18" style="10" customWidth="1"/>
    <col min="5379" max="5379" width="12.88671875" style="10" customWidth="1"/>
    <col min="5380" max="5380" width="12.33203125" style="10" customWidth="1"/>
    <col min="5381" max="5381" width="11" style="10" customWidth="1"/>
    <col min="5382" max="5382" width="10.5546875" style="10" customWidth="1"/>
    <col min="5383" max="5633" width="9.109375" style="10"/>
    <col min="5634" max="5634" width="18" style="10" customWidth="1"/>
    <col min="5635" max="5635" width="12.88671875" style="10" customWidth="1"/>
    <col min="5636" max="5636" width="12.33203125" style="10" customWidth="1"/>
    <col min="5637" max="5637" width="11" style="10" customWidth="1"/>
    <col min="5638" max="5638" width="10.5546875" style="10" customWidth="1"/>
    <col min="5639" max="5889" width="9.109375" style="10"/>
    <col min="5890" max="5890" width="18" style="10" customWidth="1"/>
    <col min="5891" max="5891" width="12.88671875" style="10" customWidth="1"/>
    <col min="5892" max="5892" width="12.33203125" style="10" customWidth="1"/>
    <col min="5893" max="5893" width="11" style="10" customWidth="1"/>
    <col min="5894" max="5894" width="10.5546875" style="10" customWidth="1"/>
    <col min="5895" max="6145" width="9.109375" style="10"/>
    <col min="6146" max="6146" width="18" style="10" customWidth="1"/>
    <col min="6147" max="6147" width="12.88671875" style="10" customWidth="1"/>
    <col min="6148" max="6148" width="12.33203125" style="10" customWidth="1"/>
    <col min="6149" max="6149" width="11" style="10" customWidth="1"/>
    <col min="6150" max="6150" width="10.5546875" style="10" customWidth="1"/>
    <col min="6151" max="6401" width="9.109375" style="10"/>
    <col min="6402" max="6402" width="18" style="10" customWidth="1"/>
    <col min="6403" max="6403" width="12.88671875" style="10" customWidth="1"/>
    <col min="6404" max="6404" width="12.33203125" style="10" customWidth="1"/>
    <col min="6405" max="6405" width="11" style="10" customWidth="1"/>
    <col min="6406" max="6406" width="10.5546875" style="10" customWidth="1"/>
    <col min="6407" max="6657" width="9.109375" style="10"/>
    <col min="6658" max="6658" width="18" style="10" customWidth="1"/>
    <col min="6659" max="6659" width="12.88671875" style="10" customWidth="1"/>
    <col min="6660" max="6660" width="12.33203125" style="10" customWidth="1"/>
    <col min="6661" max="6661" width="11" style="10" customWidth="1"/>
    <col min="6662" max="6662" width="10.5546875" style="10" customWidth="1"/>
    <col min="6663" max="6913" width="9.109375" style="10"/>
    <col min="6914" max="6914" width="18" style="10" customWidth="1"/>
    <col min="6915" max="6915" width="12.88671875" style="10" customWidth="1"/>
    <col min="6916" max="6916" width="12.33203125" style="10" customWidth="1"/>
    <col min="6917" max="6917" width="11" style="10" customWidth="1"/>
    <col min="6918" max="6918" width="10.5546875" style="10" customWidth="1"/>
    <col min="6919" max="7169" width="9.109375" style="10"/>
    <col min="7170" max="7170" width="18" style="10" customWidth="1"/>
    <col min="7171" max="7171" width="12.88671875" style="10" customWidth="1"/>
    <col min="7172" max="7172" width="12.33203125" style="10" customWidth="1"/>
    <col min="7173" max="7173" width="11" style="10" customWidth="1"/>
    <col min="7174" max="7174" width="10.5546875" style="10" customWidth="1"/>
    <col min="7175" max="7425" width="9.109375" style="10"/>
    <col min="7426" max="7426" width="18" style="10" customWidth="1"/>
    <col min="7427" max="7427" width="12.88671875" style="10" customWidth="1"/>
    <col min="7428" max="7428" width="12.33203125" style="10" customWidth="1"/>
    <col min="7429" max="7429" width="11" style="10" customWidth="1"/>
    <col min="7430" max="7430" width="10.5546875" style="10" customWidth="1"/>
    <col min="7431" max="7681" width="9.109375" style="10"/>
    <col min="7682" max="7682" width="18" style="10" customWidth="1"/>
    <col min="7683" max="7683" width="12.88671875" style="10" customWidth="1"/>
    <col min="7684" max="7684" width="12.33203125" style="10" customWidth="1"/>
    <col min="7685" max="7685" width="11" style="10" customWidth="1"/>
    <col min="7686" max="7686" width="10.5546875" style="10" customWidth="1"/>
    <col min="7687" max="7937" width="9.109375" style="10"/>
    <col min="7938" max="7938" width="18" style="10" customWidth="1"/>
    <col min="7939" max="7939" width="12.88671875" style="10" customWidth="1"/>
    <col min="7940" max="7940" width="12.33203125" style="10" customWidth="1"/>
    <col min="7941" max="7941" width="11" style="10" customWidth="1"/>
    <col min="7942" max="7942" width="10.5546875" style="10" customWidth="1"/>
    <col min="7943" max="8193" width="9.109375" style="10"/>
    <col min="8194" max="8194" width="18" style="10" customWidth="1"/>
    <col min="8195" max="8195" width="12.88671875" style="10" customWidth="1"/>
    <col min="8196" max="8196" width="12.33203125" style="10" customWidth="1"/>
    <col min="8197" max="8197" width="11" style="10" customWidth="1"/>
    <col min="8198" max="8198" width="10.5546875" style="10" customWidth="1"/>
    <col min="8199" max="8449" width="9.109375" style="10"/>
    <col min="8450" max="8450" width="18" style="10" customWidth="1"/>
    <col min="8451" max="8451" width="12.88671875" style="10" customWidth="1"/>
    <col min="8452" max="8452" width="12.33203125" style="10" customWidth="1"/>
    <col min="8453" max="8453" width="11" style="10" customWidth="1"/>
    <col min="8454" max="8454" width="10.5546875" style="10" customWidth="1"/>
    <col min="8455" max="8705" width="9.109375" style="10"/>
    <col min="8706" max="8706" width="18" style="10" customWidth="1"/>
    <col min="8707" max="8707" width="12.88671875" style="10" customWidth="1"/>
    <col min="8708" max="8708" width="12.33203125" style="10" customWidth="1"/>
    <col min="8709" max="8709" width="11" style="10" customWidth="1"/>
    <col min="8710" max="8710" width="10.5546875" style="10" customWidth="1"/>
    <col min="8711" max="8961" width="9.109375" style="10"/>
    <col min="8962" max="8962" width="18" style="10" customWidth="1"/>
    <col min="8963" max="8963" width="12.88671875" style="10" customWidth="1"/>
    <col min="8964" max="8964" width="12.33203125" style="10" customWidth="1"/>
    <col min="8965" max="8965" width="11" style="10" customWidth="1"/>
    <col min="8966" max="8966" width="10.5546875" style="10" customWidth="1"/>
    <col min="8967" max="9217" width="9.109375" style="10"/>
    <col min="9218" max="9218" width="18" style="10" customWidth="1"/>
    <col min="9219" max="9219" width="12.88671875" style="10" customWidth="1"/>
    <col min="9220" max="9220" width="12.33203125" style="10" customWidth="1"/>
    <col min="9221" max="9221" width="11" style="10" customWidth="1"/>
    <col min="9222" max="9222" width="10.5546875" style="10" customWidth="1"/>
    <col min="9223" max="9473" width="9.109375" style="10"/>
    <col min="9474" max="9474" width="18" style="10" customWidth="1"/>
    <col min="9475" max="9475" width="12.88671875" style="10" customWidth="1"/>
    <col min="9476" max="9476" width="12.33203125" style="10" customWidth="1"/>
    <col min="9477" max="9477" width="11" style="10" customWidth="1"/>
    <col min="9478" max="9478" width="10.5546875" style="10" customWidth="1"/>
    <col min="9479" max="9729" width="9.109375" style="10"/>
    <col min="9730" max="9730" width="18" style="10" customWidth="1"/>
    <col min="9731" max="9731" width="12.88671875" style="10" customWidth="1"/>
    <col min="9732" max="9732" width="12.33203125" style="10" customWidth="1"/>
    <col min="9733" max="9733" width="11" style="10" customWidth="1"/>
    <col min="9734" max="9734" width="10.5546875" style="10" customWidth="1"/>
    <col min="9735" max="9985" width="9.109375" style="10"/>
    <col min="9986" max="9986" width="18" style="10" customWidth="1"/>
    <col min="9987" max="9987" width="12.88671875" style="10" customWidth="1"/>
    <col min="9988" max="9988" width="12.33203125" style="10" customWidth="1"/>
    <col min="9989" max="9989" width="11" style="10" customWidth="1"/>
    <col min="9990" max="9990" width="10.5546875" style="10" customWidth="1"/>
    <col min="9991" max="10241" width="9.109375" style="10"/>
    <col min="10242" max="10242" width="18" style="10" customWidth="1"/>
    <col min="10243" max="10243" width="12.88671875" style="10" customWidth="1"/>
    <col min="10244" max="10244" width="12.33203125" style="10" customWidth="1"/>
    <col min="10245" max="10245" width="11" style="10" customWidth="1"/>
    <col min="10246" max="10246" width="10.5546875" style="10" customWidth="1"/>
    <col min="10247" max="10497" width="9.109375" style="10"/>
    <col min="10498" max="10498" width="18" style="10" customWidth="1"/>
    <col min="10499" max="10499" width="12.88671875" style="10" customWidth="1"/>
    <col min="10500" max="10500" width="12.33203125" style="10" customWidth="1"/>
    <col min="10501" max="10501" width="11" style="10" customWidth="1"/>
    <col min="10502" max="10502" width="10.5546875" style="10" customWidth="1"/>
    <col min="10503" max="10753" width="9.109375" style="10"/>
    <col min="10754" max="10754" width="18" style="10" customWidth="1"/>
    <col min="10755" max="10755" width="12.88671875" style="10" customWidth="1"/>
    <col min="10756" max="10756" width="12.33203125" style="10" customWidth="1"/>
    <col min="10757" max="10757" width="11" style="10" customWidth="1"/>
    <col min="10758" max="10758" width="10.5546875" style="10" customWidth="1"/>
    <col min="10759" max="11009" width="9.109375" style="10"/>
    <col min="11010" max="11010" width="18" style="10" customWidth="1"/>
    <col min="11011" max="11011" width="12.88671875" style="10" customWidth="1"/>
    <col min="11012" max="11012" width="12.33203125" style="10" customWidth="1"/>
    <col min="11013" max="11013" width="11" style="10" customWidth="1"/>
    <col min="11014" max="11014" width="10.5546875" style="10" customWidth="1"/>
    <col min="11015" max="11265" width="9.109375" style="10"/>
    <col min="11266" max="11266" width="18" style="10" customWidth="1"/>
    <col min="11267" max="11267" width="12.88671875" style="10" customWidth="1"/>
    <col min="11268" max="11268" width="12.33203125" style="10" customWidth="1"/>
    <col min="11269" max="11269" width="11" style="10" customWidth="1"/>
    <col min="11270" max="11270" width="10.5546875" style="10" customWidth="1"/>
    <col min="11271" max="11521" width="9.109375" style="10"/>
    <col min="11522" max="11522" width="18" style="10" customWidth="1"/>
    <col min="11523" max="11523" width="12.88671875" style="10" customWidth="1"/>
    <col min="11524" max="11524" width="12.33203125" style="10" customWidth="1"/>
    <col min="11525" max="11525" width="11" style="10" customWidth="1"/>
    <col min="11526" max="11526" width="10.5546875" style="10" customWidth="1"/>
    <col min="11527" max="11777" width="9.109375" style="10"/>
    <col min="11778" max="11778" width="18" style="10" customWidth="1"/>
    <col min="11779" max="11779" width="12.88671875" style="10" customWidth="1"/>
    <col min="11780" max="11780" width="12.33203125" style="10" customWidth="1"/>
    <col min="11781" max="11781" width="11" style="10" customWidth="1"/>
    <col min="11782" max="11782" width="10.5546875" style="10" customWidth="1"/>
    <col min="11783" max="12033" width="9.109375" style="10"/>
    <col min="12034" max="12034" width="18" style="10" customWidth="1"/>
    <col min="12035" max="12035" width="12.88671875" style="10" customWidth="1"/>
    <col min="12036" max="12036" width="12.33203125" style="10" customWidth="1"/>
    <col min="12037" max="12037" width="11" style="10" customWidth="1"/>
    <col min="12038" max="12038" width="10.5546875" style="10" customWidth="1"/>
    <col min="12039" max="12289" width="9.109375" style="10"/>
    <col min="12290" max="12290" width="18" style="10" customWidth="1"/>
    <col min="12291" max="12291" width="12.88671875" style="10" customWidth="1"/>
    <col min="12292" max="12292" width="12.33203125" style="10" customWidth="1"/>
    <col min="12293" max="12293" width="11" style="10" customWidth="1"/>
    <col min="12294" max="12294" width="10.5546875" style="10" customWidth="1"/>
    <col min="12295" max="12545" width="9.109375" style="10"/>
    <col min="12546" max="12546" width="18" style="10" customWidth="1"/>
    <col min="12547" max="12547" width="12.88671875" style="10" customWidth="1"/>
    <col min="12548" max="12548" width="12.33203125" style="10" customWidth="1"/>
    <col min="12549" max="12549" width="11" style="10" customWidth="1"/>
    <col min="12550" max="12550" width="10.5546875" style="10" customWidth="1"/>
    <col min="12551" max="12801" width="9.109375" style="10"/>
    <col min="12802" max="12802" width="18" style="10" customWidth="1"/>
    <col min="12803" max="12803" width="12.88671875" style="10" customWidth="1"/>
    <col min="12804" max="12804" width="12.33203125" style="10" customWidth="1"/>
    <col min="12805" max="12805" width="11" style="10" customWidth="1"/>
    <col min="12806" max="12806" width="10.5546875" style="10" customWidth="1"/>
    <col min="12807" max="13057" width="9.109375" style="10"/>
    <col min="13058" max="13058" width="18" style="10" customWidth="1"/>
    <col min="13059" max="13059" width="12.88671875" style="10" customWidth="1"/>
    <col min="13060" max="13060" width="12.33203125" style="10" customWidth="1"/>
    <col min="13061" max="13061" width="11" style="10" customWidth="1"/>
    <col min="13062" max="13062" width="10.5546875" style="10" customWidth="1"/>
    <col min="13063" max="13313" width="9.109375" style="10"/>
    <col min="13314" max="13314" width="18" style="10" customWidth="1"/>
    <col min="13315" max="13315" width="12.88671875" style="10" customWidth="1"/>
    <col min="13316" max="13316" width="12.33203125" style="10" customWidth="1"/>
    <col min="13317" max="13317" width="11" style="10" customWidth="1"/>
    <col min="13318" max="13318" width="10.5546875" style="10" customWidth="1"/>
    <col min="13319" max="13569" width="9.109375" style="10"/>
    <col min="13570" max="13570" width="18" style="10" customWidth="1"/>
    <col min="13571" max="13571" width="12.88671875" style="10" customWidth="1"/>
    <col min="13572" max="13572" width="12.33203125" style="10" customWidth="1"/>
    <col min="13573" max="13573" width="11" style="10" customWidth="1"/>
    <col min="13574" max="13574" width="10.5546875" style="10" customWidth="1"/>
    <col min="13575" max="13825" width="9.109375" style="10"/>
    <col min="13826" max="13826" width="18" style="10" customWidth="1"/>
    <col min="13827" max="13827" width="12.88671875" style="10" customWidth="1"/>
    <col min="13828" max="13828" width="12.33203125" style="10" customWidth="1"/>
    <col min="13829" max="13829" width="11" style="10" customWidth="1"/>
    <col min="13830" max="13830" width="10.5546875" style="10" customWidth="1"/>
    <col min="13831" max="14081" width="9.109375" style="10"/>
    <col min="14082" max="14082" width="18" style="10" customWidth="1"/>
    <col min="14083" max="14083" width="12.88671875" style="10" customWidth="1"/>
    <col min="14084" max="14084" width="12.33203125" style="10" customWidth="1"/>
    <col min="14085" max="14085" width="11" style="10" customWidth="1"/>
    <col min="14086" max="14086" width="10.5546875" style="10" customWidth="1"/>
    <col min="14087" max="14337" width="9.109375" style="10"/>
    <col min="14338" max="14338" width="18" style="10" customWidth="1"/>
    <col min="14339" max="14339" width="12.88671875" style="10" customWidth="1"/>
    <col min="14340" max="14340" width="12.33203125" style="10" customWidth="1"/>
    <col min="14341" max="14341" width="11" style="10" customWidth="1"/>
    <col min="14342" max="14342" width="10.5546875" style="10" customWidth="1"/>
    <col min="14343" max="14593" width="9.109375" style="10"/>
    <col min="14594" max="14594" width="18" style="10" customWidth="1"/>
    <col min="14595" max="14595" width="12.88671875" style="10" customWidth="1"/>
    <col min="14596" max="14596" width="12.33203125" style="10" customWidth="1"/>
    <col min="14597" max="14597" width="11" style="10" customWidth="1"/>
    <col min="14598" max="14598" width="10.5546875" style="10" customWidth="1"/>
    <col min="14599" max="14849" width="9.109375" style="10"/>
    <col min="14850" max="14850" width="18" style="10" customWidth="1"/>
    <col min="14851" max="14851" width="12.88671875" style="10" customWidth="1"/>
    <col min="14852" max="14852" width="12.33203125" style="10" customWidth="1"/>
    <col min="14853" max="14853" width="11" style="10" customWidth="1"/>
    <col min="14854" max="14854" width="10.5546875" style="10" customWidth="1"/>
    <col min="14855" max="15105" width="9.109375" style="10"/>
    <col min="15106" max="15106" width="18" style="10" customWidth="1"/>
    <col min="15107" max="15107" width="12.88671875" style="10" customWidth="1"/>
    <col min="15108" max="15108" width="12.33203125" style="10" customWidth="1"/>
    <col min="15109" max="15109" width="11" style="10" customWidth="1"/>
    <col min="15110" max="15110" width="10.5546875" style="10" customWidth="1"/>
    <col min="15111" max="15361" width="9.109375" style="10"/>
    <col min="15362" max="15362" width="18" style="10" customWidth="1"/>
    <col min="15363" max="15363" width="12.88671875" style="10" customWidth="1"/>
    <col min="15364" max="15364" width="12.33203125" style="10" customWidth="1"/>
    <col min="15365" max="15365" width="11" style="10" customWidth="1"/>
    <col min="15366" max="15366" width="10.5546875" style="10" customWidth="1"/>
    <col min="15367" max="15617" width="9.109375" style="10"/>
    <col min="15618" max="15618" width="18" style="10" customWidth="1"/>
    <col min="15619" max="15619" width="12.88671875" style="10" customWidth="1"/>
    <col min="15620" max="15620" width="12.33203125" style="10" customWidth="1"/>
    <col min="15621" max="15621" width="11" style="10" customWidth="1"/>
    <col min="15622" max="15622" width="10.5546875" style="10" customWidth="1"/>
    <col min="15623" max="15873" width="9.109375" style="10"/>
    <col min="15874" max="15874" width="18" style="10" customWidth="1"/>
    <col min="15875" max="15875" width="12.88671875" style="10" customWidth="1"/>
    <col min="15876" max="15876" width="12.33203125" style="10" customWidth="1"/>
    <col min="15877" max="15877" width="11" style="10" customWidth="1"/>
    <col min="15878" max="15878" width="10.5546875" style="10" customWidth="1"/>
    <col min="15879" max="16129" width="9.109375" style="10"/>
    <col min="16130" max="16130" width="18" style="10" customWidth="1"/>
    <col min="16131" max="16131" width="12.88671875" style="10" customWidth="1"/>
    <col min="16132" max="16132" width="12.33203125" style="10" customWidth="1"/>
    <col min="16133" max="16133" width="11" style="10" customWidth="1"/>
    <col min="16134" max="16134" width="10.5546875" style="10" customWidth="1"/>
    <col min="16135" max="16384" width="9.109375" style="10"/>
  </cols>
  <sheetData>
    <row r="1" spans="1:12">
      <c r="G1" s="2126" t="s">
        <v>388</v>
      </c>
    </row>
    <row r="2" spans="1:12" ht="33.75" customHeight="1">
      <c r="A2" s="100" t="s">
        <v>631</v>
      </c>
      <c r="B2" s="100"/>
      <c r="C2" s="100"/>
      <c r="D2" s="100"/>
      <c r="E2" s="100"/>
      <c r="F2" s="100"/>
      <c r="G2" s="100"/>
    </row>
    <row r="3" spans="1:12" ht="14.25" customHeight="1">
      <c r="A3" s="133" t="str">
        <f>П.2.1.утв.2016!A4</f>
        <v>АО "РКЦ "Прогресс"</v>
      </c>
      <c r="B3" s="100"/>
      <c r="C3" s="100"/>
      <c r="D3" s="100"/>
      <c r="E3" s="100"/>
      <c r="F3" s="100"/>
      <c r="G3" s="100"/>
    </row>
    <row r="4" spans="1:12" ht="14.25" customHeight="1">
      <c r="A4" s="2732" t="s">
        <v>2539</v>
      </c>
      <c r="B4" s="2316"/>
      <c r="C4" s="2316"/>
      <c r="D4" s="2316"/>
      <c r="E4" s="2316"/>
      <c r="F4" s="2316"/>
      <c r="G4" s="2296" t="s">
        <v>2389</v>
      </c>
    </row>
    <row r="5" spans="1:12" ht="66">
      <c r="A5" s="4322" t="s">
        <v>54</v>
      </c>
      <c r="B5" s="4322" t="s">
        <v>171</v>
      </c>
      <c r="C5" s="4322" t="s">
        <v>389</v>
      </c>
      <c r="D5" s="4322" t="s">
        <v>361</v>
      </c>
      <c r="E5" s="2727" t="s">
        <v>390</v>
      </c>
      <c r="F5" s="2727" t="s">
        <v>391</v>
      </c>
      <c r="G5" s="2727" t="s">
        <v>366</v>
      </c>
    </row>
    <row r="6" spans="1:12">
      <c r="A6" s="4323"/>
      <c r="B6" s="4323"/>
      <c r="C6" s="4323"/>
      <c r="D6" s="4323"/>
      <c r="E6" s="2727" t="s">
        <v>392</v>
      </c>
      <c r="F6" s="2727" t="s">
        <v>393</v>
      </c>
      <c r="G6" s="2727" t="s">
        <v>369</v>
      </c>
    </row>
    <row r="7" spans="1:12">
      <c r="A7" s="2723">
        <v>1</v>
      </c>
      <c r="B7" s="2723">
        <f>+A7+1</f>
        <v>2</v>
      </c>
      <c r="C7" s="2723">
        <f>+B7+1</f>
        <v>3</v>
      </c>
      <c r="D7" s="2723">
        <f>+C7+1</f>
        <v>4</v>
      </c>
      <c r="E7" s="2723">
        <f>+D7+1</f>
        <v>5</v>
      </c>
      <c r="F7" s="2723">
        <f>+E7+1</f>
        <v>6</v>
      </c>
      <c r="G7" s="2723" t="s">
        <v>394</v>
      </c>
    </row>
    <row r="8" spans="1:12">
      <c r="A8" s="4312">
        <v>1</v>
      </c>
      <c r="B8" s="4313" t="s">
        <v>395</v>
      </c>
      <c r="C8" s="4313" t="s">
        <v>396</v>
      </c>
      <c r="D8" s="534">
        <v>1150</v>
      </c>
      <c r="E8" s="2721">
        <v>1000</v>
      </c>
      <c r="F8" s="861"/>
      <c r="G8" s="2725"/>
    </row>
    <row r="9" spans="1:12">
      <c r="A9" s="4312"/>
      <c r="B9" s="4313"/>
      <c r="C9" s="4313"/>
      <c r="D9" s="534">
        <v>750</v>
      </c>
      <c r="E9" s="2721">
        <v>600</v>
      </c>
      <c r="F9" s="861"/>
      <c r="G9" s="2725"/>
    </row>
    <row r="10" spans="1:12">
      <c r="A10" s="4312"/>
      <c r="B10" s="4313"/>
      <c r="C10" s="4313"/>
      <c r="D10" s="2725" t="s">
        <v>397</v>
      </c>
      <c r="E10" s="2721">
        <v>500</v>
      </c>
      <c r="F10" s="861"/>
      <c r="G10" s="2725"/>
    </row>
    <row r="11" spans="1:12">
      <c r="A11" s="4312"/>
      <c r="B11" s="4313"/>
      <c r="C11" s="4313"/>
      <c r="D11" s="2725">
        <v>330</v>
      </c>
      <c r="E11" s="2721">
        <v>250</v>
      </c>
      <c r="F11" s="861"/>
      <c r="G11" s="2725"/>
      <c r="J11" s="10" t="s">
        <v>2388</v>
      </c>
      <c r="L11" s="10" t="s">
        <v>1608</v>
      </c>
    </row>
    <row r="12" spans="1:12">
      <c r="A12" s="4312"/>
      <c r="B12" s="4313"/>
      <c r="C12" s="4313"/>
      <c r="D12" s="2725">
        <v>220</v>
      </c>
      <c r="E12" s="2721">
        <v>210</v>
      </c>
      <c r="F12" s="861">
        <v>1</v>
      </c>
      <c r="G12" s="544">
        <f>E12*F12</f>
        <v>210</v>
      </c>
      <c r="I12" s="10">
        <f>'П.2.2.пром.+ПСХ'!F12</f>
        <v>1</v>
      </c>
      <c r="J12" s="10">
        <f>П.2.2.ЛОЦ!F12</f>
        <v>0</v>
      </c>
      <c r="K12" s="10">
        <f>F12-I12</f>
        <v>0</v>
      </c>
      <c r="L12" s="10">
        <f>П.2.2.ПСХ!F12</f>
        <v>0</v>
      </c>
    </row>
    <row r="13" spans="1:12">
      <c r="A13" s="4312"/>
      <c r="B13" s="4313"/>
      <c r="C13" s="4313"/>
      <c r="D13" s="2725" t="s">
        <v>398</v>
      </c>
      <c r="E13" s="2721">
        <v>105</v>
      </c>
      <c r="F13" s="862"/>
      <c r="G13" s="544">
        <f>E13*F13</f>
        <v>0</v>
      </c>
      <c r="J13" s="10">
        <f>П.2.2.ЛОЦ!F13</f>
        <v>0</v>
      </c>
      <c r="K13" s="10">
        <f t="shared" ref="K13:K47" si="0">F13-I13</f>
        <v>0</v>
      </c>
      <c r="L13" s="10">
        <f>П.2.2.ПСХ!F13</f>
        <v>0</v>
      </c>
    </row>
    <row r="14" spans="1:12">
      <c r="A14" s="4312"/>
      <c r="B14" s="4313"/>
      <c r="C14" s="4313"/>
      <c r="D14" s="2725">
        <v>35</v>
      </c>
      <c r="E14" s="2721">
        <v>75</v>
      </c>
      <c r="F14" s="863"/>
      <c r="G14" s="544">
        <f>E14*F14</f>
        <v>0</v>
      </c>
      <c r="J14" s="10">
        <f>П.2.2.ЛОЦ!F14</f>
        <v>0</v>
      </c>
      <c r="K14" s="10">
        <f t="shared" si="0"/>
        <v>0</v>
      </c>
      <c r="L14" s="10">
        <f>П.2.2.ПСХ!F14</f>
        <v>0</v>
      </c>
    </row>
    <row r="15" spans="1:12" ht="12.75" customHeight="1">
      <c r="A15" s="4312">
        <v>2</v>
      </c>
      <c r="B15" s="4329" t="s">
        <v>399</v>
      </c>
      <c r="C15" s="4313" t="s">
        <v>400</v>
      </c>
      <c r="D15" s="534">
        <v>1150</v>
      </c>
      <c r="E15" s="2721">
        <v>60</v>
      </c>
      <c r="F15" s="863"/>
      <c r="G15" s="544"/>
      <c r="J15" s="10">
        <f>П.2.2.ЛОЦ!F15</f>
        <v>0</v>
      </c>
      <c r="K15" s="10">
        <f t="shared" si="0"/>
        <v>0</v>
      </c>
      <c r="L15" s="10">
        <f>П.2.2.ПСХ!F15</f>
        <v>0</v>
      </c>
    </row>
    <row r="16" spans="1:12">
      <c r="A16" s="4312"/>
      <c r="B16" s="4329"/>
      <c r="C16" s="4329"/>
      <c r="D16" s="534">
        <v>750</v>
      </c>
      <c r="E16" s="2721">
        <v>43</v>
      </c>
      <c r="F16" s="863"/>
      <c r="G16" s="544"/>
      <c r="J16" s="10">
        <f>П.2.2.ЛОЦ!F16</f>
        <v>0</v>
      </c>
      <c r="K16" s="10">
        <f t="shared" si="0"/>
        <v>0</v>
      </c>
      <c r="L16" s="10">
        <f>П.2.2.ПСХ!F16</f>
        <v>0</v>
      </c>
    </row>
    <row r="17" spans="1:12">
      <c r="A17" s="4312"/>
      <c r="B17" s="4329"/>
      <c r="C17" s="4329"/>
      <c r="D17" s="2725" t="s">
        <v>397</v>
      </c>
      <c r="E17" s="2721">
        <v>28</v>
      </c>
      <c r="F17" s="863"/>
      <c r="G17" s="544"/>
      <c r="J17" s="10">
        <f>П.2.2.ЛОЦ!F17</f>
        <v>0</v>
      </c>
      <c r="K17" s="10">
        <f t="shared" si="0"/>
        <v>0</v>
      </c>
      <c r="L17" s="10">
        <f>П.2.2.ПСХ!F17</f>
        <v>0</v>
      </c>
    </row>
    <row r="18" spans="1:12">
      <c r="A18" s="4312"/>
      <c r="B18" s="4329"/>
      <c r="C18" s="4329"/>
      <c r="D18" s="2725">
        <v>330</v>
      </c>
      <c r="E18" s="2721">
        <v>18</v>
      </c>
      <c r="F18" s="863"/>
      <c r="G18" s="544"/>
      <c r="J18" s="10">
        <f>П.2.2.ЛОЦ!F18</f>
        <v>0</v>
      </c>
      <c r="K18" s="10">
        <f t="shared" si="0"/>
        <v>0</v>
      </c>
      <c r="L18" s="10">
        <f>П.2.2.ПСХ!F18</f>
        <v>0</v>
      </c>
    </row>
    <row r="19" spans="1:12">
      <c r="A19" s="4312"/>
      <c r="B19" s="4329"/>
      <c r="C19" s="4329"/>
      <c r="D19" s="2725">
        <v>220</v>
      </c>
      <c r="E19" s="2721">
        <v>14</v>
      </c>
      <c r="F19" s="863">
        <v>2</v>
      </c>
      <c r="G19" s="544">
        <f>E19*F19</f>
        <v>28</v>
      </c>
      <c r="I19" s="10">
        <f>'П.2.2.пром.+ПСХ'!F19</f>
        <v>2</v>
      </c>
      <c r="J19" s="10">
        <f>П.2.2.ЛОЦ!F19</f>
        <v>0</v>
      </c>
      <c r="K19" s="10">
        <f t="shared" si="0"/>
        <v>0</v>
      </c>
      <c r="L19" s="10">
        <f>П.2.2.ПСХ!F19</f>
        <v>0</v>
      </c>
    </row>
    <row r="20" spans="1:12">
      <c r="A20" s="4312"/>
      <c r="B20" s="4329"/>
      <c r="C20" s="4329"/>
      <c r="D20" s="2725" t="s">
        <v>398</v>
      </c>
      <c r="E20" s="2721">
        <v>7.8</v>
      </c>
      <c r="F20" s="2714"/>
      <c r="G20" s="2660">
        <f>E20*F20</f>
        <v>0</v>
      </c>
      <c r="J20" s="10">
        <f>П.2.2.ЛОЦ!F20</f>
        <v>0</v>
      </c>
      <c r="K20" s="10">
        <f t="shared" si="0"/>
        <v>0</v>
      </c>
      <c r="L20" s="10">
        <f>П.2.2.ПСХ!F20</f>
        <v>0</v>
      </c>
    </row>
    <row r="21" spans="1:12">
      <c r="A21" s="4312"/>
      <c r="B21" s="4329"/>
      <c r="C21" s="4329"/>
      <c r="D21" s="2725">
        <v>35</v>
      </c>
      <c r="E21" s="2721">
        <v>2.1</v>
      </c>
      <c r="F21" s="2299"/>
      <c r="G21" s="2660">
        <f>E21*F21</f>
        <v>0</v>
      </c>
      <c r="J21" s="10">
        <f>П.2.2.ЛОЦ!F21</f>
        <v>0</v>
      </c>
      <c r="K21" s="10">
        <f t="shared" si="0"/>
        <v>0</v>
      </c>
      <c r="L21" s="10">
        <f>П.2.2.ПСХ!F21</f>
        <v>0</v>
      </c>
    </row>
    <row r="22" spans="1:12">
      <c r="A22" s="4312"/>
      <c r="B22" s="4329"/>
      <c r="C22" s="4313"/>
      <c r="D22" s="545" t="s">
        <v>401</v>
      </c>
      <c r="E22" s="546">
        <v>1</v>
      </c>
      <c r="F22" s="2299">
        <v>22</v>
      </c>
      <c r="G22" s="2660">
        <f>E22*F22</f>
        <v>22</v>
      </c>
      <c r="I22" s="10">
        <f>'П.2.2.пром.+ПСХ'!F22</f>
        <v>22</v>
      </c>
      <c r="J22" s="10">
        <f>П.2.2.ЛОЦ!F22</f>
        <v>0</v>
      </c>
      <c r="K22" s="10">
        <f t="shared" si="0"/>
        <v>0</v>
      </c>
      <c r="L22" s="10">
        <f>П.2.2.ПСХ!F22</f>
        <v>0</v>
      </c>
    </row>
    <row r="23" spans="1:12" ht="12.75" customHeight="1">
      <c r="A23" s="4312">
        <v>3</v>
      </c>
      <c r="B23" s="4329" t="s">
        <v>402</v>
      </c>
      <c r="C23" s="4313" t="s">
        <v>403</v>
      </c>
      <c r="D23" s="534">
        <v>1150</v>
      </c>
      <c r="E23" s="2725">
        <v>180</v>
      </c>
      <c r="F23" s="2299"/>
      <c r="G23" s="2299"/>
      <c r="J23" s="10">
        <f>П.2.2.ЛОЦ!F23</f>
        <v>0</v>
      </c>
      <c r="K23" s="10">
        <f t="shared" si="0"/>
        <v>0</v>
      </c>
      <c r="L23" s="10">
        <f>П.2.2.ПСХ!F23</f>
        <v>0</v>
      </c>
    </row>
    <row r="24" spans="1:12">
      <c r="A24" s="4312"/>
      <c r="B24" s="4329"/>
      <c r="C24" s="4329"/>
      <c r="D24" s="534">
        <v>750</v>
      </c>
      <c r="E24" s="2725">
        <v>130</v>
      </c>
      <c r="F24" s="2299"/>
      <c r="G24" s="2299"/>
      <c r="J24" s="10">
        <f>П.2.2.ЛОЦ!F24</f>
        <v>0</v>
      </c>
      <c r="K24" s="10">
        <f t="shared" si="0"/>
        <v>0</v>
      </c>
      <c r="L24" s="10">
        <f>П.2.2.ПСХ!F24</f>
        <v>0</v>
      </c>
    </row>
    <row r="25" spans="1:12">
      <c r="A25" s="4312"/>
      <c r="B25" s="4329"/>
      <c r="C25" s="4329"/>
      <c r="D25" s="2725" t="s">
        <v>397</v>
      </c>
      <c r="E25" s="2721">
        <v>88</v>
      </c>
      <c r="F25" s="2299"/>
      <c r="G25" s="2299"/>
      <c r="J25" s="10">
        <f>П.2.2.ЛОЦ!F25</f>
        <v>0</v>
      </c>
      <c r="K25" s="10">
        <f t="shared" si="0"/>
        <v>0</v>
      </c>
      <c r="L25" s="10">
        <f>П.2.2.ПСХ!F25</f>
        <v>0</v>
      </c>
    </row>
    <row r="26" spans="1:12">
      <c r="A26" s="4312"/>
      <c r="B26" s="4329"/>
      <c r="C26" s="4329"/>
      <c r="D26" s="2725">
        <v>330</v>
      </c>
      <c r="E26" s="2721">
        <v>66</v>
      </c>
      <c r="F26" s="2299"/>
      <c r="G26" s="2299"/>
      <c r="J26" s="10">
        <f>П.2.2.ЛОЦ!F26</f>
        <v>0</v>
      </c>
      <c r="K26" s="10">
        <f t="shared" si="0"/>
        <v>0</v>
      </c>
      <c r="L26" s="10">
        <f>П.2.2.ПСХ!F26</f>
        <v>0</v>
      </c>
    </row>
    <row r="27" spans="1:12">
      <c r="A27" s="4312"/>
      <c r="B27" s="4329"/>
      <c r="C27" s="4329"/>
      <c r="D27" s="2725">
        <v>220</v>
      </c>
      <c r="E27" s="2721">
        <v>43</v>
      </c>
      <c r="F27" s="2299"/>
      <c r="G27" s="2299"/>
      <c r="J27" s="10">
        <f>П.2.2.ЛОЦ!F27</f>
        <v>0</v>
      </c>
      <c r="K27" s="10">
        <f t="shared" si="0"/>
        <v>0</v>
      </c>
      <c r="L27" s="10">
        <f>П.2.2.ПСХ!F27</f>
        <v>0</v>
      </c>
    </row>
    <row r="28" spans="1:12">
      <c r="A28" s="4312"/>
      <c r="B28" s="4329"/>
      <c r="C28" s="4329"/>
      <c r="D28" s="2725" t="s">
        <v>398</v>
      </c>
      <c r="E28" s="2721">
        <v>26</v>
      </c>
      <c r="F28" s="2299"/>
      <c r="G28" s="2299"/>
      <c r="J28" s="10">
        <f>П.2.2.ЛОЦ!F28</f>
        <v>0</v>
      </c>
      <c r="K28" s="10">
        <f t="shared" si="0"/>
        <v>0</v>
      </c>
      <c r="L28" s="10">
        <f>П.2.2.ПСХ!F28</f>
        <v>0</v>
      </c>
    </row>
    <row r="29" spans="1:12">
      <c r="A29" s="4312"/>
      <c r="B29" s="4329"/>
      <c r="C29" s="4329"/>
      <c r="D29" s="2725">
        <v>35</v>
      </c>
      <c r="E29" s="2721">
        <v>11</v>
      </c>
      <c r="F29" s="2299"/>
      <c r="G29" s="2299"/>
      <c r="J29" s="10">
        <f>П.2.2.ЛОЦ!F29</f>
        <v>0</v>
      </c>
      <c r="K29" s="10">
        <f t="shared" si="0"/>
        <v>0</v>
      </c>
      <c r="L29" s="10">
        <f>П.2.2.ПСХ!F29</f>
        <v>0</v>
      </c>
    </row>
    <row r="30" spans="1:12">
      <c r="A30" s="4312"/>
      <c r="B30" s="4329"/>
      <c r="C30" s="4313"/>
      <c r="D30" s="545" t="s">
        <v>401</v>
      </c>
      <c r="E30" s="2721">
        <v>5.5</v>
      </c>
      <c r="F30" s="2299">
        <f>6+3</f>
        <v>9</v>
      </c>
      <c r="G30" s="2660">
        <f>E30*F30</f>
        <v>49.5</v>
      </c>
      <c r="I30" s="10">
        <f>'П.2.2.пром.+ПСХ'!F30</f>
        <v>9</v>
      </c>
      <c r="J30" s="10">
        <f>П.2.2.ЛОЦ!F30</f>
        <v>0</v>
      </c>
      <c r="K30" s="10">
        <f t="shared" si="0"/>
        <v>0</v>
      </c>
      <c r="L30" s="10">
        <f>П.2.2.ПСХ!F30</f>
        <v>0</v>
      </c>
    </row>
    <row r="31" spans="1:12" ht="12.75" customHeight="1">
      <c r="A31" s="4312">
        <v>4</v>
      </c>
      <c r="B31" s="4313" t="s">
        <v>500</v>
      </c>
      <c r="C31" s="4313" t="s">
        <v>404</v>
      </c>
      <c r="D31" s="2725">
        <v>220</v>
      </c>
      <c r="E31" s="2725">
        <v>23</v>
      </c>
      <c r="F31" s="2299"/>
      <c r="G31" s="2299"/>
      <c r="J31" s="10">
        <f>П.2.2.ЛОЦ!F31</f>
        <v>0</v>
      </c>
      <c r="K31" s="10">
        <f t="shared" si="0"/>
        <v>0</v>
      </c>
      <c r="L31" s="10">
        <f>П.2.2.ПСХ!F31</f>
        <v>0</v>
      </c>
    </row>
    <row r="32" spans="1:12">
      <c r="A32" s="4312"/>
      <c r="B32" s="4313"/>
      <c r="C32" s="4313"/>
      <c r="D32" s="2725" t="s">
        <v>398</v>
      </c>
      <c r="E32" s="2725">
        <v>14</v>
      </c>
      <c r="F32" s="2299"/>
      <c r="G32" s="2706">
        <f>E32*F32</f>
        <v>0</v>
      </c>
      <c r="J32" s="10">
        <f>П.2.2.ЛОЦ!F32</f>
        <v>0</v>
      </c>
      <c r="K32" s="10">
        <f t="shared" si="0"/>
        <v>0</v>
      </c>
      <c r="L32" s="10">
        <f>П.2.2.ПСХ!F32</f>
        <v>0</v>
      </c>
    </row>
    <row r="33" spans="1:12">
      <c r="A33" s="4312"/>
      <c r="B33" s="4313"/>
      <c r="C33" s="4313"/>
      <c r="D33" s="2725">
        <v>35</v>
      </c>
      <c r="E33" s="2725">
        <v>6.4</v>
      </c>
      <c r="F33" s="2299"/>
      <c r="G33" s="2299"/>
      <c r="J33" s="10">
        <f>П.2.2.ЛОЦ!F33</f>
        <v>0</v>
      </c>
      <c r="K33" s="10">
        <f t="shared" si="0"/>
        <v>0</v>
      </c>
      <c r="L33" s="10">
        <f>П.2.2.ПСХ!F33</f>
        <v>0</v>
      </c>
    </row>
    <row r="34" spans="1:12">
      <c r="A34" s="4312"/>
      <c r="B34" s="4313"/>
      <c r="C34" s="4313"/>
      <c r="D34" s="545" t="s">
        <v>401</v>
      </c>
      <c r="E34" s="2725">
        <v>3.1</v>
      </c>
      <c r="F34" s="2715">
        <f>67-10-7</f>
        <v>50</v>
      </c>
      <c r="G34" s="2660">
        <f>E34*F34</f>
        <v>155</v>
      </c>
      <c r="I34" s="10">
        <f>'П.2.2.пром.+ПСХ'!F34</f>
        <v>50</v>
      </c>
      <c r="J34" s="10">
        <f>П.2.2.ЛОЦ!F34</f>
        <v>0</v>
      </c>
      <c r="K34" s="10">
        <f t="shared" si="0"/>
        <v>0</v>
      </c>
      <c r="L34" s="10">
        <f>П.2.2.ПСХ!F34</f>
        <v>0</v>
      </c>
    </row>
    <row r="35" spans="1:12" ht="12.75" customHeight="1">
      <c r="A35" s="4312">
        <v>5</v>
      </c>
      <c r="B35" s="4313" t="s">
        <v>405</v>
      </c>
      <c r="C35" s="4313" t="s">
        <v>400</v>
      </c>
      <c r="D35" s="2725" t="s">
        <v>397</v>
      </c>
      <c r="E35" s="2721">
        <v>35</v>
      </c>
      <c r="F35" s="2299"/>
      <c r="G35" s="2299"/>
      <c r="I35" s="10">
        <f>'П.2.2.пром.+ПСХ'!F35</f>
        <v>0</v>
      </c>
      <c r="J35" s="10">
        <f>П.2.2.ЛОЦ!F35</f>
        <v>0</v>
      </c>
      <c r="K35" s="10">
        <f t="shared" si="0"/>
        <v>0</v>
      </c>
      <c r="L35" s="10">
        <f>П.2.2.ПСХ!F35</f>
        <v>0</v>
      </c>
    </row>
    <row r="36" spans="1:12">
      <c r="A36" s="4312"/>
      <c r="B36" s="4313"/>
      <c r="C36" s="4313"/>
      <c r="D36" s="2725">
        <v>330</v>
      </c>
      <c r="E36" s="2725">
        <v>24</v>
      </c>
      <c r="F36" s="2299"/>
      <c r="G36" s="2299"/>
      <c r="I36" s="10">
        <f>'П.2.2.пром.+ПСХ'!F36</f>
        <v>0</v>
      </c>
      <c r="J36" s="10">
        <f>П.2.2.ЛОЦ!F36</f>
        <v>0</v>
      </c>
      <c r="K36" s="10">
        <f t="shared" si="0"/>
        <v>0</v>
      </c>
      <c r="L36" s="10">
        <f>П.2.2.ПСХ!F36</f>
        <v>0</v>
      </c>
    </row>
    <row r="37" spans="1:12">
      <c r="A37" s="4312"/>
      <c r="B37" s="4313"/>
      <c r="C37" s="4313"/>
      <c r="D37" s="2725">
        <v>220</v>
      </c>
      <c r="E37" s="2725">
        <v>19</v>
      </c>
      <c r="F37" s="2299">
        <v>3</v>
      </c>
      <c r="G37" s="2660">
        <f>E37*F37</f>
        <v>57</v>
      </c>
      <c r="H37" s="10" t="s">
        <v>2508</v>
      </c>
      <c r="I37" s="10">
        <f>'П.2.2.пром.+ПСХ'!F37</f>
        <v>3</v>
      </c>
      <c r="J37" s="10">
        <f>П.2.2.ЛОЦ!F37</f>
        <v>0</v>
      </c>
      <c r="K37" s="10">
        <f t="shared" si="0"/>
        <v>0</v>
      </c>
      <c r="L37" s="10">
        <f>П.2.2.ПСХ!F37</f>
        <v>0</v>
      </c>
    </row>
    <row r="38" spans="1:12">
      <c r="A38" s="4312"/>
      <c r="B38" s="4313"/>
      <c r="C38" s="4313"/>
      <c r="D38" s="2725" t="s">
        <v>398</v>
      </c>
      <c r="E38" s="2725">
        <v>9.5</v>
      </c>
      <c r="F38" s="2714"/>
      <c r="G38" s="2660">
        <f>E38*F38</f>
        <v>0</v>
      </c>
      <c r="I38" s="10">
        <f>'П.2.2.пром.+ПСХ'!F38</f>
        <v>0</v>
      </c>
      <c r="J38" s="10">
        <f>П.2.2.ЛОЦ!F38</f>
        <v>0</v>
      </c>
      <c r="K38" s="10">
        <f t="shared" si="0"/>
        <v>0</v>
      </c>
      <c r="L38" s="10">
        <f>П.2.2.ПСХ!F38</f>
        <v>0</v>
      </c>
    </row>
    <row r="39" spans="1:12">
      <c r="A39" s="4312"/>
      <c r="B39" s="4313"/>
      <c r="C39" s="4313"/>
      <c r="D39" s="2725">
        <v>35</v>
      </c>
      <c r="E39" s="2725">
        <v>4.7</v>
      </c>
      <c r="F39" s="2299"/>
      <c r="G39" s="2660">
        <f>E39*F39</f>
        <v>0</v>
      </c>
      <c r="I39" s="10">
        <f>'П.2.2.пром.+ПСХ'!F39</f>
        <v>0</v>
      </c>
      <c r="J39" s="10">
        <f>П.2.2.ЛОЦ!F39</f>
        <v>0</v>
      </c>
      <c r="K39" s="10">
        <f t="shared" si="0"/>
        <v>0</v>
      </c>
      <c r="L39" s="10">
        <f>П.2.2.ПСХ!F39</f>
        <v>0</v>
      </c>
    </row>
    <row r="40" spans="1:12" ht="26.4">
      <c r="A40" s="2721">
        <v>6</v>
      </c>
      <c r="B40" s="2725" t="s">
        <v>406</v>
      </c>
      <c r="C40" s="2725" t="s">
        <v>404</v>
      </c>
      <c r="D40" s="548" t="s">
        <v>401</v>
      </c>
      <c r="E40" s="2725">
        <v>2.2999999999999998</v>
      </c>
      <c r="F40" s="2714">
        <f>4+3-2</f>
        <v>5</v>
      </c>
      <c r="G40" s="2706">
        <f>E40*F40</f>
        <v>11.5</v>
      </c>
      <c r="I40" s="10">
        <f>'П.2.2.пром.+ПСХ'!F40</f>
        <v>5</v>
      </c>
      <c r="J40" s="10">
        <f>П.2.2.ЛОЦ!F40</f>
        <v>0</v>
      </c>
      <c r="K40" s="10">
        <f t="shared" si="0"/>
        <v>0</v>
      </c>
      <c r="L40" s="2662">
        <f>П.2.2.ПСХ!F40</f>
        <v>3</v>
      </c>
    </row>
    <row r="41" spans="1:12" ht="39.6">
      <c r="A41" s="2721">
        <v>7</v>
      </c>
      <c r="B41" s="2725" t="s">
        <v>407</v>
      </c>
      <c r="C41" s="2725" t="s">
        <v>404</v>
      </c>
      <c r="D41" s="548" t="s">
        <v>401</v>
      </c>
      <c r="E41" s="2725">
        <v>26</v>
      </c>
      <c r="F41" s="2299"/>
      <c r="G41" s="2299"/>
      <c r="J41" s="10">
        <f>П.2.2.ЛОЦ!F41</f>
        <v>0</v>
      </c>
      <c r="K41" s="10">
        <f t="shared" si="0"/>
        <v>0</v>
      </c>
      <c r="L41" s="10">
        <f>П.2.2.ПСХ!F41</f>
        <v>0</v>
      </c>
    </row>
    <row r="42" spans="1:12" ht="26.4">
      <c r="A42" s="2721">
        <v>8</v>
      </c>
      <c r="B42" s="2725" t="s">
        <v>408</v>
      </c>
      <c r="C42" s="2725" t="s">
        <v>404</v>
      </c>
      <c r="D42" s="548" t="s">
        <v>401</v>
      </c>
      <c r="E42" s="2725">
        <v>48</v>
      </c>
      <c r="F42" s="861"/>
      <c r="G42" s="2725"/>
      <c r="J42" s="10">
        <f>П.2.2.ЛОЦ!F42</f>
        <v>0</v>
      </c>
      <c r="K42" s="10">
        <f t="shared" si="0"/>
        <v>0</v>
      </c>
      <c r="L42" s="10">
        <f>П.2.2.ПСХ!F42</f>
        <v>0</v>
      </c>
    </row>
    <row r="43" spans="1:12" ht="12.75" customHeight="1">
      <c r="A43" s="4312">
        <v>9</v>
      </c>
      <c r="B43" s="4313" t="s">
        <v>409</v>
      </c>
      <c r="C43" s="4313" t="s">
        <v>410</v>
      </c>
      <c r="D43" s="2725">
        <v>35</v>
      </c>
      <c r="E43" s="2725">
        <v>2.4</v>
      </c>
      <c r="F43" s="861"/>
      <c r="G43" s="2725"/>
      <c r="J43" s="10">
        <f>П.2.2.ЛОЦ!F43</f>
        <v>0</v>
      </c>
      <c r="K43" s="10">
        <f t="shared" si="0"/>
        <v>0</v>
      </c>
      <c r="L43" s="10">
        <f>П.2.2.ПСХ!F43</f>
        <v>0</v>
      </c>
    </row>
    <row r="44" spans="1:12">
      <c r="A44" s="4312"/>
      <c r="B44" s="4313"/>
      <c r="C44" s="4313"/>
      <c r="D44" s="548" t="s">
        <v>401</v>
      </c>
      <c r="E44" s="2725">
        <v>2.4</v>
      </c>
      <c r="F44" s="861"/>
      <c r="G44" s="544">
        <f>E44*F44</f>
        <v>0</v>
      </c>
      <c r="J44" s="10">
        <f>П.2.2.ЛОЦ!F44</f>
        <v>0</v>
      </c>
      <c r="K44" s="10">
        <f t="shared" si="0"/>
        <v>0</v>
      </c>
      <c r="L44" s="10">
        <f>П.2.2.ПСХ!F44</f>
        <v>0</v>
      </c>
    </row>
    <row r="45" spans="1:12" ht="26.4">
      <c r="A45" s="2721">
        <v>10</v>
      </c>
      <c r="B45" s="2725" t="s">
        <v>411</v>
      </c>
      <c r="C45" s="2725" t="s">
        <v>412</v>
      </c>
      <c r="D45" s="548" t="s">
        <v>401</v>
      </c>
      <c r="E45" s="2725">
        <v>2.5</v>
      </c>
      <c r="F45" s="862"/>
      <c r="G45" s="547">
        <f>E45*F45</f>
        <v>0</v>
      </c>
      <c r="J45" s="10">
        <f>П.2.2.ЛОЦ!F45</f>
        <v>0</v>
      </c>
      <c r="K45" s="10">
        <f t="shared" si="0"/>
        <v>0</v>
      </c>
      <c r="L45" s="10">
        <f>П.2.2.ПСХ!F45</f>
        <v>0</v>
      </c>
    </row>
    <row r="46" spans="1:12" ht="26.4">
      <c r="A46" s="2721">
        <v>11</v>
      </c>
      <c r="B46" s="2725" t="s">
        <v>413</v>
      </c>
      <c r="C46" s="2725" t="s">
        <v>414</v>
      </c>
      <c r="D46" s="548" t="s">
        <v>401</v>
      </c>
      <c r="E46" s="2725">
        <v>2.2999999999999998</v>
      </c>
      <c r="F46" s="2071">
        <v>2</v>
      </c>
      <c r="G46" s="547">
        <f>E46*F46</f>
        <v>4.5999999999999996</v>
      </c>
      <c r="I46" s="10">
        <f>'П.2.2.пром.+ПСХ'!F46</f>
        <v>2</v>
      </c>
      <c r="J46" s="10">
        <f>П.2.2.ЛОЦ!F46</f>
        <v>0</v>
      </c>
      <c r="K46" s="10">
        <f t="shared" si="0"/>
        <v>0</v>
      </c>
      <c r="L46" s="2662">
        <f>П.2.2.ПСХ!F46</f>
        <v>2</v>
      </c>
    </row>
    <row r="47" spans="1:12" ht="26.4">
      <c r="A47" s="2721">
        <v>12</v>
      </c>
      <c r="B47" s="2725" t="s">
        <v>415</v>
      </c>
      <c r="C47" s="2725" t="s">
        <v>414</v>
      </c>
      <c r="D47" s="548" t="s">
        <v>401</v>
      </c>
      <c r="E47" s="2725">
        <v>3</v>
      </c>
      <c r="F47" s="2672">
        <f>11+2-1</f>
        <v>12</v>
      </c>
      <c r="G47" s="2659">
        <f>E47*F47</f>
        <v>36</v>
      </c>
      <c r="I47" s="10">
        <f>'П.2.2.пром.+ПСХ'!F47</f>
        <v>10</v>
      </c>
      <c r="J47" s="2662">
        <f>П.2.2.ЛОЦ!F47</f>
        <v>2</v>
      </c>
      <c r="K47" s="2662">
        <f t="shared" si="0"/>
        <v>2</v>
      </c>
      <c r="L47" s="10">
        <f>П.2.2.ПСХ!F47</f>
        <v>0</v>
      </c>
    </row>
    <row r="48" spans="1:12" ht="39.6">
      <c r="A48" s="2721">
        <v>13</v>
      </c>
      <c r="B48" s="2725" t="s">
        <v>1489</v>
      </c>
      <c r="C48" s="2725" t="s">
        <v>417</v>
      </c>
      <c r="D48" s="2725">
        <v>35</v>
      </c>
      <c r="E48" s="2725">
        <v>3.5</v>
      </c>
      <c r="F48" s="861"/>
      <c r="G48" s="2725"/>
      <c r="J48" s="10">
        <f>SUM(G8:G48)</f>
        <v>573.6</v>
      </c>
    </row>
    <row r="49" spans="1:11">
      <c r="A49" s="4312" t="s">
        <v>418</v>
      </c>
      <c r="B49" s="4313" t="s">
        <v>419</v>
      </c>
      <c r="C49" s="4313"/>
      <c r="D49" s="2725" t="s">
        <v>697</v>
      </c>
      <c r="E49" s="544">
        <v>0</v>
      </c>
      <c r="F49" s="544">
        <v>0</v>
      </c>
      <c r="G49" s="2658">
        <f>G12+G19+G37</f>
        <v>295</v>
      </c>
    </row>
    <row r="50" spans="1:11">
      <c r="A50" s="4312"/>
      <c r="B50" s="4313"/>
      <c r="C50" s="4313"/>
      <c r="D50" s="2725" t="s">
        <v>239</v>
      </c>
      <c r="E50" s="544">
        <v>0</v>
      </c>
      <c r="F50" s="544">
        <v>0</v>
      </c>
      <c r="G50" s="544">
        <f>G14+G21+G22+G29+G30+G33+G34+G39+G40+G41+G42+G43+G44+G45+G46+G47+G48</f>
        <v>278.60000000000002</v>
      </c>
    </row>
    <row r="51" spans="1:11">
      <c r="A51" s="4312"/>
      <c r="B51" s="4313"/>
      <c r="C51" s="4313"/>
      <c r="D51" s="2725" t="s">
        <v>681</v>
      </c>
      <c r="E51" s="544">
        <v>0</v>
      </c>
      <c r="F51" s="544">
        <v>0</v>
      </c>
      <c r="G51" s="549">
        <v>0</v>
      </c>
      <c r="J51" s="144">
        <f>G49+G50+G51</f>
        <v>573.6</v>
      </c>
      <c r="K51" s="515">
        <f>SUMIF($D$8:$D$48,$D$22,$G$8:$G$48)+G14+G21+G39+G12+G19</f>
        <v>516.6</v>
      </c>
    </row>
    <row r="52" spans="1:11">
      <c r="A52" s="49"/>
      <c r="B52" s="50"/>
      <c r="C52" s="50"/>
      <c r="D52" s="50"/>
      <c r="E52" s="49"/>
      <c r="F52" s="49"/>
      <c r="G52" s="50"/>
    </row>
    <row r="53" spans="1:11" hidden="1">
      <c r="A53" s="10" t="s">
        <v>663</v>
      </c>
    </row>
    <row r="54" spans="1:11" ht="21.75" hidden="1" customHeight="1">
      <c r="A54" s="4327" t="s">
        <v>1123</v>
      </c>
      <c r="B54" s="4327"/>
      <c r="C54" s="4327"/>
      <c r="D54" s="4327"/>
      <c r="E54" s="4327"/>
      <c r="F54" s="4327"/>
      <c r="G54" s="4327"/>
    </row>
    <row r="55" spans="1:11" ht="39.75" hidden="1" customHeight="1">
      <c r="A55" s="4327" t="s">
        <v>1124</v>
      </c>
      <c r="B55" s="4327"/>
      <c r="C55" s="4327"/>
      <c r="D55" s="4327"/>
      <c r="E55" s="4327"/>
      <c r="F55" s="4327"/>
      <c r="G55" s="4327"/>
    </row>
    <row r="56" spans="1:11" ht="31.5" hidden="1" customHeight="1">
      <c r="A56" s="4328" t="s">
        <v>1125</v>
      </c>
      <c r="B56" s="4328"/>
      <c r="C56" s="4328"/>
      <c r="D56" s="4328"/>
      <c r="E56" s="4328"/>
      <c r="F56" s="4328"/>
      <c r="G56" s="4328"/>
    </row>
    <row r="57" spans="1:11" ht="41.25" hidden="1" customHeight="1">
      <c r="A57" s="4327" t="s">
        <v>1126</v>
      </c>
      <c r="B57" s="4327"/>
      <c r="C57" s="4327"/>
      <c r="D57" s="4327"/>
      <c r="E57" s="4327"/>
      <c r="F57" s="4327"/>
      <c r="G57" s="4327"/>
    </row>
    <row r="58" spans="1:11" ht="46.5" hidden="1" customHeight="1">
      <c r="A58" s="4327" t="s">
        <v>1127</v>
      </c>
      <c r="B58" s="4327"/>
      <c r="C58" s="4327"/>
      <c r="D58" s="4327"/>
      <c r="E58" s="4327"/>
      <c r="F58" s="4327"/>
      <c r="G58" s="4327"/>
    </row>
    <row r="59" spans="1:11" ht="45.75" hidden="1" customHeight="1">
      <c r="A59" s="4327" t="s">
        <v>1128</v>
      </c>
      <c r="B59" s="4327"/>
      <c r="C59" s="4327"/>
      <c r="D59" s="4327"/>
      <c r="E59" s="4327"/>
      <c r="F59" s="4327"/>
      <c r="G59" s="4327"/>
    </row>
    <row r="60" spans="1:11" ht="27.75" hidden="1" customHeight="1">
      <c r="A60" s="4327" t="s">
        <v>1129</v>
      </c>
      <c r="B60" s="4327"/>
      <c r="C60" s="4327"/>
      <c r="D60" s="4327"/>
      <c r="E60" s="4327"/>
      <c r="F60" s="4327"/>
      <c r="G60" s="4327"/>
    </row>
    <row r="61" spans="1:11" ht="28.5" hidden="1" customHeight="1">
      <c r="A61" s="4327" t="s">
        <v>1130</v>
      </c>
      <c r="B61" s="4327"/>
      <c r="C61" s="4327"/>
      <c r="D61" s="4327"/>
      <c r="E61" s="4327"/>
      <c r="F61" s="4327"/>
      <c r="G61" s="4327"/>
    </row>
    <row r="62" spans="1:11" ht="33.75" hidden="1" customHeight="1">
      <c r="A62" s="4327" t="s">
        <v>1131</v>
      </c>
      <c r="B62" s="4327"/>
      <c r="C62" s="4327"/>
      <c r="D62" s="4327"/>
      <c r="E62" s="4327"/>
      <c r="F62" s="4327"/>
      <c r="G62" s="4327"/>
    </row>
    <row r="63" spans="1:11" s="776" customFormat="1" ht="23.25" customHeight="1">
      <c r="A63" s="839" t="s">
        <v>1266</v>
      </c>
      <c r="B63" s="774"/>
      <c r="C63" s="775"/>
      <c r="H63" s="2068"/>
    </row>
    <row r="64" spans="1:11" s="776" customFormat="1" ht="15" customHeight="1">
      <c r="A64" s="839" t="s">
        <v>1304</v>
      </c>
      <c r="B64" s="778"/>
      <c r="C64" s="775"/>
      <c r="G64" s="779" t="s">
        <v>1268</v>
      </c>
    </row>
    <row r="65" spans="1:7" s="52" customFormat="1"/>
    <row r="66" spans="1:7" s="52" customFormat="1">
      <c r="A66" s="98"/>
    </row>
    <row r="67" spans="1:7" s="52" customFormat="1">
      <c r="A67" s="98"/>
    </row>
    <row r="68" spans="1:7" ht="58.5" customHeight="1">
      <c r="A68" s="4327"/>
      <c r="B68" s="4327"/>
      <c r="C68" s="4327"/>
      <c r="D68" s="4327"/>
      <c r="E68" s="4327"/>
      <c r="F68" s="4327"/>
      <c r="G68" s="4327"/>
    </row>
    <row r="69" spans="1:7" ht="53.25" customHeight="1">
      <c r="A69" s="4327"/>
      <c r="B69" s="4327"/>
      <c r="C69" s="4327"/>
      <c r="D69" s="4327"/>
      <c r="E69" s="4327"/>
      <c r="F69" s="4327"/>
      <c r="G69" s="4327"/>
    </row>
    <row r="70" spans="1:7" ht="31.5" customHeight="1">
      <c r="A70" s="4327"/>
      <c r="B70" s="4327"/>
      <c r="C70" s="4327"/>
      <c r="D70" s="4327"/>
      <c r="E70" s="4327"/>
      <c r="F70" s="4327"/>
      <c r="G70" s="4327"/>
    </row>
    <row r="71" spans="1:7" ht="27.75" customHeight="1">
      <c r="A71" s="4326"/>
      <c r="B71" s="4326"/>
      <c r="C71" s="4326"/>
      <c r="D71" s="4326"/>
      <c r="E71" s="4326"/>
      <c r="F71" s="4326"/>
      <c r="G71" s="4326"/>
    </row>
  </sheetData>
  <mergeCells count="37">
    <mergeCell ref="A5:A6"/>
    <mergeCell ref="B5:B6"/>
    <mergeCell ref="C5:C6"/>
    <mergeCell ref="D5:D6"/>
    <mergeCell ref="A8:A14"/>
    <mergeCell ref="B8:B14"/>
    <mergeCell ref="C8:C14"/>
    <mergeCell ref="A15:A22"/>
    <mergeCell ref="B15:B22"/>
    <mergeCell ref="C15:C22"/>
    <mergeCell ref="A23:A30"/>
    <mergeCell ref="B23:B30"/>
    <mergeCell ref="C23:C30"/>
    <mergeCell ref="A54:G54"/>
    <mergeCell ref="A31:A34"/>
    <mergeCell ref="B31:B34"/>
    <mergeCell ref="C31:C34"/>
    <mergeCell ref="A35:A39"/>
    <mergeCell ref="B35:B39"/>
    <mergeCell ref="C35:C39"/>
    <mergeCell ref="A43:A44"/>
    <mergeCell ref="B43:B44"/>
    <mergeCell ref="C43:C44"/>
    <mergeCell ref="A49:A51"/>
    <mergeCell ref="B49:C51"/>
    <mergeCell ref="A71:G71"/>
    <mergeCell ref="A55:G55"/>
    <mergeCell ref="A56:G56"/>
    <mergeCell ref="A57:G57"/>
    <mergeCell ref="A58:G58"/>
    <mergeCell ref="A59:G59"/>
    <mergeCell ref="A60:G60"/>
    <mergeCell ref="A61:G61"/>
    <mergeCell ref="A62:G62"/>
    <mergeCell ref="A68:G68"/>
    <mergeCell ref="A69:G69"/>
    <mergeCell ref="A70:G70"/>
  </mergeCells>
  <printOptions horizontalCentered="1"/>
  <pageMargins left="0.78740157480314965" right="0.78740157480314965" top="0.59055118110236227" bottom="0.11811023622047245" header="0.51181102362204722" footer="3.937007874015748E-2"/>
  <pageSetup paperSize="9" scale="87" orientation="portrait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4">
    <tabColor theme="9" tint="0.59999389629810485"/>
  </sheetPr>
  <dimension ref="A1:O22"/>
  <sheetViews>
    <sheetView zoomScaleSheetLayoutView="75" workbookViewId="0">
      <selection activeCell="M38" sqref="M38"/>
    </sheetView>
  </sheetViews>
  <sheetFormatPr defaultRowHeight="13.2"/>
  <cols>
    <col min="1" max="1" width="36.109375" style="2103" customWidth="1"/>
    <col min="2" max="2" width="11.44140625" style="2103" customWidth="1"/>
    <col min="3" max="5" width="13.6640625" style="2103" customWidth="1"/>
    <col min="6" max="7" width="10.5546875" style="2103" hidden="1" customWidth="1"/>
    <col min="8" max="14" width="0" style="2103" hidden="1" customWidth="1"/>
    <col min="15" max="15" width="1.109375" style="2103" hidden="1" customWidth="1"/>
    <col min="16" max="256" width="9.109375" style="2103"/>
    <col min="257" max="257" width="36.109375" style="2103" customWidth="1"/>
    <col min="258" max="258" width="11.44140625" style="2103" customWidth="1"/>
    <col min="259" max="261" width="13.6640625" style="2103" customWidth="1"/>
    <col min="262" max="271" width="0" style="2103" hidden="1" customWidth="1"/>
    <col min="272" max="512" width="9.109375" style="2103"/>
    <col min="513" max="513" width="36.109375" style="2103" customWidth="1"/>
    <col min="514" max="514" width="11.44140625" style="2103" customWidth="1"/>
    <col min="515" max="517" width="13.6640625" style="2103" customWidth="1"/>
    <col min="518" max="527" width="0" style="2103" hidden="1" customWidth="1"/>
    <col min="528" max="768" width="9.109375" style="2103"/>
    <col min="769" max="769" width="36.109375" style="2103" customWidth="1"/>
    <col min="770" max="770" width="11.44140625" style="2103" customWidth="1"/>
    <col min="771" max="773" width="13.6640625" style="2103" customWidth="1"/>
    <col min="774" max="783" width="0" style="2103" hidden="1" customWidth="1"/>
    <col min="784" max="1024" width="9.109375" style="2103"/>
    <col min="1025" max="1025" width="36.109375" style="2103" customWidth="1"/>
    <col min="1026" max="1026" width="11.44140625" style="2103" customWidth="1"/>
    <col min="1027" max="1029" width="13.6640625" style="2103" customWidth="1"/>
    <col min="1030" max="1039" width="0" style="2103" hidden="1" customWidth="1"/>
    <col min="1040" max="1280" width="9.109375" style="2103"/>
    <col min="1281" max="1281" width="36.109375" style="2103" customWidth="1"/>
    <col min="1282" max="1282" width="11.44140625" style="2103" customWidth="1"/>
    <col min="1283" max="1285" width="13.6640625" style="2103" customWidth="1"/>
    <col min="1286" max="1295" width="0" style="2103" hidden="1" customWidth="1"/>
    <col min="1296" max="1536" width="9.109375" style="2103"/>
    <col min="1537" max="1537" width="36.109375" style="2103" customWidth="1"/>
    <col min="1538" max="1538" width="11.44140625" style="2103" customWidth="1"/>
    <col min="1539" max="1541" width="13.6640625" style="2103" customWidth="1"/>
    <col min="1542" max="1551" width="0" style="2103" hidden="1" customWidth="1"/>
    <col min="1552" max="1792" width="9.109375" style="2103"/>
    <col min="1793" max="1793" width="36.109375" style="2103" customWidth="1"/>
    <col min="1794" max="1794" width="11.44140625" style="2103" customWidth="1"/>
    <col min="1795" max="1797" width="13.6640625" style="2103" customWidth="1"/>
    <col min="1798" max="1807" width="0" style="2103" hidden="1" customWidth="1"/>
    <col min="1808" max="2048" width="9.109375" style="2103"/>
    <col min="2049" max="2049" width="36.109375" style="2103" customWidth="1"/>
    <col min="2050" max="2050" width="11.44140625" style="2103" customWidth="1"/>
    <col min="2051" max="2053" width="13.6640625" style="2103" customWidth="1"/>
    <col min="2054" max="2063" width="0" style="2103" hidden="1" customWidth="1"/>
    <col min="2064" max="2304" width="9.109375" style="2103"/>
    <col min="2305" max="2305" width="36.109375" style="2103" customWidth="1"/>
    <col min="2306" max="2306" width="11.44140625" style="2103" customWidth="1"/>
    <col min="2307" max="2309" width="13.6640625" style="2103" customWidth="1"/>
    <col min="2310" max="2319" width="0" style="2103" hidden="1" customWidth="1"/>
    <col min="2320" max="2560" width="9.109375" style="2103"/>
    <col min="2561" max="2561" width="36.109375" style="2103" customWidth="1"/>
    <col min="2562" max="2562" width="11.44140625" style="2103" customWidth="1"/>
    <col min="2563" max="2565" width="13.6640625" style="2103" customWidth="1"/>
    <col min="2566" max="2575" width="0" style="2103" hidden="1" customWidth="1"/>
    <col min="2576" max="2816" width="9.109375" style="2103"/>
    <col min="2817" max="2817" width="36.109375" style="2103" customWidth="1"/>
    <col min="2818" max="2818" width="11.44140625" style="2103" customWidth="1"/>
    <col min="2819" max="2821" width="13.6640625" style="2103" customWidth="1"/>
    <col min="2822" max="2831" width="0" style="2103" hidden="1" customWidth="1"/>
    <col min="2832" max="3072" width="9.109375" style="2103"/>
    <col min="3073" max="3073" width="36.109375" style="2103" customWidth="1"/>
    <col min="3074" max="3074" width="11.44140625" style="2103" customWidth="1"/>
    <col min="3075" max="3077" width="13.6640625" style="2103" customWidth="1"/>
    <col min="3078" max="3087" width="0" style="2103" hidden="1" customWidth="1"/>
    <col min="3088" max="3328" width="9.109375" style="2103"/>
    <col min="3329" max="3329" width="36.109375" style="2103" customWidth="1"/>
    <col min="3330" max="3330" width="11.44140625" style="2103" customWidth="1"/>
    <col min="3331" max="3333" width="13.6640625" style="2103" customWidth="1"/>
    <col min="3334" max="3343" width="0" style="2103" hidden="1" customWidth="1"/>
    <col min="3344" max="3584" width="9.109375" style="2103"/>
    <col min="3585" max="3585" width="36.109375" style="2103" customWidth="1"/>
    <col min="3586" max="3586" width="11.44140625" style="2103" customWidth="1"/>
    <col min="3587" max="3589" width="13.6640625" style="2103" customWidth="1"/>
    <col min="3590" max="3599" width="0" style="2103" hidden="1" customWidth="1"/>
    <col min="3600" max="3840" width="9.109375" style="2103"/>
    <col min="3841" max="3841" width="36.109375" style="2103" customWidth="1"/>
    <col min="3842" max="3842" width="11.44140625" style="2103" customWidth="1"/>
    <col min="3843" max="3845" width="13.6640625" style="2103" customWidth="1"/>
    <col min="3846" max="3855" width="0" style="2103" hidden="1" customWidth="1"/>
    <col min="3856" max="4096" width="9.109375" style="2103"/>
    <col min="4097" max="4097" width="36.109375" style="2103" customWidth="1"/>
    <col min="4098" max="4098" width="11.44140625" style="2103" customWidth="1"/>
    <col min="4099" max="4101" width="13.6640625" style="2103" customWidth="1"/>
    <col min="4102" max="4111" width="0" style="2103" hidden="1" customWidth="1"/>
    <col min="4112" max="4352" width="9.109375" style="2103"/>
    <col min="4353" max="4353" width="36.109375" style="2103" customWidth="1"/>
    <col min="4354" max="4354" width="11.44140625" style="2103" customWidth="1"/>
    <col min="4355" max="4357" width="13.6640625" style="2103" customWidth="1"/>
    <col min="4358" max="4367" width="0" style="2103" hidden="1" customWidth="1"/>
    <col min="4368" max="4608" width="9.109375" style="2103"/>
    <col min="4609" max="4609" width="36.109375" style="2103" customWidth="1"/>
    <col min="4610" max="4610" width="11.44140625" style="2103" customWidth="1"/>
    <col min="4611" max="4613" width="13.6640625" style="2103" customWidth="1"/>
    <col min="4614" max="4623" width="0" style="2103" hidden="1" customWidth="1"/>
    <col min="4624" max="4864" width="9.109375" style="2103"/>
    <col min="4865" max="4865" width="36.109375" style="2103" customWidth="1"/>
    <col min="4866" max="4866" width="11.44140625" style="2103" customWidth="1"/>
    <col min="4867" max="4869" width="13.6640625" style="2103" customWidth="1"/>
    <col min="4870" max="4879" width="0" style="2103" hidden="1" customWidth="1"/>
    <col min="4880" max="5120" width="9.109375" style="2103"/>
    <col min="5121" max="5121" width="36.109375" style="2103" customWidth="1"/>
    <col min="5122" max="5122" width="11.44140625" style="2103" customWidth="1"/>
    <col min="5123" max="5125" width="13.6640625" style="2103" customWidth="1"/>
    <col min="5126" max="5135" width="0" style="2103" hidden="1" customWidth="1"/>
    <col min="5136" max="5376" width="9.109375" style="2103"/>
    <col min="5377" max="5377" width="36.109375" style="2103" customWidth="1"/>
    <col min="5378" max="5378" width="11.44140625" style="2103" customWidth="1"/>
    <col min="5379" max="5381" width="13.6640625" style="2103" customWidth="1"/>
    <col min="5382" max="5391" width="0" style="2103" hidden="1" customWidth="1"/>
    <col min="5392" max="5632" width="9.109375" style="2103"/>
    <col min="5633" max="5633" width="36.109375" style="2103" customWidth="1"/>
    <col min="5634" max="5634" width="11.44140625" style="2103" customWidth="1"/>
    <col min="5635" max="5637" width="13.6640625" style="2103" customWidth="1"/>
    <col min="5638" max="5647" width="0" style="2103" hidden="1" customWidth="1"/>
    <col min="5648" max="5888" width="9.109375" style="2103"/>
    <col min="5889" max="5889" width="36.109375" style="2103" customWidth="1"/>
    <col min="5890" max="5890" width="11.44140625" style="2103" customWidth="1"/>
    <col min="5891" max="5893" width="13.6640625" style="2103" customWidth="1"/>
    <col min="5894" max="5903" width="0" style="2103" hidden="1" customWidth="1"/>
    <col min="5904" max="6144" width="9.109375" style="2103"/>
    <col min="6145" max="6145" width="36.109375" style="2103" customWidth="1"/>
    <col min="6146" max="6146" width="11.44140625" style="2103" customWidth="1"/>
    <col min="6147" max="6149" width="13.6640625" style="2103" customWidth="1"/>
    <col min="6150" max="6159" width="0" style="2103" hidden="1" customWidth="1"/>
    <col min="6160" max="6400" width="9.109375" style="2103"/>
    <col min="6401" max="6401" width="36.109375" style="2103" customWidth="1"/>
    <col min="6402" max="6402" width="11.44140625" style="2103" customWidth="1"/>
    <col min="6403" max="6405" width="13.6640625" style="2103" customWidth="1"/>
    <col min="6406" max="6415" width="0" style="2103" hidden="1" customWidth="1"/>
    <col min="6416" max="6656" width="9.109375" style="2103"/>
    <col min="6657" max="6657" width="36.109375" style="2103" customWidth="1"/>
    <col min="6658" max="6658" width="11.44140625" style="2103" customWidth="1"/>
    <col min="6659" max="6661" width="13.6640625" style="2103" customWidth="1"/>
    <col min="6662" max="6671" width="0" style="2103" hidden="1" customWidth="1"/>
    <col min="6672" max="6912" width="9.109375" style="2103"/>
    <col min="6913" max="6913" width="36.109375" style="2103" customWidth="1"/>
    <col min="6914" max="6914" width="11.44140625" style="2103" customWidth="1"/>
    <col min="6915" max="6917" width="13.6640625" style="2103" customWidth="1"/>
    <col min="6918" max="6927" width="0" style="2103" hidden="1" customWidth="1"/>
    <col min="6928" max="7168" width="9.109375" style="2103"/>
    <col min="7169" max="7169" width="36.109375" style="2103" customWidth="1"/>
    <col min="7170" max="7170" width="11.44140625" style="2103" customWidth="1"/>
    <col min="7171" max="7173" width="13.6640625" style="2103" customWidth="1"/>
    <col min="7174" max="7183" width="0" style="2103" hidden="1" customWidth="1"/>
    <col min="7184" max="7424" width="9.109375" style="2103"/>
    <col min="7425" max="7425" width="36.109375" style="2103" customWidth="1"/>
    <col min="7426" max="7426" width="11.44140625" style="2103" customWidth="1"/>
    <col min="7427" max="7429" width="13.6640625" style="2103" customWidth="1"/>
    <col min="7430" max="7439" width="0" style="2103" hidden="1" customWidth="1"/>
    <col min="7440" max="7680" width="9.109375" style="2103"/>
    <col min="7681" max="7681" width="36.109375" style="2103" customWidth="1"/>
    <col min="7682" max="7682" width="11.44140625" style="2103" customWidth="1"/>
    <col min="7683" max="7685" width="13.6640625" style="2103" customWidth="1"/>
    <col min="7686" max="7695" width="0" style="2103" hidden="1" customWidth="1"/>
    <col min="7696" max="7936" width="9.109375" style="2103"/>
    <col min="7937" max="7937" width="36.109375" style="2103" customWidth="1"/>
    <col min="7938" max="7938" width="11.44140625" style="2103" customWidth="1"/>
    <col min="7939" max="7941" width="13.6640625" style="2103" customWidth="1"/>
    <col min="7942" max="7951" width="0" style="2103" hidden="1" customWidth="1"/>
    <col min="7952" max="8192" width="9.109375" style="2103"/>
    <col min="8193" max="8193" width="36.109375" style="2103" customWidth="1"/>
    <col min="8194" max="8194" width="11.44140625" style="2103" customWidth="1"/>
    <col min="8195" max="8197" width="13.6640625" style="2103" customWidth="1"/>
    <col min="8198" max="8207" width="0" style="2103" hidden="1" customWidth="1"/>
    <col min="8208" max="8448" width="9.109375" style="2103"/>
    <col min="8449" max="8449" width="36.109375" style="2103" customWidth="1"/>
    <col min="8450" max="8450" width="11.44140625" style="2103" customWidth="1"/>
    <col min="8451" max="8453" width="13.6640625" style="2103" customWidth="1"/>
    <col min="8454" max="8463" width="0" style="2103" hidden="1" customWidth="1"/>
    <col min="8464" max="8704" width="9.109375" style="2103"/>
    <col min="8705" max="8705" width="36.109375" style="2103" customWidth="1"/>
    <col min="8706" max="8706" width="11.44140625" style="2103" customWidth="1"/>
    <col min="8707" max="8709" width="13.6640625" style="2103" customWidth="1"/>
    <col min="8710" max="8719" width="0" style="2103" hidden="1" customWidth="1"/>
    <col min="8720" max="8960" width="9.109375" style="2103"/>
    <col min="8961" max="8961" width="36.109375" style="2103" customWidth="1"/>
    <col min="8962" max="8962" width="11.44140625" style="2103" customWidth="1"/>
    <col min="8963" max="8965" width="13.6640625" style="2103" customWidth="1"/>
    <col min="8966" max="8975" width="0" style="2103" hidden="1" customWidth="1"/>
    <col min="8976" max="9216" width="9.109375" style="2103"/>
    <col min="9217" max="9217" width="36.109375" style="2103" customWidth="1"/>
    <col min="9218" max="9218" width="11.44140625" style="2103" customWidth="1"/>
    <col min="9219" max="9221" width="13.6640625" style="2103" customWidth="1"/>
    <col min="9222" max="9231" width="0" style="2103" hidden="1" customWidth="1"/>
    <col min="9232" max="9472" width="9.109375" style="2103"/>
    <col min="9473" max="9473" width="36.109375" style="2103" customWidth="1"/>
    <col min="9474" max="9474" width="11.44140625" style="2103" customWidth="1"/>
    <col min="9475" max="9477" width="13.6640625" style="2103" customWidth="1"/>
    <col min="9478" max="9487" width="0" style="2103" hidden="1" customWidth="1"/>
    <col min="9488" max="9728" width="9.109375" style="2103"/>
    <col min="9729" max="9729" width="36.109375" style="2103" customWidth="1"/>
    <col min="9730" max="9730" width="11.44140625" style="2103" customWidth="1"/>
    <col min="9731" max="9733" width="13.6640625" style="2103" customWidth="1"/>
    <col min="9734" max="9743" width="0" style="2103" hidden="1" customWidth="1"/>
    <col min="9744" max="9984" width="9.109375" style="2103"/>
    <col min="9985" max="9985" width="36.109375" style="2103" customWidth="1"/>
    <col min="9986" max="9986" width="11.44140625" style="2103" customWidth="1"/>
    <col min="9987" max="9989" width="13.6640625" style="2103" customWidth="1"/>
    <col min="9990" max="9999" width="0" style="2103" hidden="1" customWidth="1"/>
    <col min="10000" max="10240" width="9.109375" style="2103"/>
    <col min="10241" max="10241" width="36.109375" style="2103" customWidth="1"/>
    <col min="10242" max="10242" width="11.44140625" style="2103" customWidth="1"/>
    <col min="10243" max="10245" width="13.6640625" style="2103" customWidth="1"/>
    <col min="10246" max="10255" width="0" style="2103" hidden="1" customWidth="1"/>
    <col min="10256" max="10496" width="9.109375" style="2103"/>
    <col min="10497" max="10497" width="36.109375" style="2103" customWidth="1"/>
    <col min="10498" max="10498" width="11.44140625" style="2103" customWidth="1"/>
    <col min="10499" max="10501" width="13.6640625" style="2103" customWidth="1"/>
    <col min="10502" max="10511" width="0" style="2103" hidden="1" customWidth="1"/>
    <col min="10512" max="10752" width="9.109375" style="2103"/>
    <col min="10753" max="10753" width="36.109375" style="2103" customWidth="1"/>
    <col min="10754" max="10754" width="11.44140625" style="2103" customWidth="1"/>
    <col min="10755" max="10757" width="13.6640625" style="2103" customWidth="1"/>
    <col min="10758" max="10767" width="0" style="2103" hidden="1" customWidth="1"/>
    <col min="10768" max="11008" width="9.109375" style="2103"/>
    <col min="11009" max="11009" width="36.109375" style="2103" customWidth="1"/>
    <col min="11010" max="11010" width="11.44140625" style="2103" customWidth="1"/>
    <col min="11011" max="11013" width="13.6640625" style="2103" customWidth="1"/>
    <col min="11014" max="11023" width="0" style="2103" hidden="1" customWidth="1"/>
    <col min="11024" max="11264" width="9.109375" style="2103"/>
    <col min="11265" max="11265" width="36.109375" style="2103" customWidth="1"/>
    <col min="11266" max="11266" width="11.44140625" style="2103" customWidth="1"/>
    <col min="11267" max="11269" width="13.6640625" style="2103" customWidth="1"/>
    <col min="11270" max="11279" width="0" style="2103" hidden="1" customWidth="1"/>
    <col min="11280" max="11520" width="9.109375" style="2103"/>
    <col min="11521" max="11521" width="36.109375" style="2103" customWidth="1"/>
    <col min="11522" max="11522" width="11.44140625" style="2103" customWidth="1"/>
    <col min="11523" max="11525" width="13.6640625" style="2103" customWidth="1"/>
    <col min="11526" max="11535" width="0" style="2103" hidden="1" customWidth="1"/>
    <col min="11536" max="11776" width="9.109375" style="2103"/>
    <col min="11777" max="11777" width="36.109375" style="2103" customWidth="1"/>
    <col min="11778" max="11778" width="11.44140625" style="2103" customWidth="1"/>
    <col min="11779" max="11781" width="13.6640625" style="2103" customWidth="1"/>
    <col min="11782" max="11791" width="0" style="2103" hidden="1" customWidth="1"/>
    <col min="11792" max="12032" width="9.109375" style="2103"/>
    <col min="12033" max="12033" width="36.109375" style="2103" customWidth="1"/>
    <col min="12034" max="12034" width="11.44140625" style="2103" customWidth="1"/>
    <col min="12035" max="12037" width="13.6640625" style="2103" customWidth="1"/>
    <col min="12038" max="12047" width="0" style="2103" hidden="1" customWidth="1"/>
    <col min="12048" max="12288" width="9.109375" style="2103"/>
    <col min="12289" max="12289" width="36.109375" style="2103" customWidth="1"/>
    <col min="12290" max="12290" width="11.44140625" style="2103" customWidth="1"/>
    <col min="12291" max="12293" width="13.6640625" style="2103" customWidth="1"/>
    <col min="12294" max="12303" width="0" style="2103" hidden="1" customWidth="1"/>
    <col min="12304" max="12544" width="9.109375" style="2103"/>
    <col min="12545" max="12545" width="36.109375" style="2103" customWidth="1"/>
    <col min="12546" max="12546" width="11.44140625" style="2103" customWidth="1"/>
    <col min="12547" max="12549" width="13.6640625" style="2103" customWidth="1"/>
    <col min="12550" max="12559" width="0" style="2103" hidden="1" customWidth="1"/>
    <col min="12560" max="12800" width="9.109375" style="2103"/>
    <col min="12801" max="12801" width="36.109375" style="2103" customWidth="1"/>
    <col min="12802" max="12802" width="11.44140625" style="2103" customWidth="1"/>
    <col min="12803" max="12805" width="13.6640625" style="2103" customWidth="1"/>
    <col min="12806" max="12815" width="0" style="2103" hidden="1" customWidth="1"/>
    <col min="12816" max="13056" width="9.109375" style="2103"/>
    <col min="13057" max="13057" width="36.109375" style="2103" customWidth="1"/>
    <col min="13058" max="13058" width="11.44140625" style="2103" customWidth="1"/>
    <col min="13059" max="13061" width="13.6640625" style="2103" customWidth="1"/>
    <col min="13062" max="13071" width="0" style="2103" hidden="1" customWidth="1"/>
    <col min="13072" max="13312" width="9.109375" style="2103"/>
    <col min="13313" max="13313" width="36.109375" style="2103" customWidth="1"/>
    <col min="13314" max="13314" width="11.44140625" style="2103" customWidth="1"/>
    <col min="13315" max="13317" width="13.6640625" style="2103" customWidth="1"/>
    <col min="13318" max="13327" width="0" style="2103" hidden="1" customWidth="1"/>
    <col min="13328" max="13568" width="9.109375" style="2103"/>
    <col min="13569" max="13569" width="36.109375" style="2103" customWidth="1"/>
    <col min="13570" max="13570" width="11.44140625" style="2103" customWidth="1"/>
    <col min="13571" max="13573" width="13.6640625" style="2103" customWidth="1"/>
    <col min="13574" max="13583" width="0" style="2103" hidden="1" customWidth="1"/>
    <col min="13584" max="13824" width="9.109375" style="2103"/>
    <col min="13825" max="13825" width="36.109375" style="2103" customWidth="1"/>
    <col min="13826" max="13826" width="11.44140625" style="2103" customWidth="1"/>
    <col min="13827" max="13829" width="13.6640625" style="2103" customWidth="1"/>
    <col min="13830" max="13839" width="0" style="2103" hidden="1" customWidth="1"/>
    <col min="13840" max="14080" width="9.109375" style="2103"/>
    <col min="14081" max="14081" width="36.109375" style="2103" customWidth="1"/>
    <col min="14082" max="14082" width="11.44140625" style="2103" customWidth="1"/>
    <col min="14083" max="14085" width="13.6640625" style="2103" customWidth="1"/>
    <col min="14086" max="14095" width="0" style="2103" hidden="1" customWidth="1"/>
    <col min="14096" max="14336" width="9.109375" style="2103"/>
    <col min="14337" max="14337" width="36.109375" style="2103" customWidth="1"/>
    <col min="14338" max="14338" width="11.44140625" style="2103" customWidth="1"/>
    <col min="14339" max="14341" width="13.6640625" style="2103" customWidth="1"/>
    <col min="14342" max="14351" width="0" style="2103" hidden="1" customWidth="1"/>
    <col min="14352" max="14592" width="9.109375" style="2103"/>
    <col min="14593" max="14593" width="36.109375" style="2103" customWidth="1"/>
    <col min="14594" max="14594" width="11.44140625" style="2103" customWidth="1"/>
    <col min="14595" max="14597" width="13.6640625" style="2103" customWidth="1"/>
    <col min="14598" max="14607" width="0" style="2103" hidden="1" customWidth="1"/>
    <col min="14608" max="14848" width="9.109375" style="2103"/>
    <col min="14849" max="14849" width="36.109375" style="2103" customWidth="1"/>
    <col min="14850" max="14850" width="11.44140625" style="2103" customWidth="1"/>
    <col min="14851" max="14853" width="13.6640625" style="2103" customWidth="1"/>
    <col min="14854" max="14863" width="0" style="2103" hidden="1" customWidth="1"/>
    <col min="14864" max="15104" width="9.109375" style="2103"/>
    <col min="15105" max="15105" width="36.109375" style="2103" customWidth="1"/>
    <col min="15106" max="15106" width="11.44140625" style="2103" customWidth="1"/>
    <col min="15107" max="15109" width="13.6640625" style="2103" customWidth="1"/>
    <col min="15110" max="15119" width="0" style="2103" hidden="1" customWidth="1"/>
    <col min="15120" max="15360" width="9.109375" style="2103"/>
    <col min="15361" max="15361" width="36.109375" style="2103" customWidth="1"/>
    <col min="15362" max="15362" width="11.44140625" style="2103" customWidth="1"/>
    <col min="15363" max="15365" width="13.6640625" style="2103" customWidth="1"/>
    <col min="15366" max="15375" width="0" style="2103" hidden="1" customWidth="1"/>
    <col min="15376" max="15616" width="9.109375" style="2103"/>
    <col min="15617" max="15617" width="36.109375" style="2103" customWidth="1"/>
    <col min="15618" max="15618" width="11.44140625" style="2103" customWidth="1"/>
    <col min="15619" max="15621" width="13.6640625" style="2103" customWidth="1"/>
    <col min="15622" max="15631" width="0" style="2103" hidden="1" customWidth="1"/>
    <col min="15632" max="15872" width="9.109375" style="2103"/>
    <col min="15873" max="15873" width="36.109375" style="2103" customWidth="1"/>
    <col min="15874" max="15874" width="11.44140625" style="2103" customWidth="1"/>
    <col min="15875" max="15877" width="13.6640625" style="2103" customWidth="1"/>
    <col min="15878" max="15887" width="0" style="2103" hidden="1" customWidth="1"/>
    <col min="15888" max="16128" width="9.109375" style="2103"/>
    <col min="16129" max="16129" width="36.109375" style="2103" customWidth="1"/>
    <col min="16130" max="16130" width="11.44140625" style="2103" customWidth="1"/>
    <col min="16131" max="16133" width="13.6640625" style="2103" customWidth="1"/>
    <col min="16134" max="16143" width="0" style="2103" hidden="1" customWidth="1"/>
    <col min="16144" max="16384" width="9.109375" style="2103"/>
  </cols>
  <sheetData>
    <row r="1" spans="1:11" ht="19.5" customHeight="1">
      <c r="D1" s="3970" t="s">
        <v>1307</v>
      </c>
      <c r="E1" s="3970"/>
    </row>
    <row r="2" spans="1:11" ht="66.75" customHeight="1">
      <c r="A2" s="2137" t="s">
        <v>2197</v>
      </c>
      <c r="B2" s="2137"/>
      <c r="C2" s="2137"/>
      <c r="D2" s="2137"/>
      <c r="E2" s="2137"/>
      <c r="F2" s="844" t="s">
        <v>832</v>
      </c>
      <c r="G2" s="844"/>
    </row>
    <row r="3" spans="1:11" ht="43.5" customHeight="1">
      <c r="A3" s="2102" t="s">
        <v>1308</v>
      </c>
      <c r="B3" s="2102"/>
      <c r="C3" s="2102"/>
      <c r="D3" s="2102"/>
      <c r="E3" s="2102"/>
      <c r="F3" s="2102" t="s">
        <v>832</v>
      </c>
      <c r="G3" s="2102"/>
    </row>
    <row r="4" spans="1:11" ht="42.75" customHeight="1">
      <c r="E4" s="872" t="s">
        <v>1401</v>
      </c>
    </row>
    <row r="5" spans="1:11" ht="31.2">
      <c r="A5" s="847" t="s">
        <v>1309</v>
      </c>
      <c r="B5" s="848" t="s">
        <v>1310</v>
      </c>
      <c r="C5" s="848" t="s">
        <v>2198</v>
      </c>
      <c r="D5" s="848" t="s">
        <v>2199</v>
      </c>
      <c r="E5" s="848" t="s">
        <v>2200</v>
      </c>
      <c r="K5" s="2103" t="s">
        <v>1624</v>
      </c>
    </row>
    <row r="6" spans="1:11">
      <c r="A6" s="849" t="s">
        <v>1316</v>
      </c>
      <c r="B6" s="850" t="s">
        <v>1317</v>
      </c>
      <c r="C6" s="1786">
        <v>833</v>
      </c>
      <c r="D6" s="1786">
        <f>$C$6</f>
        <v>833</v>
      </c>
      <c r="E6" s="1786">
        <f>$C$6</f>
        <v>833</v>
      </c>
      <c r="J6" s="2103">
        <f>[13]П.2.1.!L7</f>
        <v>815.29700000000003</v>
      </c>
      <c r="K6" s="2103">
        <v>541.09699999999998</v>
      </c>
    </row>
    <row r="8" spans="1:11" ht="45" customHeight="1">
      <c r="A8" s="3972" t="s">
        <v>1318</v>
      </c>
      <c r="B8" s="3972"/>
      <c r="C8" s="3972"/>
      <c r="D8" s="3972"/>
    </row>
    <row r="9" spans="1:11">
      <c r="A9" s="851"/>
      <c r="B9" s="851"/>
      <c r="C9" s="851"/>
      <c r="D9" s="851"/>
    </row>
    <row r="10" spans="1:11">
      <c r="A10" s="3972"/>
      <c r="B10" s="3972"/>
      <c r="C10" s="3972"/>
      <c r="D10" s="3972"/>
    </row>
    <row r="21" spans="1:11" s="776" customFormat="1" ht="23.25" customHeight="1">
      <c r="A21" s="839" t="s">
        <v>1266</v>
      </c>
      <c r="B21" s="834"/>
      <c r="C21" s="835"/>
      <c r="D21" s="835"/>
      <c r="E21" s="842" t="s">
        <v>1268</v>
      </c>
      <c r="F21" s="835"/>
      <c r="G21" s="838"/>
      <c r="H21" s="835"/>
      <c r="I21" s="835"/>
      <c r="J21" s="835"/>
      <c r="K21" s="835"/>
    </row>
    <row r="22" spans="1:11" s="776" customFormat="1" ht="15" customHeight="1">
      <c r="A22" s="839" t="s">
        <v>1304</v>
      </c>
      <c r="B22" s="834"/>
      <c r="C22" s="835"/>
      <c r="D22" s="841"/>
      <c r="E22" s="841"/>
      <c r="F22" s="835"/>
      <c r="H22" s="835"/>
      <c r="I22" s="835"/>
      <c r="J22" s="835"/>
      <c r="K22" s="835"/>
    </row>
  </sheetData>
  <mergeCells count="3">
    <mergeCell ref="D1:E1"/>
    <mergeCell ref="A8:D8"/>
    <mergeCell ref="A10:D10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95" orientation="portrait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5">
    <tabColor rgb="FFFFC000"/>
  </sheetPr>
  <dimension ref="A1:O56"/>
  <sheetViews>
    <sheetView workbookViewId="0">
      <pane xSplit="1" ySplit="12" topLeftCell="B46" activePane="bottomRight" state="frozenSplit"/>
      <selection activeCell="M38" sqref="M38"/>
      <selection pane="topRight" activeCell="M38" sqref="M38"/>
      <selection pane="bottomLeft" activeCell="M38" sqref="M38"/>
      <selection pane="bottomRight" activeCell="M38" sqref="M38"/>
    </sheetView>
  </sheetViews>
  <sheetFormatPr defaultRowHeight="13.2"/>
  <cols>
    <col min="1" max="1" width="10.88671875" style="10" customWidth="1"/>
    <col min="2" max="2" width="12" style="10" customWidth="1"/>
    <col min="3" max="3" width="11.5546875" style="10" customWidth="1"/>
    <col min="4" max="4" width="11.44140625" style="10" customWidth="1"/>
    <col min="5" max="5" width="10.5546875" style="10" customWidth="1"/>
    <col min="6" max="6" width="14.88671875" style="6" customWidth="1"/>
    <col min="7" max="7" width="16.109375" style="10" customWidth="1"/>
    <col min="8" max="256" width="9.109375" style="10"/>
    <col min="257" max="257" width="10.88671875" style="10" customWidth="1"/>
    <col min="258" max="258" width="12" style="10" customWidth="1"/>
    <col min="259" max="259" width="11.5546875" style="10" customWidth="1"/>
    <col min="260" max="260" width="11.44140625" style="10" customWidth="1"/>
    <col min="261" max="261" width="10.5546875" style="10" customWidth="1"/>
    <col min="262" max="262" width="14.88671875" style="10" customWidth="1"/>
    <col min="263" max="263" width="16.109375" style="10" customWidth="1"/>
    <col min="264" max="512" width="9.109375" style="10"/>
    <col min="513" max="513" width="10.88671875" style="10" customWidth="1"/>
    <col min="514" max="514" width="12" style="10" customWidth="1"/>
    <col min="515" max="515" width="11.5546875" style="10" customWidth="1"/>
    <col min="516" max="516" width="11.44140625" style="10" customWidth="1"/>
    <col min="517" max="517" width="10.5546875" style="10" customWidth="1"/>
    <col min="518" max="518" width="14.88671875" style="10" customWidth="1"/>
    <col min="519" max="519" width="16.109375" style="10" customWidth="1"/>
    <col min="520" max="768" width="9.109375" style="10"/>
    <col min="769" max="769" width="10.88671875" style="10" customWidth="1"/>
    <col min="770" max="770" width="12" style="10" customWidth="1"/>
    <col min="771" max="771" width="11.5546875" style="10" customWidth="1"/>
    <col min="772" max="772" width="11.44140625" style="10" customWidth="1"/>
    <col min="773" max="773" width="10.5546875" style="10" customWidth="1"/>
    <col min="774" max="774" width="14.88671875" style="10" customWidth="1"/>
    <col min="775" max="775" width="16.109375" style="10" customWidth="1"/>
    <col min="776" max="1024" width="9.109375" style="10"/>
    <col min="1025" max="1025" width="10.88671875" style="10" customWidth="1"/>
    <col min="1026" max="1026" width="12" style="10" customWidth="1"/>
    <col min="1027" max="1027" width="11.5546875" style="10" customWidth="1"/>
    <col min="1028" max="1028" width="11.44140625" style="10" customWidth="1"/>
    <col min="1029" max="1029" width="10.5546875" style="10" customWidth="1"/>
    <col min="1030" max="1030" width="14.88671875" style="10" customWidth="1"/>
    <col min="1031" max="1031" width="16.109375" style="10" customWidth="1"/>
    <col min="1032" max="1280" width="9.109375" style="10"/>
    <col min="1281" max="1281" width="10.88671875" style="10" customWidth="1"/>
    <col min="1282" max="1282" width="12" style="10" customWidth="1"/>
    <col min="1283" max="1283" width="11.5546875" style="10" customWidth="1"/>
    <col min="1284" max="1284" width="11.44140625" style="10" customWidth="1"/>
    <col min="1285" max="1285" width="10.5546875" style="10" customWidth="1"/>
    <col min="1286" max="1286" width="14.88671875" style="10" customWidth="1"/>
    <col min="1287" max="1287" width="16.109375" style="10" customWidth="1"/>
    <col min="1288" max="1536" width="9.109375" style="10"/>
    <col min="1537" max="1537" width="10.88671875" style="10" customWidth="1"/>
    <col min="1538" max="1538" width="12" style="10" customWidth="1"/>
    <col min="1539" max="1539" width="11.5546875" style="10" customWidth="1"/>
    <col min="1540" max="1540" width="11.44140625" style="10" customWidth="1"/>
    <col min="1541" max="1541" width="10.5546875" style="10" customWidth="1"/>
    <col min="1542" max="1542" width="14.88671875" style="10" customWidth="1"/>
    <col min="1543" max="1543" width="16.109375" style="10" customWidth="1"/>
    <col min="1544" max="1792" width="9.109375" style="10"/>
    <col min="1793" max="1793" width="10.88671875" style="10" customWidth="1"/>
    <col min="1794" max="1794" width="12" style="10" customWidth="1"/>
    <col min="1795" max="1795" width="11.5546875" style="10" customWidth="1"/>
    <col min="1796" max="1796" width="11.44140625" style="10" customWidth="1"/>
    <col min="1797" max="1797" width="10.5546875" style="10" customWidth="1"/>
    <col min="1798" max="1798" width="14.88671875" style="10" customWidth="1"/>
    <col min="1799" max="1799" width="16.109375" style="10" customWidth="1"/>
    <col min="1800" max="2048" width="9.109375" style="10"/>
    <col min="2049" max="2049" width="10.88671875" style="10" customWidth="1"/>
    <col min="2050" max="2050" width="12" style="10" customWidth="1"/>
    <col min="2051" max="2051" width="11.5546875" style="10" customWidth="1"/>
    <col min="2052" max="2052" width="11.44140625" style="10" customWidth="1"/>
    <col min="2053" max="2053" width="10.5546875" style="10" customWidth="1"/>
    <col min="2054" max="2054" width="14.88671875" style="10" customWidth="1"/>
    <col min="2055" max="2055" width="16.109375" style="10" customWidth="1"/>
    <col min="2056" max="2304" width="9.109375" style="10"/>
    <col min="2305" max="2305" width="10.88671875" style="10" customWidth="1"/>
    <col min="2306" max="2306" width="12" style="10" customWidth="1"/>
    <col min="2307" max="2307" width="11.5546875" style="10" customWidth="1"/>
    <col min="2308" max="2308" width="11.44140625" style="10" customWidth="1"/>
    <col min="2309" max="2309" width="10.5546875" style="10" customWidth="1"/>
    <col min="2310" max="2310" width="14.88671875" style="10" customWidth="1"/>
    <col min="2311" max="2311" width="16.109375" style="10" customWidth="1"/>
    <col min="2312" max="2560" width="9.109375" style="10"/>
    <col min="2561" max="2561" width="10.88671875" style="10" customWidth="1"/>
    <col min="2562" max="2562" width="12" style="10" customWidth="1"/>
    <col min="2563" max="2563" width="11.5546875" style="10" customWidth="1"/>
    <col min="2564" max="2564" width="11.44140625" style="10" customWidth="1"/>
    <col min="2565" max="2565" width="10.5546875" style="10" customWidth="1"/>
    <col min="2566" max="2566" width="14.88671875" style="10" customWidth="1"/>
    <col min="2567" max="2567" width="16.109375" style="10" customWidth="1"/>
    <col min="2568" max="2816" width="9.109375" style="10"/>
    <col min="2817" max="2817" width="10.88671875" style="10" customWidth="1"/>
    <col min="2818" max="2818" width="12" style="10" customWidth="1"/>
    <col min="2819" max="2819" width="11.5546875" style="10" customWidth="1"/>
    <col min="2820" max="2820" width="11.44140625" style="10" customWidth="1"/>
    <col min="2821" max="2821" width="10.5546875" style="10" customWidth="1"/>
    <col min="2822" max="2822" width="14.88671875" style="10" customWidth="1"/>
    <col min="2823" max="2823" width="16.109375" style="10" customWidth="1"/>
    <col min="2824" max="3072" width="9.109375" style="10"/>
    <col min="3073" max="3073" width="10.88671875" style="10" customWidth="1"/>
    <col min="3074" max="3074" width="12" style="10" customWidth="1"/>
    <col min="3075" max="3075" width="11.5546875" style="10" customWidth="1"/>
    <col min="3076" max="3076" width="11.44140625" style="10" customWidth="1"/>
    <col min="3077" max="3077" width="10.5546875" style="10" customWidth="1"/>
    <col min="3078" max="3078" width="14.88671875" style="10" customWidth="1"/>
    <col min="3079" max="3079" width="16.109375" style="10" customWidth="1"/>
    <col min="3080" max="3328" width="9.109375" style="10"/>
    <col min="3329" max="3329" width="10.88671875" style="10" customWidth="1"/>
    <col min="3330" max="3330" width="12" style="10" customWidth="1"/>
    <col min="3331" max="3331" width="11.5546875" style="10" customWidth="1"/>
    <col min="3332" max="3332" width="11.44140625" style="10" customWidth="1"/>
    <col min="3333" max="3333" width="10.5546875" style="10" customWidth="1"/>
    <col min="3334" max="3334" width="14.88671875" style="10" customWidth="1"/>
    <col min="3335" max="3335" width="16.109375" style="10" customWidth="1"/>
    <col min="3336" max="3584" width="9.109375" style="10"/>
    <col min="3585" max="3585" width="10.88671875" style="10" customWidth="1"/>
    <col min="3586" max="3586" width="12" style="10" customWidth="1"/>
    <col min="3587" max="3587" width="11.5546875" style="10" customWidth="1"/>
    <col min="3588" max="3588" width="11.44140625" style="10" customWidth="1"/>
    <col min="3589" max="3589" width="10.5546875" style="10" customWidth="1"/>
    <col min="3590" max="3590" width="14.88671875" style="10" customWidth="1"/>
    <col min="3591" max="3591" width="16.109375" style="10" customWidth="1"/>
    <col min="3592" max="3840" width="9.109375" style="10"/>
    <col min="3841" max="3841" width="10.88671875" style="10" customWidth="1"/>
    <col min="3842" max="3842" width="12" style="10" customWidth="1"/>
    <col min="3843" max="3843" width="11.5546875" style="10" customWidth="1"/>
    <col min="3844" max="3844" width="11.44140625" style="10" customWidth="1"/>
    <col min="3845" max="3845" width="10.5546875" style="10" customWidth="1"/>
    <col min="3846" max="3846" width="14.88671875" style="10" customWidth="1"/>
    <col min="3847" max="3847" width="16.109375" style="10" customWidth="1"/>
    <col min="3848" max="4096" width="9.109375" style="10"/>
    <col min="4097" max="4097" width="10.88671875" style="10" customWidth="1"/>
    <col min="4098" max="4098" width="12" style="10" customWidth="1"/>
    <col min="4099" max="4099" width="11.5546875" style="10" customWidth="1"/>
    <col min="4100" max="4100" width="11.44140625" style="10" customWidth="1"/>
    <col min="4101" max="4101" width="10.5546875" style="10" customWidth="1"/>
    <col min="4102" max="4102" width="14.88671875" style="10" customWidth="1"/>
    <col min="4103" max="4103" width="16.109375" style="10" customWidth="1"/>
    <col min="4104" max="4352" width="9.109375" style="10"/>
    <col min="4353" max="4353" width="10.88671875" style="10" customWidth="1"/>
    <col min="4354" max="4354" width="12" style="10" customWidth="1"/>
    <col min="4355" max="4355" width="11.5546875" style="10" customWidth="1"/>
    <col min="4356" max="4356" width="11.44140625" style="10" customWidth="1"/>
    <col min="4357" max="4357" width="10.5546875" style="10" customWidth="1"/>
    <col min="4358" max="4358" width="14.88671875" style="10" customWidth="1"/>
    <col min="4359" max="4359" width="16.109375" style="10" customWidth="1"/>
    <col min="4360" max="4608" width="9.109375" style="10"/>
    <col min="4609" max="4609" width="10.88671875" style="10" customWidth="1"/>
    <col min="4610" max="4610" width="12" style="10" customWidth="1"/>
    <col min="4611" max="4611" width="11.5546875" style="10" customWidth="1"/>
    <col min="4612" max="4612" width="11.44140625" style="10" customWidth="1"/>
    <col min="4613" max="4613" width="10.5546875" style="10" customWidth="1"/>
    <col min="4614" max="4614" width="14.88671875" style="10" customWidth="1"/>
    <col min="4615" max="4615" width="16.109375" style="10" customWidth="1"/>
    <col min="4616" max="4864" width="9.109375" style="10"/>
    <col min="4865" max="4865" width="10.88671875" style="10" customWidth="1"/>
    <col min="4866" max="4866" width="12" style="10" customWidth="1"/>
    <col min="4867" max="4867" width="11.5546875" style="10" customWidth="1"/>
    <col min="4868" max="4868" width="11.44140625" style="10" customWidth="1"/>
    <col min="4869" max="4869" width="10.5546875" style="10" customWidth="1"/>
    <col min="4870" max="4870" width="14.88671875" style="10" customWidth="1"/>
    <col min="4871" max="4871" width="16.109375" style="10" customWidth="1"/>
    <col min="4872" max="5120" width="9.109375" style="10"/>
    <col min="5121" max="5121" width="10.88671875" style="10" customWidth="1"/>
    <col min="5122" max="5122" width="12" style="10" customWidth="1"/>
    <col min="5123" max="5123" width="11.5546875" style="10" customWidth="1"/>
    <col min="5124" max="5124" width="11.44140625" style="10" customWidth="1"/>
    <col min="5125" max="5125" width="10.5546875" style="10" customWidth="1"/>
    <col min="5126" max="5126" width="14.88671875" style="10" customWidth="1"/>
    <col min="5127" max="5127" width="16.109375" style="10" customWidth="1"/>
    <col min="5128" max="5376" width="9.109375" style="10"/>
    <col min="5377" max="5377" width="10.88671875" style="10" customWidth="1"/>
    <col min="5378" max="5378" width="12" style="10" customWidth="1"/>
    <col min="5379" max="5379" width="11.5546875" style="10" customWidth="1"/>
    <col min="5380" max="5380" width="11.44140625" style="10" customWidth="1"/>
    <col min="5381" max="5381" width="10.5546875" style="10" customWidth="1"/>
    <col min="5382" max="5382" width="14.88671875" style="10" customWidth="1"/>
    <col min="5383" max="5383" width="16.109375" style="10" customWidth="1"/>
    <col min="5384" max="5632" width="9.109375" style="10"/>
    <col min="5633" max="5633" width="10.88671875" style="10" customWidth="1"/>
    <col min="5634" max="5634" width="12" style="10" customWidth="1"/>
    <col min="5635" max="5635" width="11.5546875" style="10" customWidth="1"/>
    <col min="5636" max="5636" width="11.44140625" style="10" customWidth="1"/>
    <col min="5637" max="5637" width="10.5546875" style="10" customWidth="1"/>
    <col min="5638" max="5638" width="14.88671875" style="10" customWidth="1"/>
    <col min="5639" max="5639" width="16.109375" style="10" customWidth="1"/>
    <col min="5640" max="5888" width="9.109375" style="10"/>
    <col min="5889" max="5889" width="10.88671875" style="10" customWidth="1"/>
    <col min="5890" max="5890" width="12" style="10" customWidth="1"/>
    <col min="5891" max="5891" width="11.5546875" style="10" customWidth="1"/>
    <col min="5892" max="5892" width="11.44140625" style="10" customWidth="1"/>
    <col min="5893" max="5893" width="10.5546875" style="10" customWidth="1"/>
    <col min="5894" max="5894" width="14.88671875" style="10" customWidth="1"/>
    <col min="5895" max="5895" width="16.109375" style="10" customWidth="1"/>
    <col min="5896" max="6144" width="9.109375" style="10"/>
    <col min="6145" max="6145" width="10.88671875" style="10" customWidth="1"/>
    <col min="6146" max="6146" width="12" style="10" customWidth="1"/>
    <col min="6147" max="6147" width="11.5546875" style="10" customWidth="1"/>
    <col min="6148" max="6148" width="11.44140625" style="10" customWidth="1"/>
    <col min="6149" max="6149" width="10.5546875" style="10" customWidth="1"/>
    <col min="6150" max="6150" width="14.88671875" style="10" customWidth="1"/>
    <col min="6151" max="6151" width="16.109375" style="10" customWidth="1"/>
    <col min="6152" max="6400" width="9.109375" style="10"/>
    <col min="6401" max="6401" width="10.88671875" style="10" customWidth="1"/>
    <col min="6402" max="6402" width="12" style="10" customWidth="1"/>
    <col min="6403" max="6403" width="11.5546875" style="10" customWidth="1"/>
    <col min="6404" max="6404" width="11.44140625" style="10" customWidth="1"/>
    <col min="6405" max="6405" width="10.5546875" style="10" customWidth="1"/>
    <col min="6406" max="6406" width="14.88671875" style="10" customWidth="1"/>
    <col min="6407" max="6407" width="16.109375" style="10" customWidth="1"/>
    <col min="6408" max="6656" width="9.109375" style="10"/>
    <col min="6657" max="6657" width="10.88671875" style="10" customWidth="1"/>
    <col min="6658" max="6658" width="12" style="10" customWidth="1"/>
    <col min="6659" max="6659" width="11.5546875" style="10" customWidth="1"/>
    <col min="6660" max="6660" width="11.44140625" style="10" customWidth="1"/>
    <col min="6661" max="6661" width="10.5546875" style="10" customWidth="1"/>
    <col min="6662" max="6662" width="14.88671875" style="10" customWidth="1"/>
    <col min="6663" max="6663" width="16.109375" style="10" customWidth="1"/>
    <col min="6664" max="6912" width="9.109375" style="10"/>
    <col min="6913" max="6913" width="10.88671875" style="10" customWidth="1"/>
    <col min="6914" max="6914" width="12" style="10" customWidth="1"/>
    <col min="6915" max="6915" width="11.5546875" style="10" customWidth="1"/>
    <col min="6916" max="6916" width="11.44140625" style="10" customWidth="1"/>
    <col min="6917" max="6917" width="10.5546875" style="10" customWidth="1"/>
    <col min="6918" max="6918" width="14.88671875" style="10" customWidth="1"/>
    <col min="6919" max="6919" width="16.109375" style="10" customWidth="1"/>
    <col min="6920" max="7168" width="9.109375" style="10"/>
    <col min="7169" max="7169" width="10.88671875" style="10" customWidth="1"/>
    <col min="7170" max="7170" width="12" style="10" customWidth="1"/>
    <col min="7171" max="7171" width="11.5546875" style="10" customWidth="1"/>
    <col min="7172" max="7172" width="11.44140625" style="10" customWidth="1"/>
    <col min="7173" max="7173" width="10.5546875" style="10" customWidth="1"/>
    <col min="7174" max="7174" width="14.88671875" style="10" customWidth="1"/>
    <col min="7175" max="7175" width="16.109375" style="10" customWidth="1"/>
    <col min="7176" max="7424" width="9.109375" style="10"/>
    <col min="7425" max="7425" width="10.88671875" style="10" customWidth="1"/>
    <col min="7426" max="7426" width="12" style="10" customWidth="1"/>
    <col min="7427" max="7427" width="11.5546875" style="10" customWidth="1"/>
    <col min="7428" max="7428" width="11.44140625" style="10" customWidth="1"/>
    <col min="7429" max="7429" width="10.5546875" style="10" customWidth="1"/>
    <col min="7430" max="7430" width="14.88671875" style="10" customWidth="1"/>
    <col min="7431" max="7431" width="16.109375" style="10" customWidth="1"/>
    <col min="7432" max="7680" width="9.109375" style="10"/>
    <col min="7681" max="7681" width="10.88671875" style="10" customWidth="1"/>
    <col min="7682" max="7682" width="12" style="10" customWidth="1"/>
    <col min="7683" max="7683" width="11.5546875" style="10" customWidth="1"/>
    <col min="7684" max="7684" width="11.44140625" style="10" customWidth="1"/>
    <col min="7685" max="7685" width="10.5546875" style="10" customWidth="1"/>
    <col min="7686" max="7686" width="14.88671875" style="10" customWidth="1"/>
    <col min="7687" max="7687" width="16.109375" style="10" customWidth="1"/>
    <col min="7688" max="7936" width="9.109375" style="10"/>
    <col min="7937" max="7937" width="10.88671875" style="10" customWidth="1"/>
    <col min="7938" max="7938" width="12" style="10" customWidth="1"/>
    <col min="7939" max="7939" width="11.5546875" style="10" customWidth="1"/>
    <col min="7940" max="7940" width="11.44140625" style="10" customWidth="1"/>
    <col min="7941" max="7941" width="10.5546875" style="10" customWidth="1"/>
    <col min="7942" max="7942" width="14.88671875" style="10" customWidth="1"/>
    <col min="7943" max="7943" width="16.109375" style="10" customWidth="1"/>
    <col min="7944" max="8192" width="9.109375" style="10"/>
    <col min="8193" max="8193" width="10.88671875" style="10" customWidth="1"/>
    <col min="8194" max="8194" width="12" style="10" customWidth="1"/>
    <col min="8195" max="8195" width="11.5546875" style="10" customWidth="1"/>
    <col min="8196" max="8196" width="11.44140625" style="10" customWidth="1"/>
    <col min="8197" max="8197" width="10.5546875" style="10" customWidth="1"/>
    <col min="8198" max="8198" width="14.88671875" style="10" customWidth="1"/>
    <col min="8199" max="8199" width="16.109375" style="10" customWidth="1"/>
    <col min="8200" max="8448" width="9.109375" style="10"/>
    <col min="8449" max="8449" width="10.88671875" style="10" customWidth="1"/>
    <col min="8450" max="8450" width="12" style="10" customWidth="1"/>
    <col min="8451" max="8451" width="11.5546875" style="10" customWidth="1"/>
    <col min="8452" max="8452" width="11.44140625" style="10" customWidth="1"/>
    <col min="8453" max="8453" width="10.5546875" style="10" customWidth="1"/>
    <col min="8454" max="8454" width="14.88671875" style="10" customWidth="1"/>
    <col min="8455" max="8455" width="16.109375" style="10" customWidth="1"/>
    <col min="8456" max="8704" width="9.109375" style="10"/>
    <col min="8705" max="8705" width="10.88671875" style="10" customWidth="1"/>
    <col min="8706" max="8706" width="12" style="10" customWidth="1"/>
    <col min="8707" max="8707" width="11.5546875" style="10" customWidth="1"/>
    <col min="8708" max="8708" width="11.44140625" style="10" customWidth="1"/>
    <col min="8709" max="8709" width="10.5546875" style="10" customWidth="1"/>
    <col min="8710" max="8710" width="14.88671875" style="10" customWidth="1"/>
    <col min="8711" max="8711" width="16.109375" style="10" customWidth="1"/>
    <col min="8712" max="8960" width="9.109375" style="10"/>
    <col min="8961" max="8961" width="10.88671875" style="10" customWidth="1"/>
    <col min="8962" max="8962" width="12" style="10" customWidth="1"/>
    <col min="8963" max="8963" width="11.5546875" style="10" customWidth="1"/>
    <col min="8964" max="8964" width="11.44140625" style="10" customWidth="1"/>
    <col min="8965" max="8965" width="10.5546875" style="10" customWidth="1"/>
    <col min="8966" max="8966" width="14.88671875" style="10" customWidth="1"/>
    <col min="8967" max="8967" width="16.109375" style="10" customWidth="1"/>
    <col min="8968" max="9216" width="9.109375" style="10"/>
    <col min="9217" max="9217" width="10.88671875" style="10" customWidth="1"/>
    <col min="9218" max="9218" width="12" style="10" customWidth="1"/>
    <col min="9219" max="9219" width="11.5546875" style="10" customWidth="1"/>
    <col min="9220" max="9220" width="11.44140625" style="10" customWidth="1"/>
    <col min="9221" max="9221" width="10.5546875" style="10" customWidth="1"/>
    <col min="9222" max="9222" width="14.88671875" style="10" customWidth="1"/>
    <col min="9223" max="9223" width="16.109375" style="10" customWidth="1"/>
    <col min="9224" max="9472" width="9.109375" style="10"/>
    <col min="9473" max="9473" width="10.88671875" style="10" customWidth="1"/>
    <col min="9474" max="9474" width="12" style="10" customWidth="1"/>
    <col min="9475" max="9475" width="11.5546875" style="10" customWidth="1"/>
    <col min="9476" max="9476" width="11.44140625" style="10" customWidth="1"/>
    <col min="9477" max="9477" width="10.5546875" style="10" customWidth="1"/>
    <col min="9478" max="9478" width="14.88671875" style="10" customWidth="1"/>
    <col min="9479" max="9479" width="16.109375" style="10" customWidth="1"/>
    <col min="9480" max="9728" width="9.109375" style="10"/>
    <col min="9729" max="9729" width="10.88671875" style="10" customWidth="1"/>
    <col min="9730" max="9730" width="12" style="10" customWidth="1"/>
    <col min="9731" max="9731" width="11.5546875" style="10" customWidth="1"/>
    <col min="9732" max="9732" width="11.44140625" style="10" customWidth="1"/>
    <col min="9733" max="9733" width="10.5546875" style="10" customWidth="1"/>
    <col min="9734" max="9734" width="14.88671875" style="10" customWidth="1"/>
    <col min="9735" max="9735" width="16.109375" style="10" customWidth="1"/>
    <col min="9736" max="9984" width="9.109375" style="10"/>
    <col min="9985" max="9985" width="10.88671875" style="10" customWidth="1"/>
    <col min="9986" max="9986" width="12" style="10" customWidth="1"/>
    <col min="9987" max="9987" width="11.5546875" style="10" customWidth="1"/>
    <col min="9988" max="9988" width="11.44140625" style="10" customWidth="1"/>
    <col min="9989" max="9989" width="10.5546875" style="10" customWidth="1"/>
    <col min="9990" max="9990" width="14.88671875" style="10" customWidth="1"/>
    <col min="9991" max="9991" width="16.109375" style="10" customWidth="1"/>
    <col min="9992" max="10240" width="9.109375" style="10"/>
    <col min="10241" max="10241" width="10.88671875" style="10" customWidth="1"/>
    <col min="10242" max="10242" width="12" style="10" customWidth="1"/>
    <col min="10243" max="10243" width="11.5546875" style="10" customWidth="1"/>
    <col min="10244" max="10244" width="11.44140625" style="10" customWidth="1"/>
    <col min="10245" max="10245" width="10.5546875" style="10" customWidth="1"/>
    <col min="10246" max="10246" width="14.88671875" style="10" customWidth="1"/>
    <col min="10247" max="10247" width="16.109375" style="10" customWidth="1"/>
    <col min="10248" max="10496" width="9.109375" style="10"/>
    <col min="10497" max="10497" width="10.88671875" style="10" customWidth="1"/>
    <col min="10498" max="10498" width="12" style="10" customWidth="1"/>
    <col min="10499" max="10499" width="11.5546875" style="10" customWidth="1"/>
    <col min="10500" max="10500" width="11.44140625" style="10" customWidth="1"/>
    <col min="10501" max="10501" width="10.5546875" style="10" customWidth="1"/>
    <col min="10502" max="10502" width="14.88671875" style="10" customWidth="1"/>
    <col min="10503" max="10503" width="16.109375" style="10" customWidth="1"/>
    <col min="10504" max="10752" width="9.109375" style="10"/>
    <col min="10753" max="10753" width="10.88671875" style="10" customWidth="1"/>
    <col min="10754" max="10754" width="12" style="10" customWidth="1"/>
    <col min="10755" max="10755" width="11.5546875" style="10" customWidth="1"/>
    <col min="10756" max="10756" width="11.44140625" style="10" customWidth="1"/>
    <col min="10757" max="10757" width="10.5546875" style="10" customWidth="1"/>
    <col min="10758" max="10758" width="14.88671875" style="10" customWidth="1"/>
    <col min="10759" max="10759" width="16.109375" style="10" customWidth="1"/>
    <col min="10760" max="11008" width="9.109375" style="10"/>
    <col min="11009" max="11009" width="10.88671875" style="10" customWidth="1"/>
    <col min="11010" max="11010" width="12" style="10" customWidth="1"/>
    <col min="11011" max="11011" width="11.5546875" style="10" customWidth="1"/>
    <col min="11012" max="11012" width="11.44140625" style="10" customWidth="1"/>
    <col min="11013" max="11013" width="10.5546875" style="10" customWidth="1"/>
    <col min="11014" max="11014" width="14.88671875" style="10" customWidth="1"/>
    <col min="11015" max="11015" width="16.109375" style="10" customWidth="1"/>
    <col min="11016" max="11264" width="9.109375" style="10"/>
    <col min="11265" max="11265" width="10.88671875" style="10" customWidth="1"/>
    <col min="11266" max="11266" width="12" style="10" customWidth="1"/>
    <col min="11267" max="11267" width="11.5546875" style="10" customWidth="1"/>
    <col min="11268" max="11268" width="11.44140625" style="10" customWidth="1"/>
    <col min="11269" max="11269" width="10.5546875" style="10" customWidth="1"/>
    <col min="11270" max="11270" width="14.88671875" style="10" customWidth="1"/>
    <col min="11271" max="11271" width="16.109375" style="10" customWidth="1"/>
    <col min="11272" max="11520" width="9.109375" style="10"/>
    <col min="11521" max="11521" width="10.88671875" style="10" customWidth="1"/>
    <col min="11522" max="11522" width="12" style="10" customWidth="1"/>
    <col min="11523" max="11523" width="11.5546875" style="10" customWidth="1"/>
    <col min="11524" max="11524" width="11.44140625" style="10" customWidth="1"/>
    <col min="11525" max="11525" width="10.5546875" style="10" customWidth="1"/>
    <col min="11526" max="11526" width="14.88671875" style="10" customWidth="1"/>
    <col min="11527" max="11527" width="16.109375" style="10" customWidth="1"/>
    <col min="11528" max="11776" width="9.109375" style="10"/>
    <col min="11777" max="11777" width="10.88671875" style="10" customWidth="1"/>
    <col min="11778" max="11778" width="12" style="10" customWidth="1"/>
    <col min="11779" max="11779" width="11.5546875" style="10" customWidth="1"/>
    <col min="11780" max="11780" width="11.44140625" style="10" customWidth="1"/>
    <col min="11781" max="11781" width="10.5546875" style="10" customWidth="1"/>
    <col min="11782" max="11782" width="14.88671875" style="10" customWidth="1"/>
    <col min="11783" max="11783" width="16.109375" style="10" customWidth="1"/>
    <col min="11784" max="12032" width="9.109375" style="10"/>
    <col min="12033" max="12033" width="10.88671875" style="10" customWidth="1"/>
    <col min="12034" max="12034" width="12" style="10" customWidth="1"/>
    <col min="12035" max="12035" width="11.5546875" style="10" customWidth="1"/>
    <col min="12036" max="12036" width="11.44140625" style="10" customWidth="1"/>
    <col min="12037" max="12037" width="10.5546875" style="10" customWidth="1"/>
    <col min="12038" max="12038" width="14.88671875" style="10" customWidth="1"/>
    <col min="12039" max="12039" width="16.109375" style="10" customWidth="1"/>
    <col min="12040" max="12288" width="9.109375" style="10"/>
    <col min="12289" max="12289" width="10.88671875" style="10" customWidth="1"/>
    <col min="12290" max="12290" width="12" style="10" customWidth="1"/>
    <col min="12291" max="12291" width="11.5546875" style="10" customWidth="1"/>
    <col min="12292" max="12292" width="11.44140625" style="10" customWidth="1"/>
    <col min="12293" max="12293" width="10.5546875" style="10" customWidth="1"/>
    <col min="12294" max="12294" width="14.88671875" style="10" customWidth="1"/>
    <col min="12295" max="12295" width="16.109375" style="10" customWidth="1"/>
    <col min="12296" max="12544" width="9.109375" style="10"/>
    <col min="12545" max="12545" width="10.88671875" style="10" customWidth="1"/>
    <col min="12546" max="12546" width="12" style="10" customWidth="1"/>
    <col min="12547" max="12547" width="11.5546875" style="10" customWidth="1"/>
    <col min="12548" max="12548" width="11.44140625" style="10" customWidth="1"/>
    <col min="12549" max="12549" width="10.5546875" style="10" customWidth="1"/>
    <col min="12550" max="12550" width="14.88671875" style="10" customWidth="1"/>
    <col min="12551" max="12551" width="16.109375" style="10" customWidth="1"/>
    <col min="12552" max="12800" width="9.109375" style="10"/>
    <col min="12801" max="12801" width="10.88671875" style="10" customWidth="1"/>
    <col min="12802" max="12802" width="12" style="10" customWidth="1"/>
    <col min="12803" max="12803" width="11.5546875" style="10" customWidth="1"/>
    <col min="12804" max="12804" width="11.44140625" style="10" customWidth="1"/>
    <col min="12805" max="12805" width="10.5546875" style="10" customWidth="1"/>
    <col min="12806" max="12806" width="14.88671875" style="10" customWidth="1"/>
    <col min="12807" max="12807" width="16.109375" style="10" customWidth="1"/>
    <col min="12808" max="13056" width="9.109375" style="10"/>
    <col min="13057" max="13057" width="10.88671875" style="10" customWidth="1"/>
    <col min="13058" max="13058" width="12" style="10" customWidth="1"/>
    <col min="13059" max="13059" width="11.5546875" style="10" customWidth="1"/>
    <col min="13060" max="13060" width="11.44140625" style="10" customWidth="1"/>
    <col min="13061" max="13061" width="10.5546875" style="10" customWidth="1"/>
    <col min="13062" max="13062" width="14.88671875" style="10" customWidth="1"/>
    <col min="13063" max="13063" width="16.109375" style="10" customWidth="1"/>
    <col min="13064" max="13312" width="9.109375" style="10"/>
    <col min="13313" max="13313" width="10.88671875" style="10" customWidth="1"/>
    <col min="13314" max="13314" width="12" style="10" customWidth="1"/>
    <col min="13315" max="13315" width="11.5546875" style="10" customWidth="1"/>
    <col min="13316" max="13316" width="11.44140625" style="10" customWidth="1"/>
    <col min="13317" max="13317" width="10.5546875" style="10" customWidth="1"/>
    <col min="13318" max="13318" width="14.88671875" style="10" customWidth="1"/>
    <col min="13319" max="13319" width="16.109375" style="10" customWidth="1"/>
    <col min="13320" max="13568" width="9.109375" style="10"/>
    <col min="13569" max="13569" width="10.88671875" style="10" customWidth="1"/>
    <col min="13570" max="13570" width="12" style="10" customWidth="1"/>
    <col min="13571" max="13571" width="11.5546875" style="10" customWidth="1"/>
    <col min="13572" max="13572" width="11.44140625" style="10" customWidth="1"/>
    <col min="13573" max="13573" width="10.5546875" style="10" customWidth="1"/>
    <col min="13574" max="13574" width="14.88671875" style="10" customWidth="1"/>
    <col min="13575" max="13575" width="16.109375" style="10" customWidth="1"/>
    <col min="13576" max="13824" width="9.109375" style="10"/>
    <col min="13825" max="13825" width="10.88671875" style="10" customWidth="1"/>
    <col min="13826" max="13826" width="12" style="10" customWidth="1"/>
    <col min="13827" max="13827" width="11.5546875" style="10" customWidth="1"/>
    <col min="13828" max="13828" width="11.44140625" style="10" customWidth="1"/>
    <col min="13829" max="13829" width="10.5546875" style="10" customWidth="1"/>
    <col min="13830" max="13830" width="14.88671875" style="10" customWidth="1"/>
    <col min="13831" max="13831" width="16.109375" style="10" customWidth="1"/>
    <col min="13832" max="14080" width="9.109375" style="10"/>
    <col min="14081" max="14081" width="10.88671875" style="10" customWidth="1"/>
    <col min="14082" max="14082" width="12" style="10" customWidth="1"/>
    <col min="14083" max="14083" width="11.5546875" style="10" customWidth="1"/>
    <col min="14084" max="14084" width="11.44140625" style="10" customWidth="1"/>
    <col min="14085" max="14085" width="10.5546875" style="10" customWidth="1"/>
    <col min="14086" max="14086" width="14.88671875" style="10" customWidth="1"/>
    <col min="14087" max="14087" width="16.109375" style="10" customWidth="1"/>
    <col min="14088" max="14336" width="9.109375" style="10"/>
    <col min="14337" max="14337" width="10.88671875" style="10" customWidth="1"/>
    <col min="14338" max="14338" width="12" style="10" customWidth="1"/>
    <col min="14339" max="14339" width="11.5546875" style="10" customWidth="1"/>
    <col min="14340" max="14340" width="11.44140625" style="10" customWidth="1"/>
    <col min="14341" max="14341" width="10.5546875" style="10" customWidth="1"/>
    <col min="14342" max="14342" width="14.88671875" style="10" customWidth="1"/>
    <col min="14343" max="14343" width="16.109375" style="10" customWidth="1"/>
    <col min="14344" max="14592" width="9.109375" style="10"/>
    <col min="14593" max="14593" width="10.88671875" style="10" customWidth="1"/>
    <col min="14594" max="14594" width="12" style="10" customWidth="1"/>
    <col min="14595" max="14595" width="11.5546875" style="10" customWidth="1"/>
    <col min="14596" max="14596" width="11.44140625" style="10" customWidth="1"/>
    <col min="14597" max="14597" width="10.5546875" style="10" customWidth="1"/>
    <col min="14598" max="14598" width="14.88671875" style="10" customWidth="1"/>
    <col min="14599" max="14599" width="16.109375" style="10" customWidth="1"/>
    <col min="14600" max="14848" width="9.109375" style="10"/>
    <col min="14849" max="14849" width="10.88671875" style="10" customWidth="1"/>
    <col min="14850" max="14850" width="12" style="10" customWidth="1"/>
    <col min="14851" max="14851" width="11.5546875" style="10" customWidth="1"/>
    <col min="14852" max="14852" width="11.44140625" style="10" customWidth="1"/>
    <col min="14853" max="14853" width="10.5546875" style="10" customWidth="1"/>
    <col min="14854" max="14854" width="14.88671875" style="10" customWidth="1"/>
    <col min="14855" max="14855" width="16.109375" style="10" customWidth="1"/>
    <col min="14856" max="15104" width="9.109375" style="10"/>
    <col min="15105" max="15105" width="10.88671875" style="10" customWidth="1"/>
    <col min="15106" max="15106" width="12" style="10" customWidth="1"/>
    <col min="15107" max="15107" width="11.5546875" style="10" customWidth="1"/>
    <col min="15108" max="15108" width="11.44140625" style="10" customWidth="1"/>
    <col min="15109" max="15109" width="10.5546875" style="10" customWidth="1"/>
    <col min="15110" max="15110" width="14.88671875" style="10" customWidth="1"/>
    <col min="15111" max="15111" width="16.109375" style="10" customWidth="1"/>
    <col min="15112" max="15360" width="9.109375" style="10"/>
    <col min="15361" max="15361" width="10.88671875" style="10" customWidth="1"/>
    <col min="15362" max="15362" width="12" style="10" customWidth="1"/>
    <col min="15363" max="15363" width="11.5546875" style="10" customWidth="1"/>
    <col min="15364" max="15364" width="11.44140625" style="10" customWidth="1"/>
    <col min="15365" max="15365" width="10.5546875" style="10" customWidth="1"/>
    <col min="15366" max="15366" width="14.88671875" style="10" customWidth="1"/>
    <col min="15367" max="15367" width="16.109375" style="10" customWidth="1"/>
    <col min="15368" max="15616" width="9.109375" style="10"/>
    <col min="15617" max="15617" width="10.88671875" style="10" customWidth="1"/>
    <col min="15618" max="15618" width="12" style="10" customWidth="1"/>
    <col min="15619" max="15619" width="11.5546875" style="10" customWidth="1"/>
    <col min="15620" max="15620" width="11.44140625" style="10" customWidth="1"/>
    <col min="15621" max="15621" width="10.5546875" style="10" customWidth="1"/>
    <col min="15622" max="15622" width="14.88671875" style="10" customWidth="1"/>
    <col min="15623" max="15623" width="16.109375" style="10" customWidth="1"/>
    <col min="15624" max="15872" width="9.109375" style="10"/>
    <col min="15873" max="15873" width="10.88671875" style="10" customWidth="1"/>
    <col min="15874" max="15874" width="12" style="10" customWidth="1"/>
    <col min="15875" max="15875" width="11.5546875" style="10" customWidth="1"/>
    <col min="15876" max="15876" width="11.44140625" style="10" customWidth="1"/>
    <col min="15877" max="15877" width="10.5546875" style="10" customWidth="1"/>
    <col min="15878" max="15878" width="14.88671875" style="10" customWidth="1"/>
    <col min="15879" max="15879" width="16.109375" style="10" customWidth="1"/>
    <col min="15880" max="16128" width="9.109375" style="10"/>
    <col min="16129" max="16129" width="10.88671875" style="10" customWidth="1"/>
    <col min="16130" max="16130" width="12" style="10" customWidth="1"/>
    <col min="16131" max="16131" width="11.5546875" style="10" customWidth="1"/>
    <col min="16132" max="16132" width="11.44140625" style="10" customWidth="1"/>
    <col min="16133" max="16133" width="10.5546875" style="10" customWidth="1"/>
    <col min="16134" max="16134" width="14.88671875" style="10" customWidth="1"/>
    <col min="16135" max="16135" width="16.109375" style="10" customWidth="1"/>
    <col min="16136" max="16384" width="9.109375" style="10"/>
  </cols>
  <sheetData>
    <row r="1" spans="1:15">
      <c r="G1" s="2126" t="s">
        <v>360</v>
      </c>
      <c r="I1" s="10" t="s">
        <v>421</v>
      </c>
      <c r="L1" s="2127">
        <f>G44+G33+G49+П.2.2.ПСХ!G50+П.2.2.ПСХ!G49+П.2.2.ПСХ!G51</f>
        <v>19.7</v>
      </c>
    </row>
    <row r="2" spans="1:15" ht="15.6">
      <c r="A2" s="131" t="s">
        <v>1305</v>
      </c>
      <c r="B2" s="868"/>
      <c r="C2" s="868"/>
      <c r="D2" s="868"/>
      <c r="E2" s="868"/>
      <c r="F2" s="868"/>
      <c r="G2" s="868"/>
      <c r="I2" s="10" t="s">
        <v>426</v>
      </c>
      <c r="L2" s="2127">
        <f>G33+П.2.2.ПСХ!G49</f>
        <v>0</v>
      </c>
      <c r="M2" s="10">
        <f>L2/L1</f>
        <v>0</v>
      </c>
    </row>
    <row r="3" spans="1:15" ht="12.75" customHeight="1">
      <c r="A3" s="131" t="s">
        <v>1306</v>
      </c>
      <c r="B3" s="868"/>
      <c r="C3" s="868"/>
      <c r="D3" s="868"/>
      <c r="E3" s="868"/>
      <c r="F3" s="868"/>
      <c r="G3" s="868"/>
      <c r="I3" s="10" t="s">
        <v>427</v>
      </c>
      <c r="L3" s="2127">
        <f>SUM(G34:G38)+G42+П.2.2.ПСХ!G14+П.2.2.ПСХ!G21+П.2.2.ПСХ!G29+П.2.2.ПСХ!G33+П.2.2.ПСХ!G39+П.2.2.ПСХ!G43+П.2.2.ПСХ!G48</f>
        <v>0</v>
      </c>
      <c r="M3" s="10">
        <f>L3/L1</f>
        <v>0</v>
      </c>
    </row>
    <row r="4" spans="1:15" ht="12.75" customHeight="1">
      <c r="A4" s="131" t="s">
        <v>2487</v>
      </c>
      <c r="B4" s="100"/>
      <c r="C4" s="100"/>
      <c r="D4" s="100"/>
      <c r="E4" s="100"/>
      <c r="F4" s="100"/>
      <c r="G4" s="100"/>
      <c r="I4" s="10" t="s">
        <v>422</v>
      </c>
      <c r="L4" s="2127">
        <f>G40+G41+G43+П.2.2.ПСХ!G22+П.2.2.ПСХ!G30+П.2.2.ПСХ!G34+П.2.2.ПСХ!G40+П.2.2.ПСХ!G41+П.2.2.ПСХ!G42+П.2.2.ПСХ!G44+П.2.2.ПСХ!G45+П.2.2.ПСХ!G46+П.2.2.ПСХ!G47</f>
        <v>17</v>
      </c>
      <c r="M4" s="10">
        <f>L4/L1</f>
        <v>0.86294416243654826</v>
      </c>
    </row>
    <row r="5" spans="1:15" ht="13.5" customHeight="1">
      <c r="A5" s="131" t="s">
        <v>670</v>
      </c>
      <c r="B5" s="100"/>
      <c r="C5" s="100"/>
      <c r="D5" s="100"/>
      <c r="E5" s="100"/>
      <c r="F5" s="100"/>
      <c r="G5" s="100"/>
      <c r="I5" s="10" t="s">
        <v>423</v>
      </c>
      <c r="L5" s="2127">
        <f>G49</f>
        <v>2.7</v>
      </c>
      <c r="M5" s="10">
        <f>L5/L1</f>
        <v>0.1370558375634518</v>
      </c>
    </row>
    <row r="6" spans="1:15" ht="12.75" customHeight="1">
      <c r="A6" s="131" t="s">
        <v>672</v>
      </c>
      <c r="B6" s="110"/>
      <c r="C6" s="110"/>
      <c r="D6" s="110"/>
      <c r="E6" s="110"/>
      <c r="F6" s="110"/>
      <c r="G6" s="110"/>
      <c r="L6" s="2127"/>
    </row>
    <row r="7" spans="1:15" ht="15.6">
      <c r="A7" s="131" t="s">
        <v>671</v>
      </c>
      <c r="B7" s="110"/>
      <c r="C7" s="110"/>
      <c r="D7" s="110"/>
      <c r="E7" s="110"/>
      <c r="F7" s="110"/>
      <c r="G7" s="110"/>
      <c r="L7" s="2127">
        <f>SUM(L2:L5)</f>
        <v>19.7</v>
      </c>
      <c r="N7" s="2307" t="s">
        <v>2392</v>
      </c>
      <c r="O7" s="2307"/>
    </row>
    <row r="8" spans="1:15">
      <c r="A8" s="868"/>
      <c r="B8" s="110"/>
      <c r="C8" s="110"/>
      <c r="D8" s="110"/>
      <c r="E8" s="110"/>
      <c r="F8" s="110"/>
      <c r="G8" s="110"/>
      <c r="L8" s="2127"/>
      <c r="N8" s="2308">
        <v>577</v>
      </c>
      <c r="O8" s="2309" t="s">
        <v>2393</v>
      </c>
    </row>
    <row r="9" spans="1:15">
      <c r="G9" s="872" t="s">
        <v>2389</v>
      </c>
      <c r="L9" s="2127"/>
    </row>
    <row r="10" spans="1:15" ht="79.2">
      <c r="A10" s="4320"/>
      <c r="B10" s="4322" t="s">
        <v>361</v>
      </c>
      <c r="C10" s="4322" t="s">
        <v>362</v>
      </c>
      <c r="D10" s="4322" t="s">
        <v>363</v>
      </c>
      <c r="E10" s="2289" t="s">
        <v>364</v>
      </c>
      <c r="F10" s="2289" t="s">
        <v>365</v>
      </c>
      <c r="G10" s="2289" t="s">
        <v>366</v>
      </c>
      <c r="I10" s="78"/>
    </row>
    <row r="11" spans="1:15">
      <c r="A11" s="4321"/>
      <c r="B11" s="4323"/>
      <c r="C11" s="4323"/>
      <c r="D11" s="4323"/>
      <c r="E11" s="2289" t="s">
        <v>367</v>
      </c>
      <c r="F11" s="2289" t="s">
        <v>368</v>
      </c>
      <c r="G11" s="2289" t="s">
        <v>369</v>
      </c>
      <c r="L11" s="60"/>
    </row>
    <row r="12" spans="1:15">
      <c r="A12" s="2293">
        <v>1</v>
      </c>
      <c r="B12" s="2293">
        <f>+A12+1</f>
        <v>2</v>
      </c>
      <c r="C12" s="2293">
        <f>+B12+1</f>
        <v>3</v>
      </c>
      <c r="D12" s="2293">
        <f>+C12+1</f>
        <v>4</v>
      </c>
      <c r="E12" s="2293">
        <f>+D12+1</f>
        <v>5</v>
      </c>
      <c r="F12" s="2293">
        <f>+E12+1</f>
        <v>6</v>
      </c>
      <c r="G12" s="2293" t="s">
        <v>502</v>
      </c>
    </row>
    <row r="13" spans="1:15">
      <c r="A13" s="4312" t="s">
        <v>370</v>
      </c>
      <c r="B13" s="2294">
        <v>1150</v>
      </c>
      <c r="C13" s="2293" t="s">
        <v>338</v>
      </c>
      <c r="D13" s="2291" t="s">
        <v>371</v>
      </c>
      <c r="E13" s="2293">
        <v>800</v>
      </c>
      <c r="F13" s="2293"/>
      <c r="G13" s="2293"/>
    </row>
    <row r="14" spans="1:15">
      <c r="A14" s="4312"/>
      <c r="B14" s="2294">
        <v>750</v>
      </c>
      <c r="C14" s="2293">
        <v>1</v>
      </c>
      <c r="D14" s="2291" t="s">
        <v>371</v>
      </c>
      <c r="E14" s="2293">
        <v>600</v>
      </c>
      <c r="F14" s="2293"/>
      <c r="G14" s="2293"/>
      <c r="L14" s="60"/>
      <c r="M14" s="79"/>
    </row>
    <row r="15" spans="1:15">
      <c r="A15" s="4312"/>
      <c r="B15" s="4324" t="s">
        <v>372</v>
      </c>
      <c r="C15" s="4316">
        <v>1</v>
      </c>
      <c r="D15" s="2291" t="s">
        <v>371</v>
      </c>
      <c r="E15" s="2293">
        <v>400</v>
      </c>
      <c r="F15" s="2293"/>
      <c r="G15" s="2293"/>
      <c r="L15" s="48"/>
      <c r="M15" s="79"/>
    </row>
    <row r="16" spans="1:15">
      <c r="A16" s="4312"/>
      <c r="B16" s="4324"/>
      <c r="C16" s="4316"/>
      <c r="D16" s="2291" t="s">
        <v>373</v>
      </c>
      <c r="E16" s="2293">
        <v>300</v>
      </c>
      <c r="F16" s="2293"/>
      <c r="G16" s="2293"/>
    </row>
    <row r="17" spans="1:12">
      <c r="A17" s="4312"/>
      <c r="B17" s="4324">
        <v>330</v>
      </c>
      <c r="C17" s="4316">
        <v>1</v>
      </c>
      <c r="D17" s="2291" t="s">
        <v>371</v>
      </c>
      <c r="E17" s="2293">
        <v>230</v>
      </c>
      <c r="F17" s="2293"/>
      <c r="G17" s="2293"/>
      <c r="L17" s="60"/>
    </row>
    <row r="18" spans="1:12">
      <c r="A18" s="4312"/>
      <c r="B18" s="4324"/>
      <c r="C18" s="4316"/>
      <c r="D18" s="2291" t="s">
        <v>373</v>
      </c>
      <c r="E18" s="2293">
        <v>170</v>
      </c>
      <c r="F18" s="2293"/>
      <c r="G18" s="2293"/>
    </row>
    <row r="19" spans="1:12">
      <c r="A19" s="4312"/>
      <c r="B19" s="4324"/>
      <c r="C19" s="4316">
        <v>2</v>
      </c>
      <c r="D19" s="2291" t="s">
        <v>371</v>
      </c>
      <c r="E19" s="2293">
        <v>290</v>
      </c>
      <c r="F19" s="2293"/>
      <c r="G19" s="2293"/>
    </row>
    <row r="20" spans="1:12">
      <c r="A20" s="4312"/>
      <c r="B20" s="4324"/>
      <c r="C20" s="4316"/>
      <c r="D20" s="2291" t="s">
        <v>373</v>
      </c>
      <c r="E20" s="2293">
        <v>210</v>
      </c>
      <c r="F20" s="2293"/>
      <c r="G20" s="2293"/>
    </row>
    <row r="21" spans="1:12">
      <c r="A21" s="4312"/>
      <c r="B21" s="4325">
        <v>220</v>
      </c>
      <c r="C21" s="4312">
        <v>1</v>
      </c>
      <c r="D21" s="2291" t="s">
        <v>374</v>
      </c>
      <c r="E21" s="531">
        <v>260</v>
      </c>
      <c r="F21" s="530"/>
      <c r="G21" s="530"/>
    </row>
    <row r="22" spans="1:12">
      <c r="A22" s="4312"/>
      <c r="B22" s="4325"/>
      <c r="C22" s="4312"/>
      <c r="D22" s="2291" t="s">
        <v>371</v>
      </c>
      <c r="E22" s="531">
        <v>210</v>
      </c>
      <c r="F22" s="531"/>
      <c r="G22" s="531"/>
    </row>
    <row r="23" spans="1:12">
      <c r="A23" s="4312"/>
      <c r="B23" s="4325"/>
      <c r="C23" s="4312"/>
      <c r="D23" s="2291" t="s">
        <v>373</v>
      </c>
      <c r="E23" s="531">
        <v>140</v>
      </c>
      <c r="F23" s="531"/>
      <c r="G23" s="531"/>
    </row>
    <row r="24" spans="1:12">
      <c r="A24" s="4312"/>
      <c r="B24" s="4325"/>
      <c r="C24" s="4312">
        <v>2</v>
      </c>
      <c r="D24" s="2291" t="s">
        <v>371</v>
      </c>
      <c r="E24" s="531">
        <v>270</v>
      </c>
      <c r="F24" s="531"/>
      <c r="G24" s="538">
        <f>E24*F24/100</f>
        <v>0</v>
      </c>
    </row>
    <row r="25" spans="1:12">
      <c r="A25" s="4312"/>
      <c r="B25" s="4325"/>
      <c r="C25" s="4312"/>
      <c r="D25" s="2291" t="s">
        <v>373</v>
      </c>
      <c r="E25" s="531">
        <v>180</v>
      </c>
      <c r="F25" s="531"/>
      <c r="G25" s="531"/>
    </row>
    <row r="26" spans="1:12">
      <c r="A26" s="4312"/>
      <c r="B26" s="4325" t="s">
        <v>375</v>
      </c>
      <c r="C26" s="4312">
        <v>1</v>
      </c>
      <c r="D26" s="2291" t="s">
        <v>374</v>
      </c>
      <c r="E26" s="531">
        <v>180</v>
      </c>
      <c r="F26" s="530"/>
      <c r="G26" s="530"/>
    </row>
    <row r="27" spans="1:12">
      <c r="A27" s="4312"/>
      <c r="B27" s="4325"/>
      <c r="C27" s="4312"/>
      <c r="D27" s="2291" t="s">
        <v>371</v>
      </c>
      <c r="E27" s="531">
        <v>160</v>
      </c>
      <c r="F27" s="531"/>
      <c r="G27" s="533">
        <f>E27*F27/100</f>
        <v>0</v>
      </c>
    </row>
    <row r="28" spans="1:12">
      <c r="A28" s="4312"/>
      <c r="B28" s="4325"/>
      <c r="C28" s="4312"/>
      <c r="D28" s="2291" t="s">
        <v>373</v>
      </c>
      <c r="E28" s="531">
        <v>130</v>
      </c>
      <c r="F28" s="532"/>
      <c r="G28" s="531"/>
    </row>
    <row r="29" spans="1:12">
      <c r="A29" s="4312"/>
      <c r="B29" s="4325"/>
      <c r="C29" s="4312">
        <v>2</v>
      </c>
      <c r="D29" s="2291" t="s">
        <v>371</v>
      </c>
      <c r="E29" s="531">
        <v>190</v>
      </c>
      <c r="F29" s="531"/>
      <c r="G29" s="530"/>
    </row>
    <row r="30" spans="1:12">
      <c r="A30" s="4312"/>
      <c r="B30" s="4325"/>
      <c r="C30" s="4312"/>
      <c r="D30" s="2291" t="s">
        <v>373</v>
      </c>
      <c r="E30" s="531">
        <v>160</v>
      </c>
      <c r="F30" s="532"/>
      <c r="G30" s="531"/>
    </row>
    <row r="31" spans="1:12">
      <c r="A31" s="4312" t="s">
        <v>376</v>
      </c>
      <c r="B31" s="2295">
        <v>220</v>
      </c>
      <c r="C31" s="2293" t="s">
        <v>338</v>
      </c>
      <c r="D31" s="2293" t="s">
        <v>338</v>
      </c>
      <c r="E31" s="531">
        <v>3000</v>
      </c>
      <c r="F31" s="532"/>
      <c r="G31" s="531"/>
    </row>
    <row r="32" spans="1:12">
      <c r="A32" s="4312"/>
      <c r="B32" s="2295">
        <v>110</v>
      </c>
      <c r="C32" s="2293" t="s">
        <v>338</v>
      </c>
      <c r="D32" s="2293" t="s">
        <v>338</v>
      </c>
      <c r="E32" s="531">
        <v>2300</v>
      </c>
      <c r="F32" s="532"/>
      <c r="G32" s="531"/>
    </row>
    <row r="33" spans="1:13">
      <c r="A33" s="4312" t="s">
        <v>501</v>
      </c>
      <c r="B33" s="4312"/>
      <c r="C33" s="4312"/>
      <c r="D33" s="4312"/>
      <c r="E33" s="4312"/>
      <c r="F33" s="533"/>
      <c r="G33" s="538">
        <f>SUM(G13:G32)</f>
        <v>0</v>
      </c>
      <c r="H33" s="58"/>
      <c r="I33" s="57"/>
      <c r="J33" s="57"/>
      <c r="K33" s="57"/>
      <c r="L33" s="57"/>
    </row>
    <row r="34" spans="1:13">
      <c r="A34" s="4313" t="s">
        <v>370</v>
      </c>
      <c r="B34" s="4314">
        <v>35</v>
      </c>
      <c r="C34" s="4313">
        <v>1</v>
      </c>
      <c r="D34" s="2291" t="s">
        <v>374</v>
      </c>
      <c r="E34" s="531">
        <v>170</v>
      </c>
      <c r="F34" s="530"/>
      <c r="G34" s="530"/>
    </row>
    <row r="35" spans="1:13">
      <c r="A35" s="4313"/>
      <c r="B35" s="4314"/>
      <c r="C35" s="4313"/>
      <c r="D35" s="2291" t="s">
        <v>371</v>
      </c>
      <c r="E35" s="531">
        <v>140</v>
      </c>
      <c r="F35" s="531"/>
      <c r="G35" s="531"/>
    </row>
    <row r="36" spans="1:13">
      <c r="A36" s="4313"/>
      <c r="B36" s="4314"/>
      <c r="C36" s="4313"/>
      <c r="D36" s="2291" t="s">
        <v>373</v>
      </c>
      <c r="E36" s="531">
        <v>120</v>
      </c>
      <c r="F36" s="531"/>
      <c r="G36" s="538">
        <f>E36*F36/100</f>
        <v>0</v>
      </c>
    </row>
    <row r="37" spans="1:13">
      <c r="A37" s="4313"/>
      <c r="B37" s="4314"/>
      <c r="C37" s="4313">
        <v>2</v>
      </c>
      <c r="D37" s="2291" t="s">
        <v>371</v>
      </c>
      <c r="E37" s="531">
        <v>180</v>
      </c>
      <c r="F37" s="531"/>
      <c r="G37" s="538">
        <f>E37*F37/100</f>
        <v>0</v>
      </c>
    </row>
    <row r="38" spans="1:13">
      <c r="A38" s="4313"/>
      <c r="B38" s="4314"/>
      <c r="C38" s="4313"/>
      <c r="D38" s="2291" t="s">
        <v>373</v>
      </c>
      <c r="E38" s="531">
        <v>150</v>
      </c>
      <c r="F38" s="531"/>
      <c r="G38" s="531"/>
    </row>
    <row r="39" spans="1:13">
      <c r="A39" s="4313"/>
      <c r="B39" s="4315" t="s">
        <v>377</v>
      </c>
      <c r="C39" s="4316" t="s">
        <v>338</v>
      </c>
      <c r="D39" s="531" t="s">
        <v>374</v>
      </c>
      <c r="E39" s="531">
        <v>160</v>
      </c>
      <c r="F39" s="531"/>
      <c r="G39" s="531"/>
    </row>
    <row r="40" spans="1:13" ht="26.4">
      <c r="A40" s="4313"/>
      <c r="B40" s="4315"/>
      <c r="C40" s="4316"/>
      <c r="D40" s="540" t="s">
        <v>378</v>
      </c>
      <c r="E40" s="531">
        <v>140</v>
      </c>
      <c r="F40" s="531"/>
      <c r="G40" s="541">
        <f>E40*F40/100</f>
        <v>0</v>
      </c>
    </row>
    <row r="41" spans="1:13" ht="26.4">
      <c r="A41" s="4313"/>
      <c r="B41" s="4315"/>
      <c r="C41" s="4316"/>
      <c r="D41" s="540" t="s">
        <v>379</v>
      </c>
      <c r="E41" s="531">
        <v>110</v>
      </c>
      <c r="F41" s="2128">
        <v>5</v>
      </c>
      <c r="G41" s="541">
        <f>E41*F41/100</f>
        <v>5.5</v>
      </c>
      <c r="J41" s="2129" t="s">
        <v>1608</v>
      </c>
      <c r="K41" s="201"/>
      <c r="L41" s="201"/>
      <c r="M41" s="201"/>
    </row>
    <row r="42" spans="1:13">
      <c r="A42" s="4317" t="s">
        <v>376</v>
      </c>
      <c r="B42" s="2295" t="s">
        <v>380</v>
      </c>
      <c r="C42" s="2293" t="s">
        <v>338</v>
      </c>
      <c r="D42" s="2293" t="s">
        <v>338</v>
      </c>
      <c r="E42" s="531">
        <v>470</v>
      </c>
      <c r="F42" s="531"/>
      <c r="G42" s="531"/>
      <c r="J42" s="2129"/>
      <c r="K42" s="201"/>
      <c r="L42" s="201"/>
      <c r="M42" s="201"/>
    </row>
    <row r="43" spans="1:13">
      <c r="A43" s="4317"/>
      <c r="B43" s="542" t="s">
        <v>381</v>
      </c>
      <c r="C43" s="543" t="s">
        <v>338</v>
      </c>
      <c r="D43" s="543" t="s">
        <v>338</v>
      </c>
      <c r="E43" s="534">
        <v>350</v>
      </c>
      <c r="F43" s="2303"/>
      <c r="G43" s="541">
        <f>E43*F43/100</f>
        <v>0</v>
      </c>
      <c r="J43" s="2129"/>
      <c r="K43" s="201">
        <f>100.2+100+130+100+200+140+140+100+200+180+100+200+100+600+250+250+100+250+100+270+50+100+70+100+70+120+100+100</f>
        <v>4320.2</v>
      </c>
      <c r="L43" s="201"/>
      <c r="M43" s="201"/>
    </row>
    <row r="44" spans="1:13">
      <c r="A44" s="4318" t="s">
        <v>382</v>
      </c>
      <c r="B44" s="4318"/>
      <c r="C44" s="4318"/>
      <c r="D44" s="4318"/>
      <c r="E44" s="4318"/>
      <c r="F44" s="535"/>
      <c r="G44" s="541">
        <f>SUM(G34:G43)</f>
        <v>5.5</v>
      </c>
      <c r="H44" s="59"/>
      <c r="J44" s="2129"/>
      <c r="K44" s="201"/>
      <c r="L44" s="201"/>
      <c r="M44" s="201"/>
    </row>
    <row r="45" spans="1:13">
      <c r="A45" s="4313" t="s">
        <v>370</v>
      </c>
      <c r="B45" s="4319" t="s">
        <v>383</v>
      </c>
      <c r="C45" s="4313" t="s">
        <v>338</v>
      </c>
      <c r="D45" s="531" t="s">
        <v>374</v>
      </c>
      <c r="E45" s="531">
        <v>260</v>
      </c>
      <c r="F45" s="531"/>
      <c r="G45" s="531"/>
      <c r="J45" s="2129"/>
      <c r="K45" s="201"/>
      <c r="L45" s="201"/>
      <c r="M45" s="201"/>
    </row>
    <row r="46" spans="1:13" ht="26.4">
      <c r="A46" s="4313"/>
      <c r="B46" s="4319"/>
      <c r="C46" s="4313"/>
      <c r="D46" s="540" t="s">
        <v>378</v>
      </c>
      <c r="E46" s="531">
        <v>220</v>
      </c>
      <c r="F46" s="531"/>
      <c r="G46" s="541">
        <f>E46*F46/100</f>
        <v>0</v>
      </c>
      <c r="J46" s="2129"/>
      <c r="K46" s="201"/>
      <c r="L46" s="201"/>
      <c r="M46" s="201"/>
    </row>
    <row r="47" spans="1:13" ht="26.4">
      <c r="A47" s="4313"/>
      <c r="B47" s="4319"/>
      <c r="C47" s="4313"/>
      <c r="D47" s="540" t="s">
        <v>379</v>
      </c>
      <c r="E47" s="531">
        <v>150</v>
      </c>
      <c r="F47" s="2130">
        <f>1.8</f>
        <v>1.8</v>
      </c>
      <c r="G47" s="541">
        <f>E47*F47/100</f>
        <v>2.7</v>
      </c>
      <c r="J47" s="2129" t="s">
        <v>1608</v>
      </c>
      <c r="K47" s="201"/>
      <c r="L47" s="201"/>
      <c r="M47" s="201"/>
    </row>
    <row r="48" spans="1:13">
      <c r="A48" s="2291" t="s">
        <v>376</v>
      </c>
      <c r="B48" s="2292" t="s">
        <v>384</v>
      </c>
      <c r="C48" s="2293" t="s">
        <v>338</v>
      </c>
      <c r="D48" s="2293" t="s">
        <v>338</v>
      </c>
      <c r="E48" s="531">
        <v>270</v>
      </c>
      <c r="F48" s="2304"/>
      <c r="G48" s="541">
        <f>E48*F48/100</f>
        <v>0</v>
      </c>
      <c r="K48" s="201"/>
      <c r="L48" s="201"/>
      <c r="M48" s="201"/>
    </row>
    <row r="49" spans="1:12">
      <c r="A49" s="4311" t="s">
        <v>387</v>
      </c>
      <c r="B49" s="4311"/>
      <c r="C49" s="4311"/>
      <c r="D49" s="4311"/>
      <c r="E49" s="4311"/>
      <c r="F49" s="4311"/>
      <c r="G49" s="541">
        <f>G45+G46+G47+G48</f>
        <v>2.7</v>
      </c>
      <c r="J49" s="2131">
        <f>G33+G44+G49</f>
        <v>8.1999999999999993</v>
      </c>
      <c r="K49" s="132"/>
      <c r="L49" s="2131"/>
    </row>
    <row r="50" spans="1:12">
      <c r="A50" s="50"/>
      <c r="B50" s="51"/>
      <c r="C50" s="50"/>
      <c r="D50" s="5"/>
      <c r="E50" s="5"/>
      <c r="F50" s="5"/>
      <c r="G50" s="5"/>
      <c r="J50" s="78"/>
      <c r="K50" s="78"/>
      <c r="L50" s="78"/>
    </row>
    <row r="51" spans="1:12" ht="9.75" customHeight="1"/>
    <row r="52" spans="1:12" s="776" customFormat="1" ht="23.25" customHeight="1">
      <c r="A52" s="839" t="s">
        <v>1266</v>
      </c>
      <c r="B52" s="774"/>
      <c r="C52" s="775"/>
      <c r="H52" s="2068"/>
    </row>
    <row r="53" spans="1:12" s="776" customFormat="1" ht="15" customHeight="1">
      <c r="A53" s="839" t="s">
        <v>1304</v>
      </c>
      <c r="B53" s="778"/>
      <c r="C53" s="775"/>
      <c r="G53" s="779" t="s">
        <v>1268</v>
      </c>
    </row>
    <row r="54" spans="1:12" s="52" customFormat="1">
      <c r="F54" s="53"/>
    </row>
    <row r="55" spans="1:12" s="52" customFormat="1">
      <c r="A55" s="98"/>
      <c r="F55" s="53"/>
    </row>
    <row r="56" spans="1:12" s="52" customFormat="1">
      <c r="A56" s="98"/>
      <c r="F56" s="53"/>
    </row>
  </sheetData>
  <mergeCells count="30">
    <mergeCell ref="A49:F49"/>
    <mergeCell ref="A31:A32"/>
    <mergeCell ref="A33:E33"/>
    <mergeCell ref="A34:A41"/>
    <mergeCell ref="B34:B38"/>
    <mergeCell ref="C34:C36"/>
    <mergeCell ref="C37:C38"/>
    <mergeCell ref="B39:B41"/>
    <mergeCell ref="C39:C41"/>
    <mergeCell ref="A42:A43"/>
    <mergeCell ref="A44:E44"/>
    <mergeCell ref="A45:A47"/>
    <mergeCell ref="B45:B47"/>
    <mergeCell ref="C45:C47"/>
    <mergeCell ref="A10:A11"/>
    <mergeCell ref="B10:B11"/>
    <mergeCell ref="C10:C11"/>
    <mergeCell ref="D10:D11"/>
    <mergeCell ref="A13:A30"/>
    <mergeCell ref="B15:B16"/>
    <mergeCell ref="C15:C16"/>
    <mergeCell ref="B17:B20"/>
    <mergeCell ref="C17:C18"/>
    <mergeCell ref="C19:C20"/>
    <mergeCell ref="B21:B25"/>
    <mergeCell ref="C21:C23"/>
    <mergeCell ref="C24:C25"/>
    <mergeCell ref="B26:B30"/>
    <mergeCell ref="C26:C28"/>
    <mergeCell ref="C29:C30"/>
  </mergeCells>
  <printOptions horizontalCentered="1"/>
  <pageMargins left="0.78740157480314965" right="0.78740157480314965" top="0.78740157480314965" bottom="0.11811023622047245" header="0.51181102362204722" footer="3.937007874015748E-2"/>
  <pageSetup paperSize="9" scale="90" orientation="portrait" r:id="rId1"/>
  <headerFooter alignWithMargins="0"/>
  <colBreaks count="1" manualBreakCount="1">
    <brk id="7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 enableFormatConditionsCalculation="0">
    <tabColor rgb="FFCCFF66"/>
  </sheetPr>
  <dimension ref="A1:Q78"/>
  <sheetViews>
    <sheetView workbookViewId="0">
      <pane xSplit="3" ySplit="6" topLeftCell="D7" activePane="bottomRight" state="frozenSplit"/>
      <selection activeCell="B32" sqref="A1:XFD1048576"/>
      <selection pane="topRight" activeCell="B32" sqref="A1:XFD1048576"/>
      <selection pane="bottomLeft" activeCell="B32" sqref="A1:XFD1048576"/>
      <selection pane="bottomRight" activeCell="E55" sqref="E55"/>
    </sheetView>
  </sheetViews>
  <sheetFormatPr defaultColWidth="9.109375" defaultRowHeight="13.2"/>
  <cols>
    <col min="1" max="1" width="5.44140625" style="2009" customWidth="1"/>
    <col min="2" max="2" width="29.5546875" style="2009" customWidth="1"/>
    <col min="3" max="3" width="10.6640625" style="2009" customWidth="1"/>
    <col min="4" max="4" width="9.44140625" style="2009" bestFit="1" customWidth="1"/>
    <col min="5" max="5" width="8.44140625" style="2009" bestFit="1" customWidth="1"/>
    <col min="6" max="6" width="9.109375" style="2009" customWidth="1"/>
    <col min="7" max="7" width="9.88671875" style="2009" customWidth="1"/>
    <col min="8" max="8" width="8.44140625" style="2009" customWidth="1"/>
    <col min="9" max="9" width="8.6640625" style="2009" customWidth="1"/>
    <col min="10" max="10" width="8.44140625" style="2009" bestFit="1" customWidth="1"/>
    <col min="11" max="12" width="9.109375" style="2009" customWidth="1"/>
    <col min="13" max="13" width="9" style="2009" customWidth="1"/>
    <col min="14" max="17" width="0" style="2009" hidden="1" customWidth="1"/>
    <col min="18" max="16384" width="9.109375" style="2009"/>
  </cols>
  <sheetData>
    <row r="1" spans="1:13">
      <c r="M1" s="2154" t="s">
        <v>433</v>
      </c>
    </row>
    <row r="2" spans="1:13" ht="15.6">
      <c r="A2" s="3420" t="s">
        <v>434</v>
      </c>
      <c r="B2" s="2151"/>
      <c r="C2" s="2151"/>
      <c r="D2" s="2151"/>
      <c r="E2" s="2151"/>
      <c r="F2" s="2151"/>
      <c r="G2" s="2151"/>
      <c r="H2" s="2151"/>
      <c r="I2" s="2151"/>
      <c r="J2" s="2151"/>
      <c r="K2" s="2151"/>
      <c r="L2" s="2151"/>
      <c r="M2" s="2151"/>
    </row>
    <row r="3" spans="1:13" ht="15.6">
      <c r="A3" s="3421" t="s">
        <v>2487</v>
      </c>
      <c r="B3" s="3421"/>
      <c r="C3" s="3421"/>
      <c r="D3" s="3422"/>
      <c r="E3" s="3422"/>
      <c r="F3" s="3422"/>
      <c r="G3" s="3422"/>
      <c r="H3" s="2151"/>
      <c r="I3" s="2151"/>
      <c r="J3" s="2151"/>
      <c r="K3" s="2151"/>
      <c r="L3" s="2151"/>
      <c r="M3" s="2151"/>
    </row>
    <row r="4" spans="1:13">
      <c r="B4" s="3384" t="s">
        <v>1401</v>
      </c>
      <c r="C4" s="3423"/>
    </row>
    <row r="5" spans="1:13">
      <c r="A5" s="3424" t="s">
        <v>673</v>
      </c>
      <c r="B5" s="3424" t="s">
        <v>435</v>
      </c>
      <c r="C5" s="3425" t="s">
        <v>436</v>
      </c>
      <c r="D5" s="3992" t="s">
        <v>437</v>
      </c>
      <c r="E5" s="3993"/>
      <c r="F5" s="3993"/>
      <c r="G5" s="3993"/>
      <c r="H5" s="3994"/>
      <c r="I5" s="3992" t="s">
        <v>674</v>
      </c>
      <c r="J5" s="3993"/>
      <c r="K5" s="3993"/>
      <c r="L5" s="3993"/>
      <c r="M5" s="3994"/>
    </row>
    <row r="6" spans="1:13">
      <c r="A6" s="3424"/>
      <c r="B6" s="3424"/>
      <c r="C6" s="3424"/>
      <c r="D6" s="3426" t="s">
        <v>675</v>
      </c>
      <c r="E6" s="3426" t="s">
        <v>676</v>
      </c>
      <c r="F6" s="3426" t="s">
        <v>677</v>
      </c>
      <c r="G6" s="3426" t="s">
        <v>678</v>
      </c>
      <c r="H6" s="3426" t="s">
        <v>679</v>
      </c>
      <c r="I6" s="3426" t="s">
        <v>675</v>
      </c>
      <c r="J6" s="3426" t="s">
        <v>676</v>
      </c>
      <c r="K6" s="3426" t="s">
        <v>680</v>
      </c>
      <c r="L6" s="3426" t="s">
        <v>681</v>
      </c>
      <c r="M6" s="3426" t="s">
        <v>679</v>
      </c>
    </row>
    <row r="7" spans="1:13">
      <c r="A7" s="3427" t="s">
        <v>682</v>
      </c>
      <c r="B7" s="3428" t="s">
        <v>438</v>
      </c>
      <c r="C7" s="3429" t="s">
        <v>491</v>
      </c>
      <c r="D7" s="3430"/>
      <c r="E7" s="3431"/>
      <c r="F7" s="3430"/>
      <c r="G7" s="3430"/>
      <c r="H7" s="3430"/>
      <c r="I7" s="3430"/>
      <c r="J7" s="3430"/>
      <c r="K7" s="3430"/>
      <c r="L7" s="3430"/>
      <c r="M7" s="3430"/>
    </row>
    <row r="8" spans="1:13">
      <c r="A8" s="3432"/>
      <c r="B8" s="3433" t="s">
        <v>611</v>
      </c>
      <c r="C8" s="3434"/>
      <c r="D8" s="3430"/>
      <c r="E8" s="3431"/>
      <c r="F8" s="3430"/>
      <c r="G8" s="3435"/>
      <c r="H8" s="3430"/>
      <c r="I8" s="3430"/>
      <c r="J8" s="3430"/>
      <c r="K8" s="3430"/>
      <c r="L8" s="3436"/>
      <c r="M8" s="3430"/>
    </row>
    <row r="9" spans="1:13">
      <c r="A9" s="3432" t="s">
        <v>441</v>
      </c>
      <c r="B9" s="3432" t="s">
        <v>442</v>
      </c>
      <c r="C9" s="3434" t="s">
        <v>492</v>
      </c>
      <c r="D9" s="3431"/>
      <c r="E9" s="3431"/>
      <c r="F9" s="3431"/>
      <c r="G9" s="3437"/>
      <c r="H9" s="3431"/>
      <c r="I9" s="3431"/>
      <c r="J9" s="3431"/>
      <c r="K9" s="3431"/>
      <c r="L9" s="3437"/>
      <c r="M9" s="3431"/>
    </row>
    <row r="10" spans="1:13">
      <c r="A10" s="3438"/>
      <c r="B10" s="3438" t="s">
        <v>443</v>
      </c>
      <c r="C10" s="3439" t="s">
        <v>490</v>
      </c>
      <c r="D10" s="3426"/>
      <c r="E10" s="3440"/>
      <c r="F10" s="3426"/>
      <c r="G10" s="3440"/>
      <c r="H10" s="3426"/>
      <c r="I10" s="3440"/>
      <c r="J10" s="3426"/>
      <c r="K10" s="3440"/>
      <c r="L10" s="3426"/>
      <c r="M10" s="3441"/>
    </row>
    <row r="11" spans="1:13">
      <c r="A11" s="3442" t="s">
        <v>444</v>
      </c>
      <c r="B11" s="3442" t="s">
        <v>445</v>
      </c>
      <c r="C11" s="3442" t="s">
        <v>446</v>
      </c>
      <c r="D11" s="3442"/>
      <c r="E11" s="3442"/>
      <c r="F11" s="3442"/>
      <c r="G11" s="3442"/>
      <c r="H11" s="3442"/>
      <c r="I11" s="3442"/>
      <c r="J11" s="3442"/>
      <c r="K11" s="3442"/>
      <c r="L11" s="3442"/>
      <c r="M11" s="3442"/>
    </row>
    <row r="12" spans="1:13">
      <c r="A12" s="3427" t="s">
        <v>447</v>
      </c>
      <c r="B12" s="3427" t="s">
        <v>448</v>
      </c>
      <c r="C12" s="3437" t="s">
        <v>449</v>
      </c>
      <c r="D12" s="3427"/>
      <c r="E12" s="3437"/>
      <c r="F12" s="3427"/>
      <c r="G12" s="3427"/>
      <c r="H12" s="3427"/>
      <c r="I12" s="3437"/>
      <c r="J12" s="3427"/>
      <c r="K12" s="3427"/>
      <c r="L12" s="3431"/>
      <c r="M12" s="3443"/>
    </row>
    <row r="13" spans="1:13">
      <c r="A13" s="3442"/>
      <c r="B13" s="3442" t="s">
        <v>450</v>
      </c>
      <c r="C13" s="2153"/>
      <c r="D13" s="3442"/>
      <c r="E13" s="2153"/>
      <c r="F13" s="3442"/>
      <c r="G13" s="3442"/>
      <c r="H13" s="3442"/>
      <c r="I13" s="2153"/>
      <c r="J13" s="3442"/>
      <c r="K13" s="3442"/>
      <c r="L13" s="3442"/>
      <c r="M13" s="3444"/>
    </row>
    <row r="14" spans="1:13">
      <c r="A14" s="3432" t="s">
        <v>451</v>
      </c>
      <c r="B14" s="3427" t="s">
        <v>452</v>
      </c>
      <c r="C14" s="3437" t="s">
        <v>453</v>
      </c>
      <c r="D14" s="3427"/>
      <c r="E14" s="3437"/>
      <c r="F14" s="3427"/>
      <c r="G14" s="3437"/>
      <c r="H14" s="3427"/>
      <c r="I14" s="3437"/>
      <c r="J14" s="3427"/>
      <c r="K14" s="3437"/>
      <c r="L14" s="3427"/>
      <c r="M14" s="3443"/>
    </row>
    <row r="15" spans="1:13">
      <c r="A15" s="3438"/>
      <c r="B15" s="3426" t="s">
        <v>454</v>
      </c>
      <c r="C15" s="3440"/>
      <c r="D15" s="3426"/>
      <c r="E15" s="3440"/>
      <c r="F15" s="3426"/>
      <c r="G15" s="3440"/>
      <c r="H15" s="3426"/>
      <c r="I15" s="3440"/>
      <c r="J15" s="3426"/>
      <c r="K15" s="3440"/>
      <c r="L15" s="3426"/>
      <c r="M15" s="3441"/>
    </row>
    <row r="16" spans="1:13">
      <c r="A16" s="3442" t="s">
        <v>455</v>
      </c>
      <c r="B16" s="3442" t="s">
        <v>456</v>
      </c>
      <c r="C16" s="3445" t="s">
        <v>491</v>
      </c>
      <c r="D16" s="3442"/>
      <c r="E16" s="3442"/>
      <c r="F16" s="3442"/>
      <c r="G16" s="3442"/>
      <c r="H16" s="3442"/>
      <c r="I16" s="3442"/>
      <c r="J16" s="3442"/>
      <c r="K16" s="3442"/>
      <c r="L16" s="3442"/>
      <c r="M16" s="3442"/>
    </row>
    <row r="17" spans="1:13">
      <c r="A17" s="3432" t="s">
        <v>444</v>
      </c>
      <c r="B17" s="3427" t="s">
        <v>445</v>
      </c>
      <c r="C17" s="3446" t="s">
        <v>493</v>
      </c>
      <c r="D17" s="3427"/>
      <c r="E17" s="3437"/>
      <c r="F17" s="3427"/>
      <c r="G17" s="3437"/>
      <c r="H17" s="3427"/>
      <c r="I17" s="3437"/>
      <c r="J17" s="3427"/>
      <c r="K17" s="3437"/>
      <c r="L17" s="3427"/>
      <c r="M17" s="3443"/>
    </row>
    <row r="18" spans="1:13">
      <c r="A18" s="3438"/>
      <c r="B18" s="3426"/>
      <c r="C18" s="3440" t="s">
        <v>457</v>
      </c>
      <c r="D18" s="3426"/>
      <c r="E18" s="3440"/>
      <c r="F18" s="3426"/>
      <c r="G18" s="3440"/>
      <c r="H18" s="3426"/>
      <c r="I18" s="3440"/>
      <c r="J18" s="3426"/>
      <c r="K18" s="3440"/>
      <c r="L18" s="3426"/>
      <c r="M18" s="3441"/>
    </row>
    <row r="19" spans="1:13">
      <c r="A19" s="3442" t="s">
        <v>447</v>
      </c>
      <c r="B19" s="3442" t="s">
        <v>458</v>
      </c>
      <c r="C19" s="3442" t="s">
        <v>459</v>
      </c>
      <c r="D19" s="3442"/>
      <c r="E19" s="3442"/>
      <c r="F19" s="3442"/>
      <c r="G19" s="3442"/>
      <c r="H19" s="3442"/>
      <c r="I19" s="3442"/>
      <c r="J19" s="3442"/>
      <c r="K19" s="3442"/>
      <c r="L19" s="3442"/>
      <c r="M19" s="3442"/>
    </row>
    <row r="20" spans="1:13">
      <c r="A20" s="3432" t="s">
        <v>460</v>
      </c>
      <c r="B20" s="3427" t="s">
        <v>461</v>
      </c>
      <c r="C20" s="3446" t="s">
        <v>491</v>
      </c>
      <c r="D20" s="3427"/>
      <c r="E20" s="3437"/>
      <c r="F20" s="3427"/>
      <c r="G20" s="3437"/>
      <c r="H20" s="3427"/>
      <c r="I20" s="3437"/>
      <c r="J20" s="3427"/>
      <c r="K20" s="3437"/>
      <c r="L20" s="3427"/>
      <c r="M20" s="3443"/>
    </row>
    <row r="21" spans="1:13">
      <c r="A21" s="3447"/>
      <c r="B21" s="3442" t="s">
        <v>462</v>
      </c>
      <c r="C21" s="3448" t="s">
        <v>490</v>
      </c>
      <c r="D21" s="3442"/>
      <c r="E21" s="2153"/>
      <c r="F21" s="3442"/>
      <c r="G21" s="2153"/>
      <c r="H21" s="3442"/>
      <c r="I21" s="2153"/>
      <c r="J21" s="3442"/>
      <c r="K21" s="2153"/>
      <c r="L21" s="3442"/>
      <c r="M21" s="3444"/>
    </row>
    <row r="22" spans="1:13">
      <c r="A22" s="3432" t="s">
        <v>444</v>
      </c>
      <c r="B22" s="3427" t="s">
        <v>445</v>
      </c>
      <c r="C22" s="3429" t="s">
        <v>493</v>
      </c>
      <c r="D22" s="3437"/>
      <c r="E22" s="3427"/>
      <c r="F22" s="3437"/>
      <c r="G22" s="3427"/>
      <c r="H22" s="3437"/>
      <c r="I22" s="3427"/>
      <c r="J22" s="3437"/>
      <c r="K22" s="3427"/>
      <c r="L22" s="3437"/>
      <c r="M22" s="3427"/>
    </row>
    <row r="23" spans="1:13">
      <c r="A23" s="3438"/>
      <c r="B23" s="3426"/>
      <c r="C23" s="3426" t="s">
        <v>457</v>
      </c>
      <c r="D23" s="3440"/>
      <c r="E23" s="3426"/>
      <c r="F23" s="3440"/>
      <c r="G23" s="3426"/>
      <c r="H23" s="3440"/>
      <c r="I23" s="3426"/>
      <c r="J23" s="3440"/>
      <c r="K23" s="3426"/>
      <c r="L23" s="3440"/>
      <c r="M23" s="3426"/>
    </row>
    <row r="24" spans="1:13">
      <c r="A24" s="3442" t="s">
        <v>447</v>
      </c>
      <c r="B24" s="3442" t="s">
        <v>458</v>
      </c>
      <c r="C24" s="3442" t="s">
        <v>463</v>
      </c>
      <c r="D24" s="3442"/>
      <c r="E24" s="3442"/>
      <c r="F24" s="3442"/>
      <c r="G24" s="3442"/>
      <c r="H24" s="3442"/>
      <c r="I24" s="3442"/>
      <c r="J24" s="3442"/>
      <c r="K24" s="3442"/>
      <c r="L24" s="3442"/>
      <c r="M24" s="3442"/>
    </row>
    <row r="25" spans="1:13">
      <c r="A25" s="3432" t="s">
        <v>464</v>
      </c>
      <c r="B25" s="3427" t="s">
        <v>465</v>
      </c>
      <c r="C25" s="3446" t="s">
        <v>494</v>
      </c>
      <c r="D25" s="3427"/>
      <c r="E25" s="3437"/>
      <c r="F25" s="3427"/>
      <c r="G25" s="3437"/>
      <c r="H25" s="3427"/>
      <c r="I25" s="3437"/>
      <c r="J25" s="3427"/>
      <c r="K25" s="3437"/>
      <c r="L25" s="3427"/>
      <c r="M25" s="3443"/>
    </row>
    <row r="26" spans="1:13">
      <c r="A26" s="3447"/>
      <c r="B26" s="3442" t="s">
        <v>466</v>
      </c>
      <c r="C26" s="3448" t="s">
        <v>490</v>
      </c>
      <c r="D26" s="3442"/>
      <c r="E26" s="2153"/>
      <c r="F26" s="3442"/>
      <c r="G26" s="2153"/>
      <c r="H26" s="3442"/>
      <c r="I26" s="2153"/>
      <c r="J26" s="3442"/>
      <c r="K26" s="2153"/>
      <c r="L26" s="3442"/>
      <c r="M26" s="3444"/>
    </row>
    <row r="27" spans="1:13">
      <c r="A27" s="3432" t="s">
        <v>467</v>
      </c>
      <c r="B27" s="3427" t="s">
        <v>468</v>
      </c>
      <c r="C27" s="3437"/>
      <c r="D27" s="3427"/>
      <c r="E27" s="3437"/>
      <c r="F27" s="3427"/>
      <c r="G27" s="3437"/>
      <c r="H27" s="3427"/>
      <c r="I27" s="3437"/>
      <c r="J27" s="3427"/>
      <c r="K27" s="3437"/>
      <c r="L27" s="3427"/>
      <c r="M27" s="3443"/>
    </row>
    <row r="28" spans="1:13">
      <c r="A28" s="3447"/>
      <c r="B28" s="3442" t="s">
        <v>469</v>
      </c>
      <c r="C28" s="2153"/>
      <c r="D28" s="3442"/>
      <c r="E28" s="2153"/>
      <c r="F28" s="3442"/>
      <c r="G28" s="2153"/>
      <c r="H28" s="3442"/>
      <c r="I28" s="2153"/>
      <c r="J28" s="3442"/>
      <c r="K28" s="2153"/>
      <c r="L28" s="3442"/>
      <c r="M28" s="3444"/>
    </row>
    <row r="29" spans="1:13">
      <c r="A29" s="3432" t="s">
        <v>444</v>
      </c>
      <c r="B29" s="3427" t="s">
        <v>445</v>
      </c>
      <c r="C29" s="3446" t="s">
        <v>493</v>
      </c>
      <c r="D29" s="3427"/>
      <c r="E29" s="3437"/>
      <c r="F29" s="3427"/>
      <c r="G29" s="3437"/>
      <c r="H29" s="3427"/>
      <c r="I29" s="3437"/>
      <c r="J29" s="3427"/>
      <c r="K29" s="3437"/>
      <c r="L29" s="3427"/>
      <c r="M29" s="3443"/>
    </row>
    <row r="30" spans="1:13">
      <c r="A30" s="3438"/>
      <c r="B30" s="3426"/>
      <c r="C30" s="3440" t="s">
        <v>457</v>
      </c>
      <c r="D30" s="3426"/>
      <c r="E30" s="3440"/>
      <c r="F30" s="3426"/>
      <c r="G30" s="3440"/>
      <c r="H30" s="3426"/>
      <c r="I30" s="3440"/>
      <c r="J30" s="3426"/>
      <c r="K30" s="3440"/>
      <c r="L30" s="3426"/>
      <c r="M30" s="3441"/>
    </row>
    <row r="31" spans="1:13">
      <c r="A31" s="3442" t="s">
        <v>447</v>
      </c>
      <c r="B31" s="3442" t="s">
        <v>458</v>
      </c>
      <c r="C31" s="3442" t="s">
        <v>459</v>
      </c>
      <c r="D31" s="3442"/>
      <c r="E31" s="3442"/>
      <c r="F31" s="3442"/>
      <c r="G31" s="3442"/>
      <c r="H31" s="3442"/>
      <c r="I31" s="3442"/>
      <c r="J31" s="3442"/>
      <c r="K31" s="3442"/>
      <c r="L31" s="3442"/>
      <c r="M31" s="3442"/>
    </row>
    <row r="32" spans="1:13">
      <c r="A32" s="3432" t="s">
        <v>470</v>
      </c>
      <c r="B32" s="3427" t="s">
        <v>468</v>
      </c>
      <c r="C32" s="3437"/>
      <c r="D32" s="3427"/>
      <c r="E32" s="3437"/>
      <c r="F32" s="3427"/>
      <c r="G32" s="3437"/>
      <c r="H32" s="3427"/>
      <c r="I32" s="3437"/>
      <c r="J32" s="3427"/>
      <c r="K32" s="3437"/>
      <c r="L32" s="3427"/>
      <c r="M32" s="3443"/>
    </row>
    <row r="33" spans="1:13">
      <c r="A33" s="3447"/>
      <c r="B33" s="3442" t="s">
        <v>469</v>
      </c>
      <c r="C33" s="2153"/>
      <c r="D33" s="3442"/>
      <c r="E33" s="2153"/>
      <c r="F33" s="3442"/>
      <c r="G33" s="2153"/>
      <c r="H33" s="3442"/>
      <c r="I33" s="2153"/>
      <c r="J33" s="3442"/>
      <c r="K33" s="2153"/>
      <c r="L33" s="3442"/>
      <c r="M33" s="3444"/>
    </row>
    <row r="34" spans="1:13">
      <c r="A34" s="3432" t="s">
        <v>444</v>
      </c>
      <c r="B34" s="3427" t="s">
        <v>445</v>
      </c>
      <c r="C34" s="3446" t="s">
        <v>495</v>
      </c>
      <c r="D34" s="3427"/>
      <c r="E34" s="3437"/>
      <c r="F34" s="3427"/>
      <c r="G34" s="3437"/>
      <c r="H34" s="3427"/>
      <c r="I34" s="3437"/>
      <c r="J34" s="3427"/>
      <c r="K34" s="3437"/>
      <c r="L34" s="3427"/>
      <c r="M34" s="3443"/>
    </row>
    <row r="35" spans="1:13">
      <c r="A35" s="3438"/>
      <c r="B35" s="3426"/>
      <c r="C35" s="3440" t="s">
        <v>457</v>
      </c>
      <c r="D35" s="3426"/>
      <c r="E35" s="3440"/>
      <c r="F35" s="3426"/>
      <c r="G35" s="3440"/>
      <c r="H35" s="3426"/>
      <c r="I35" s="3440"/>
      <c r="J35" s="3426"/>
      <c r="K35" s="3440"/>
      <c r="L35" s="3426"/>
      <c r="M35" s="3441"/>
    </row>
    <row r="36" spans="1:13">
      <c r="A36" s="3424" t="s">
        <v>447</v>
      </c>
      <c r="B36" s="3424" t="s">
        <v>458</v>
      </c>
      <c r="C36" s="3424" t="s">
        <v>459</v>
      </c>
      <c r="D36" s="3424"/>
      <c r="E36" s="3424"/>
      <c r="F36" s="3424"/>
      <c r="G36" s="3424"/>
      <c r="H36" s="3424"/>
      <c r="I36" s="3424"/>
      <c r="J36" s="3424"/>
      <c r="K36" s="3424"/>
      <c r="L36" s="3424"/>
      <c r="M36" s="3424"/>
    </row>
    <row r="37" spans="1:13">
      <c r="A37" s="3432" t="s">
        <v>471</v>
      </c>
      <c r="B37" s="3427" t="s">
        <v>472</v>
      </c>
      <c r="C37" s="3446" t="s">
        <v>491</v>
      </c>
      <c r="D37" s="3427"/>
      <c r="E37" s="3437"/>
      <c r="F37" s="3427"/>
      <c r="G37" s="3437"/>
      <c r="H37" s="3427"/>
      <c r="I37" s="3437"/>
      <c r="J37" s="3427"/>
      <c r="K37" s="3437"/>
      <c r="L37" s="3427"/>
      <c r="M37" s="3443"/>
    </row>
    <row r="38" spans="1:13">
      <c r="A38" s="3438"/>
      <c r="B38" s="3426" t="s">
        <v>473</v>
      </c>
      <c r="C38" s="3440" t="s">
        <v>496</v>
      </c>
      <c r="D38" s="3426"/>
      <c r="E38" s="3440"/>
      <c r="F38" s="3426"/>
      <c r="G38" s="3440"/>
      <c r="H38" s="3426"/>
      <c r="I38" s="3440"/>
      <c r="J38" s="3426"/>
      <c r="K38" s="3440"/>
      <c r="L38" s="3426"/>
      <c r="M38" s="3441"/>
    </row>
    <row r="39" spans="1:13">
      <c r="A39" s="3432" t="s">
        <v>474</v>
      </c>
      <c r="B39" s="3427" t="s">
        <v>475</v>
      </c>
      <c r="C39" s="3437" t="s">
        <v>439</v>
      </c>
      <c r="D39" s="3427"/>
      <c r="E39" s="3437"/>
      <c r="F39" s="3427"/>
      <c r="G39" s="3437"/>
      <c r="H39" s="3427"/>
      <c r="I39" s="3437"/>
      <c r="J39" s="3427"/>
      <c r="K39" s="3437"/>
      <c r="L39" s="3427"/>
      <c r="M39" s="3443"/>
    </row>
    <row r="40" spans="1:13">
      <c r="A40" s="3447"/>
      <c r="B40" s="3442" t="s">
        <v>476</v>
      </c>
      <c r="C40" s="2153" t="s">
        <v>440</v>
      </c>
      <c r="D40" s="3442"/>
      <c r="E40" s="2153"/>
      <c r="F40" s="3442"/>
      <c r="G40" s="2153"/>
      <c r="H40" s="3442"/>
      <c r="I40" s="2153"/>
      <c r="J40" s="3442"/>
      <c r="K40" s="2153"/>
      <c r="L40" s="3442"/>
      <c r="M40" s="3444"/>
    </row>
    <row r="41" spans="1:13">
      <c r="A41" s="3424" t="s">
        <v>444</v>
      </c>
      <c r="B41" s="3424" t="s">
        <v>445</v>
      </c>
      <c r="C41" s="3449" t="s">
        <v>497</v>
      </c>
      <c r="D41" s="3424"/>
      <c r="E41" s="3424"/>
      <c r="F41" s="3424"/>
      <c r="G41" s="3424"/>
      <c r="H41" s="3424"/>
      <c r="I41" s="3424"/>
      <c r="J41" s="3424"/>
      <c r="K41" s="3424"/>
      <c r="L41" s="3424"/>
      <c r="M41" s="3424"/>
    </row>
    <row r="42" spans="1:13">
      <c r="A42" s="3438" t="s">
        <v>447</v>
      </c>
      <c r="B42" s="3426" t="s">
        <v>612</v>
      </c>
      <c r="C42" s="3450" t="s">
        <v>478</v>
      </c>
      <c r="D42" s="3426"/>
      <c r="E42" s="3440"/>
      <c r="F42" s="3426"/>
      <c r="G42" s="3426"/>
      <c r="H42" s="3442"/>
      <c r="I42" s="3440"/>
      <c r="J42" s="3426"/>
      <c r="K42" s="3440"/>
      <c r="L42" s="3426"/>
      <c r="M42" s="3442"/>
    </row>
    <row r="43" spans="1:13">
      <c r="A43" s="3438" t="s">
        <v>607</v>
      </c>
      <c r="B43" s="3426" t="s">
        <v>316</v>
      </c>
      <c r="C43" s="3449" t="s">
        <v>491</v>
      </c>
      <c r="D43" s="3426"/>
      <c r="E43" s="3440"/>
      <c r="F43" s="3426"/>
      <c r="G43" s="3426"/>
      <c r="H43" s="3451"/>
      <c r="I43" s="3426"/>
      <c r="J43" s="3440"/>
      <c r="K43" s="3426"/>
      <c r="L43" s="3452"/>
      <c r="M43" s="3451"/>
    </row>
    <row r="44" spans="1:13">
      <c r="A44" s="3427" t="s">
        <v>608</v>
      </c>
      <c r="B44" s="3428" t="s">
        <v>479</v>
      </c>
      <c r="C44" s="3449" t="s">
        <v>491</v>
      </c>
      <c r="D44" s="3430"/>
      <c r="E44" s="3427"/>
      <c r="F44" s="3453"/>
      <c r="G44" s="3453"/>
      <c r="H44" s="3454"/>
      <c r="I44" s="3430"/>
      <c r="J44" s="3453"/>
      <c r="K44" s="3453"/>
      <c r="L44" s="3453"/>
      <c r="M44" s="3454"/>
    </row>
    <row r="45" spans="1:13">
      <c r="A45" s="3432" t="s">
        <v>609</v>
      </c>
      <c r="B45" s="3427" t="s">
        <v>480</v>
      </c>
      <c r="C45" s="3429" t="s">
        <v>491</v>
      </c>
      <c r="D45" s="3431"/>
      <c r="E45" s="3437"/>
      <c r="F45" s="3431"/>
      <c r="G45" s="3427"/>
      <c r="H45" s="3455"/>
      <c r="I45" s="3427"/>
      <c r="J45" s="3437"/>
      <c r="K45" s="3431"/>
      <c r="L45" s="3427"/>
      <c r="M45" s="3455"/>
    </row>
    <row r="46" spans="1:13">
      <c r="A46" s="3438"/>
      <c r="B46" s="3426" t="s">
        <v>481</v>
      </c>
      <c r="C46" s="3426"/>
      <c r="D46" s="3426"/>
      <c r="E46" s="3440"/>
      <c r="F46" s="3426"/>
      <c r="G46" s="3426"/>
      <c r="H46" s="3426"/>
      <c r="I46" s="3426"/>
      <c r="J46" s="3438"/>
      <c r="K46" s="3426"/>
      <c r="L46" s="3426"/>
      <c r="M46" s="3441"/>
    </row>
    <row r="47" spans="1:13">
      <c r="A47" s="3426" t="s">
        <v>444</v>
      </c>
      <c r="B47" s="3426" t="s">
        <v>445</v>
      </c>
      <c r="C47" s="3426" t="s">
        <v>683</v>
      </c>
      <c r="D47" s="3426"/>
      <c r="E47" s="3426"/>
      <c r="F47" s="3426"/>
      <c r="G47" s="3426"/>
      <c r="H47" s="3426"/>
      <c r="I47" s="3426"/>
      <c r="J47" s="3426"/>
      <c r="K47" s="3426"/>
      <c r="L47" s="3441"/>
      <c r="M47" s="3426"/>
    </row>
    <row r="48" spans="1:13">
      <c r="A48" s="3424" t="s">
        <v>447</v>
      </c>
      <c r="B48" s="3424" t="s">
        <v>482</v>
      </c>
      <c r="C48" s="3424"/>
      <c r="D48" s="3424"/>
      <c r="E48" s="3424"/>
      <c r="F48" s="3424"/>
      <c r="G48" s="3424"/>
      <c r="H48" s="3424"/>
      <c r="I48" s="3424"/>
      <c r="J48" s="3424"/>
      <c r="K48" s="3424"/>
      <c r="L48" s="3456"/>
      <c r="M48" s="3424"/>
    </row>
    <row r="49" spans="1:17">
      <c r="A49" s="3427" t="s">
        <v>451</v>
      </c>
      <c r="B49" s="3429" t="s">
        <v>498</v>
      </c>
      <c r="C49" s="3429" t="s">
        <v>491</v>
      </c>
      <c r="D49" s="3427"/>
      <c r="E49" s="3427"/>
      <c r="F49" s="3427"/>
      <c r="G49" s="3427"/>
      <c r="H49" s="3427"/>
      <c r="I49" s="3427"/>
      <c r="J49" s="3427"/>
      <c r="K49" s="3427"/>
      <c r="L49" s="3443"/>
      <c r="M49" s="3427"/>
    </row>
    <row r="50" spans="1:17">
      <c r="A50" s="3432" t="s">
        <v>610</v>
      </c>
      <c r="B50" s="3427" t="s">
        <v>480</v>
      </c>
      <c r="C50" s="3446" t="s">
        <v>497</v>
      </c>
      <c r="D50" s="3427"/>
      <c r="E50" s="3437"/>
      <c r="F50" s="3427"/>
      <c r="G50" s="3457"/>
      <c r="H50" s="3431"/>
      <c r="I50" s="3427"/>
      <c r="J50" s="3437"/>
      <c r="K50" s="3427"/>
      <c r="L50" s="3437"/>
      <c r="M50" s="3431"/>
    </row>
    <row r="51" spans="1:17">
      <c r="A51" s="3447"/>
      <c r="B51" s="3442" t="s">
        <v>483</v>
      </c>
      <c r="C51" s="3448" t="s">
        <v>496</v>
      </c>
      <c r="D51" s="3442"/>
      <c r="E51" s="2153"/>
      <c r="F51" s="3442"/>
      <c r="G51" s="2153"/>
      <c r="H51" s="3426"/>
      <c r="I51" s="3442"/>
      <c r="J51" s="3447"/>
      <c r="K51" s="3442"/>
      <c r="L51" s="2153"/>
      <c r="M51" s="3426"/>
    </row>
    <row r="52" spans="1:17">
      <c r="A52" s="3432" t="s">
        <v>444</v>
      </c>
      <c r="B52" s="3427" t="s">
        <v>445</v>
      </c>
      <c r="C52" s="3446" t="s">
        <v>495</v>
      </c>
      <c r="D52" s="3427"/>
      <c r="E52" s="3437"/>
      <c r="F52" s="3427"/>
      <c r="G52" s="3437"/>
      <c r="H52" s="3442"/>
      <c r="I52" s="3427"/>
      <c r="J52" s="3427"/>
      <c r="K52" s="3427"/>
      <c r="L52" s="3427"/>
      <c r="M52" s="3427"/>
    </row>
    <row r="53" spans="1:17">
      <c r="A53" s="3438"/>
      <c r="B53" s="3426"/>
      <c r="C53" s="3440" t="s">
        <v>477</v>
      </c>
      <c r="D53" s="3426"/>
      <c r="E53" s="3440"/>
      <c r="F53" s="3426"/>
      <c r="G53" s="3440"/>
      <c r="H53" s="3426"/>
      <c r="I53" s="3426"/>
      <c r="J53" s="3426"/>
      <c r="K53" s="3426"/>
      <c r="L53" s="3426"/>
      <c r="M53" s="3426"/>
    </row>
    <row r="54" spans="1:17">
      <c r="A54" s="3442" t="s">
        <v>447</v>
      </c>
      <c r="B54" s="3442" t="s">
        <v>484</v>
      </c>
      <c r="C54" s="3442" t="s">
        <v>478</v>
      </c>
      <c r="D54" s="3442"/>
      <c r="E54" s="3442"/>
      <c r="F54" s="3442"/>
      <c r="G54" s="3442"/>
      <c r="H54" s="3442"/>
      <c r="I54" s="3442"/>
      <c r="J54" s="3442"/>
      <c r="K54" s="3442"/>
      <c r="L54" s="3442"/>
      <c r="M54" s="3442"/>
    </row>
    <row r="55" spans="1:17">
      <c r="A55" s="3432" t="s">
        <v>684</v>
      </c>
      <c r="B55" s="3427" t="s">
        <v>485</v>
      </c>
      <c r="C55" s="3446" t="s">
        <v>497</v>
      </c>
      <c r="D55" s="3427"/>
      <c r="E55" s="3437"/>
      <c r="F55" s="3427"/>
      <c r="G55" s="3437"/>
      <c r="H55" s="3431"/>
      <c r="I55" s="3427"/>
      <c r="J55" s="3437"/>
      <c r="K55" s="3427"/>
      <c r="L55" s="3437"/>
      <c r="M55" s="3431"/>
    </row>
    <row r="56" spans="1:17">
      <c r="A56" s="3447"/>
      <c r="B56" s="3442" t="s">
        <v>486</v>
      </c>
      <c r="C56" s="3448" t="s">
        <v>496</v>
      </c>
      <c r="D56" s="3442"/>
      <c r="E56" s="2153"/>
      <c r="F56" s="3442"/>
      <c r="G56" s="2153"/>
      <c r="H56" s="3426"/>
      <c r="I56" s="3442"/>
      <c r="J56" s="3426"/>
      <c r="K56" s="3442"/>
      <c r="L56" s="2153"/>
      <c r="M56" s="3426"/>
    </row>
    <row r="57" spans="1:17">
      <c r="A57" s="3432" t="s">
        <v>685</v>
      </c>
      <c r="B57" s="3427" t="s">
        <v>487</v>
      </c>
      <c r="C57" s="3446" t="s">
        <v>499</v>
      </c>
      <c r="D57" s="3427"/>
      <c r="E57" s="3437"/>
      <c r="F57" s="3431"/>
      <c r="G57" s="3437"/>
      <c r="H57" s="3431"/>
      <c r="I57" s="3427"/>
      <c r="J57" s="3427"/>
      <c r="K57" s="3427"/>
      <c r="L57" s="3427"/>
      <c r="M57" s="3427"/>
    </row>
    <row r="58" spans="1:17">
      <c r="A58" s="3438"/>
      <c r="B58" s="3426" t="s">
        <v>488</v>
      </c>
      <c r="C58" s="3458" t="s">
        <v>496</v>
      </c>
      <c r="D58" s="3426"/>
      <c r="E58" s="3440"/>
      <c r="F58" s="3426"/>
      <c r="G58" s="3440"/>
      <c r="H58" s="3426"/>
      <c r="I58" s="3426"/>
      <c r="J58" s="3426"/>
      <c r="K58" s="3426"/>
      <c r="L58" s="3426"/>
      <c r="M58" s="3426"/>
    </row>
    <row r="59" spans="1:17" s="2006" customFormat="1">
      <c r="A59" s="3459" t="s">
        <v>686</v>
      </c>
      <c r="B59" s="3459" t="s">
        <v>489</v>
      </c>
      <c r="C59" s="3460" t="s">
        <v>491</v>
      </c>
      <c r="D59" s="3461">
        <v>0.62929780000000002</v>
      </c>
      <c r="E59" s="3462">
        <v>0</v>
      </c>
      <c r="F59" s="3461">
        <v>0.75388699999999997</v>
      </c>
      <c r="G59" s="3461">
        <v>2.32891E-2</v>
      </c>
      <c r="H59" s="3463">
        <v>1.4064738999999999</v>
      </c>
      <c r="I59" s="3461">
        <v>0.94842100000000007</v>
      </c>
      <c r="J59" s="3462">
        <v>0</v>
      </c>
      <c r="K59" s="3461">
        <v>0.56264700000000001</v>
      </c>
      <c r="L59" s="3461">
        <v>2.4014000000000001E-2</v>
      </c>
      <c r="M59" s="3461">
        <v>1.5350820000000001</v>
      </c>
      <c r="O59" s="2006">
        <v>1.4064738999999999</v>
      </c>
      <c r="P59" s="2006">
        <v>1.5350820000000001</v>
      </c>
    </row>
    <row r="60" spans="1:17" hidden="1">
      <c r="C60" s="3423" t="s">
        <v>490</v>
      </c>
      <c r="O60" s="2009">
        <v>1.4064738999999999</v>
      </c>
      <c r="P60" s="2009">
        <v>1.5350820000000001</v>
      </c>
    </row>
    <row r="61" spans="1:17" hidden="1">
      <c r="D61" s="3464"/>
      <c r="F61" s="3464"/>
      <c r="G61" s="3464"/>
      <c r="H61" s="3464"/>
      <c r="I61" s="3464"/>
      <c r="J61" s="3464"/>
      <c r="K61" s="3464"/>
      <c r="L61" s="3464"/>
    </row>
    <row r="62" spans="1:17" ht="51" customHeight="1">
      <c r="O62" s="3465">
        <v>7.0000003778874845E-2</v>
      </c>
      <c r="P62" s="3465">
        <v>7.0099996578561252E-2</v>
      </c>
    </row>
    <row r="63" spans="1:17" s="2171" customFormat="1" ht="23.25" customHeight="1">
      <c r="A63" s="3404" t="s">
        <v>1266</v>
      </c>
      <c r="B63" s="3404"/>
      <c r="C63" s="3405"/>
      <c r="H63" s="3406"/>
      <c r="N63" s="2231">
        <v>13.071400000000001</v>
      </c>
    </row>
    <row r="64" spans="1:17" s="2171" customFormat="1" ht="15" customHeight="1">
      <c r="A64" s="3404" t="s">
        <v>1304</v>
      </c>
      <c r="B64" s="3407"/>
      <c r="C64" s="3405"/>
      <c r="E64" s="3466"/>
      <c r="F64" s="3466"/>
      <c r="J64" s="3466" t="s">
        <v>2876</v>
      </c>
      <c r="N64" s="2231" t="s">
        <v>1295</v>
      </c>
      <c r="O64" s="2231">
        <v>13.83</v>
      </c>
      <c r="P64" s="2231"/>
      <c r="Q64" s="2231"/>
    </row>
    <row r="77" spans="4:14">
      <c r="D77" s="2009">
        <v>0.62929780000000002</v>
      </c>
      <c r="E77" s="2009">
        <v>0</v>
      </c>
      <c r="F77" s="2009">
        <v>0.75388699999999997</v>
      </c>
      <c r="G77" s="2009">
        <v>2.32891E-2</v>
      </c>
      <c r="H77" s="2009">
        <v>1.4064738999999999</v>
      </c>
      <c r="I77" s="2009">
        <v>0.94842100000000007</v>
      </c>
      <c r="J77" s="2009">
        <v>0</v>
      </c>
      <c r="K77" s="2009">
        <v>0.56264700000000001</v>
      </c>
      <c r="L77" s="2009">
        <v>2.4014000000000001E-2</v>
      </c>
      <c r="M77" s="2009">
        <v>1.5350820000000001</v>
      </c>
    </row>
    <row r="78" spans="4:14">
      <c r="D78" s="2009">
        <v>1.0964930000000002</v>
      </c>
      <c r="E78" s="2009">
        <v>0</v>
      </c>
      <c r="F78" s="2009">
        <v>0.96756120000000001</v>
      </c>
      <c r="G78" s="2009">
        <v>4.5161799999999995E-2</v>
      </c>
      <c r="H78" s="2009">
        <v>2.109216</v>
      </c>
      <c r="I78" s="2009">
        <v>1.1009191</v>
      </c>
      <c r="J78" s="2009">
        <v>0</v>
      </c>
      <c r="K78" s="2009">
        <v>0.96765520000000005</v>
      </c>
      <c r="L78" s="2009">
        <v>4.5161399999999997E-2</v>
      </c>
      <c r="M78" s="2009">
        <v>2.1137356999999999</v>
      </c>
      <c r="N78" s="2009" t="s">
        <v>1299</v>
      </c>
    </row>
  </sheetData>
  <mergeCells count="2">
    <mergeCell ref="D5:H5"/>
    <mergeCell ref="I5:M5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95" orientation="landscape" r:id="rId1"/>
  <headerFooter alignWithMargins="0">
    <oddFooter>&amp;R&amp;8&amp;P</oddFooter>
  </headerFooter>
  <rowBreaks count="1" manualBreakCount="1">
    <brk id="35" max="16383" man="1"/>
  </rowBreaks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6">
    <tabColor rgb="FFFFC000"/>
  </sheetPr>
  <dimension ref="A1:K71"/>
  <sheetViews>
    <sheetView workbookViewId="0">
      <pane xSplit="3" ySplit="7" topLeftCell="D35" activePane="bottomRight" state="frozenSplit"/>
      <selection activeCell="M38" sqref="M38"/>
      <selection pane="topRight" activeCell="M38" sqref="M38"/>
      <selection pane="bottomLeft" activeCell="M38" sqref="M38"/>
      <selection pane="bottomRight" activeCell="M38" sqref="M38"/>
    </sheetView>
  </sheetViews>
  <sheetFormatPr defaultRowHeight="13.2"/>
  <cols>
    <col min="1" max="1" width="9.109375" style="10"/>
    <col min="2" max="2" width="18" style="10" customWidth="1"/>
    <col min="3" max="3" width="12.88671875" style="10" customWidth="1"/>
    <col min="4" max="4" width="12.33203125" style="10" customWidth="1"/>
    <col min="5" max="5" width="11" style="10" customWidth="1"/>
    <col min="6" max="6" width="10.5546875" style="10" customWidth="1"/>
    <col min="7" max="257" width="9.109375" style="10"/>
    <col min="258" max="258" width="18" style="10" customWidth="1"/>
    <col min="259" max="259" width="12.88671875" style="10" customWidth="1"/>
    <col min="260" max="260" width="12.33203125" style="10" customWidth="1"/>
    <col min="261" max="261" width="11" style="10" customWidth="1"/>
    <col min="262" max="262" width="10.5546875" style="10" customWidth="1"/>
    <col min="263" max="513" width="9.109375" style="10"/>
    <col min="514" max="514" width="18" style="10" customWidth="1"/>
    <col min="515" max="515" width="12.88671875" style="10" customWidth="1"/>
    <col min="516" max="516" width="12.33203125" style="10" customWidth="1"/>
    <col min="517" max="517" width="11" style="10" customWidth="1"/>
    <col min="518" max="518" width="10.5546875" style="10" customWidth="1"/>
    <col min="519" max="769" width="9.109375" style="10"/>
    <col min="770" max="770" width="18" style="10" customWidth="1"/>
    <col min="771" max="771" width="12.88671875" style="10" customWidth="1"/>
    <col min="772" max="772" width="12.33203125" style="10" customWidth="1"/>
    <col min="773" max="773" width="11" style="10" customWidth="1"/>
    <col min="774" max="774" width="10.5546875" style="10" customWidth="1"/>
    <col min="775" max="1025" width="9.109375" style="10"/>
    <col min="1026" max="1026" width="18" style="10" customWidth="1"/>
    <col min="1027" max="1027" width="12.88671875" style="10" customWidth="1"/>
    <col min="1028" max="1028" width="12.33203125" style="10" customWidth="1"/>
    <col min="1029" max="1029" width="11" style="10" customWidth="1"/>
    <col min="1030" max="1030" width="10.5546875" style="10" customWidth="1"/>
    <col min="1031" max="1281" width="9.109375" style="10"/>
    <col min="1282" max="1282" width="18" style="10" customWidth="1"/>
    <col min="1283" max="1283" width="12.88671875" style="10" customWidth="1"/>
    <col min="1284" max="1284" width="12.33203125" style="10" customWidth="1"/>
    <col min="1285" max="1285" width="11" style="10" customWidth="1"/>
    <col min="1286" max="1286" width="10.5546875" style="10" customWidth="1"/>
    <col min="1287" max="1537" width="9.109375" style="10"/>
    <col min="1538" max="1538" width="18" style="10" customWidth="1"/>
    <col min="1539" max="1539" width="12.88671875" style="10" customWidth="1"/>
    <col min="1540" max="1540" width="12.33203125" style="10" customWidth="1"/>
    <col min="1541" max="1541" width="11" style="10" customWidth="1"/>
    <col min="1542" max="1542" width="10.5546875" style="10" customWidth="1"/>
    <col min="1543" max="1793" width="9.109375" style="10"/>
    <col min="1794" max="1794" width="18" style="10" customWidth="1"/>
    <col min="1795" max="1795" width="12.88671875" style="10" customWidth="1"/>
    <col min="1796" max="1796" width="12.33203125" style="10" customWidth="1"/>
    <col min="1797" max="1797" width="11" style="10" customWidth="1"/>
    <col min="1798" max="1798" width="10.5546875" style="10" customWidth="1"/>
    <col min="1799" max="2049" width="9.109375" style="10"/>
    <col min="2050" max="2050" width="18" style="10" customWidth="1"/>
    <col min="2051" max="2051" width="12.88671875" style="10" customWidth="1"/>
    <col min="2052" max="2052" width="12.33203125" style="10" customWidth="1"/>
    <col min="2053" max="2053" width="11" style="10" customWidth="1"/>
    <col min="2054" max="2054" width="10.5546875" style="10" customWidth="1"/>
    <col min="2055" max="2305" width="9.109375" style="10"/>
    <col min="2306" max="2306" width="18" style="10" customWidth="1"/>
    <col min="2307" max="2307" width="12.88671875" style="10" customWidth="1"/>
    <col min="2308" max="2308" width="12.33203125" style="10" customWidth="1"/>
    <col min="2309" max="2309" width="11" style="10" customWidth="1"/>
    <col min="2310" max="2310" width="10.5546875" style="10" customWidth="1"/>
    <col min="2311" max="2561" width="9.109375" style="10"/>
    <col min="2562" max="2562" width="18" style="10" customWidth="1"/>
    <col min="2563" max="2563" width="12.88671875" style="10" customWidth="1"/>
    <col min="2564" max="2564" width="12.33203125" style="10" customWidth="1"/>
    <col min="2565" max="2565" width="11" style="10" customWidth="1"/>
    <col min="2566" max="2566" width="10.5546875" style="10" customWidth="1"/>
    <col min="2567" max="2817" width="9.109375" style="10"/>
    <col min="2818" max="2818" width="18" style="10" customWidth="1"/>
    <col min="2819" max="2819" width="12.88671875" style="10" customWidth="1"/>
    <col min="2820" max="2820" width="12.33203125" style="10" customWidth="1"/>
    <col min="2821" max="2821" width="11" style="10" customWidth="1"/>
    <col min="2822" max="2822" width="10.5546875" style="10" customWidth="1"/>
    <col min="2823" max="3073" width="9.109375" style="10"/>
    <col min="3074" max="3074" width="18" style="10" customWidth="1"/>
    <col min="3075" max="3075" width="12.88671875" style="10" customWidth="1"/>
    <col min="3076" max="3076" width="12.33203125" style="10" customWidth="1"/>
    <col min="3077" max="3077" width="11" style="10" customWidth="1"/>
    <col min="3078" max="3078" width="10.5546875" style="10" customWidth="1"/>
    <col min="3079" max="3329" width="9.109375" style="10"/>
    <col min="3330" max="3330" width="18" style="10" customWidth="1"/>
    <col min="3331" max="3331" width="12.88671875" style="10" customWidth="1"/>
    <col min="3332" max="3332" width="12.33203125" style="10" customWidth="1"/>
    <col min="3333" max="3333" width="11" style="10" customWidth="1"/>
    <col min="3334" max="3334" width="10.5546875" style="10" customWidth="1"/>
    <col min="3335" max="3585" width="9.109375" style="10"/>
    <col min="3586" max="3586" width="18" style="10" customWidth="1"/>
    <col min="3587" max="3587" width="12.88671875" style="10" customWidth="1"/>
    <col min="3588" max="3588" width="12.33203125" style="10" customWidth="1"/>
    <col min="3589" max="3589" width="11" style="10" customWidth="1"/>
    <col min="3590" max="3590" width="10.5546875" style="10" customWidth="1"/>
    <col min="3591" max="3841" width="9.109375" style="10"/>
    <col min="3842" max="3842" width="18" style="10" customWidth="1"/>
    <col min="3843" max="3843" width="12.88671875" style="10" customWidth="1"/>
    <col min="3844" max="3844" width="12.33203125" style="10" customWidth="1"/>
    <col min="3845" max="3845" width="11" style="10" customWidth="1"/>
    <col min="3846" max="3846" width="10.5546875" style="10" customWidth="1"/>
    <col min="3847" max="4097" width="9.109375" style="10"/>
    <col min="4098" max="4098" width="18" style="10" customWidth="1"/>
    <col min="4099" max="4099" width="12.88671875" style="10" customWidth="1"/>
    <col min="4100" max="4100" width="12.33203125" style="10" customWidth="1"/>
    <col min="4101" max="4101" width="11" style="10" customWidth="1"/>
    <col min="4102" max="4102" width="10.5546875" style="10" customWidth="1"/>
    <col min="4103" max="4353" width="9.109375" style="10"/>
    <col min="4354" max="4354" width="18" style="10" customWidth="1"/>
    <col min="4355" max="4355" width="12.88671875" style="10" customWidth="1"/>
    <col min="4356" max="4356" width="12.33203125" style="10" customWidth="1"/>
    <col min="4357" max="4357" width="11" style="10" customWidth="1"/>
    <col min="4358" max="4358" width="10.5546875" style="10" customWidth="1"/>
    <col min="4359" max="4609" width="9.109375" style="10"/>
    <col min="4610" max="4610" width="18" style="10" customWidth="1"/>
    <col min="4611" max="4611" width="12.88671875" style="10" customWidth="1"/>
    <col min="4612" max="4612" width="12.33203125" style="10" customWidth="1"/>
    <col min="4613" max="4613" width="11" style="10" customWidth="1"/>
    <col min="4614" max="4614" width="10.5546875" style="10" customWidth="1"/>
    <col min="4615" max="4865" width="9.109375" style="10"/>
    <col min="4866" max="4866" width="18" style="10" customWidth="1"/>
    <col min="4867" max="4867" width="12.88671875" style="10" customWidth="1"/>
    <col min="4868" max="4868" width="12.33203125" style="10" customWidth="1"/>
    <col min="4869" max="4869" width="11" style="10" customWidth="1"/>
    <col min="4870" max="4870" width="10.5546875" style="10" customWidth="1"/>
    <col min="4871" max="5121" width="9.109375" style="10"/>
    <col min="5122" max="5122" width="18" style="10" customWidth="1"/>
    <col min="5123" max="5123" width="12.88671875" style="10" customWidth="1"/>
    <col min="5124" max="5124" width="12.33203125" style="10" customWidth="1"/>
    <col min="5125" max="5125" width="11" style="10" customWidth="1"/>
    <col min="5126" max="5126" width="10.5546875" style="10" customWidth="1"/>
    <col min="5127" max="5377" width="9.109375" style="10"/>
    <col min="5378" max="5378" width="18" style="10" customWidth="1"/>
    <col min="5379" max="5379" width="12.88671875" style="10" customWidth="1"/>
    <col min="5380" max="5380" width="12.33203125" style="10" customWidth="1"/>
    <col min="5381" max="5381" width="11" style="10" customWidth="1"/>
    <col min="5382" max="5382" width="10.5546875" style="10" customWidth="1"/>
    <col min="5383" max="5633" width="9.109375" style="10"/>
    <col min="5634" max="5634" width="18" style="10" customWidth="1"/>
    <col min="5635" max="5635" width="12.88671875" style="10" customWidth="1"/>
    <col min="5636" max="5636" width="12.33203125" style="10" customWidth="1"/>
    <col min="5637" max="5637" width="11" style="10" customWidth="1"/>
    <col min="5638" max="5638" width="10.5546875" style="10" customWidth="1"/>
    <col min="5639" max="5889" width="9.109375" style="10"/>
    <col min="5890" max="5890" width="18" style="10" customWidth="1"/>
    <col min="5891" max="5891" width="12.88671875" style="10" customWidth="1"/>
    <col min="5892" max="5892" width="12.33203125" style="10" customWidth="1"/>
    <col min="5893" max="5893" width="11" style="10" customWidth="1"/>
    <col min="5894" max="5894" width="10.5546875" style="10" customWidth="1"/>
    <col min="5895" max="6145" width="9.109375" style="10"/>
    <col min="6146" max="6146" width="18" style="10" customWidth="1"/>
    <col min="6147" max="6147" width="12.88671875" style="10" customWidth="1"/>
    <col min="6148" max="6148" width="12.33203125" style="10" customWidth="1"/>
    <col min="6149" max="6149" width="11" style="10" customWidth="1"/>
    <col min="6150" max="6150" width="10.5546875" style="10" customWidth="1"/>
    <col min="6151" max="6401" width="9.109375" style="10"/>
    <col min="6402" max="6402" width="18" style="10" customWidth="1"/>
    <col min="6403" max="6403" width="12.88671875" style="10" customWidth="1"/>
    <col min="6404" max="6404" width="12.33203125" style="10" customWidth="1"/>
    <col min="6405" max="6405" width="11" style="10" customWidth="1"/>
    <col min="6406" max="6406" width="10.5546875" style="10" customWidth="1"/>
    <col min="6407" max="6657" width="9.109375" style="10"/>
    <col min="6658" max="6658" width="18" style="10" customWidth="1"/>
    <col min="6659" max="6659" width="12.88671875" style="10" customWidth="1"/>
    <col min="6660" max="6660" width="12.33203125" style="10" customWidth="1"/>
    <col min="6661" max="6661" width="11" style="10" customWidth="1"/>
    <col min="6662" max="6662" width="10.5546875" style="10" customWidth="1"/>
    <col min="6663" max="6913" width="9.109375" style="10"/>
    <col min="6914" max="6914" width="18" style="10" customWidth="1"/>
    <col min="6915" max="6915" width="12.88671875" style="10" customWidth="1"/>
    <col min="6916" max="6916" width="12.33203125" style="10" customWidth="1"/>
    <col min="6917" max="6917" width="11" style="10" customWidth="1"/>
    <col min="6918" max="6918" width="10.5546875" style="10" customWidth="1"/>
    <col min="6919" max="7169" width="9.109375" style="10"/>
    <col min="7170" max="7170" width="18" style="10" customWidth="1"/>
    <col min="7171" max="7171" width="12.88671875" style="10" customWidth="1"/>
    <col min="7172" max="7172" width="12.33203125" style="10" customWidth="1"/>
    <col min="7173" max="7173" width="11" style="10" customWidth="1"/>
    <col min="7174" max="7174" width="10.5546875" style="10" customWidth="1"/>
    <col min="7175" max="7425" width="9.109375" style="10"/>
    <col min="7426" max="7426" width="18" style="10" customWidth="1"/>
    <col min="7427" max="7427" width="12.88671875" style="10" customWidth="1"/>
    <col min="7428" max="7428" width="12.33203125" style="10" customWidth="1"/>
    <col min="7429" max="7429" width="11" style="10" customWidth="1"/>
    <col min="7430" max="7430" width="10.5546875" style="10" customWidth="1"/>
    <col min="7431" max="7681" width="9.109375" style="10"/>
    <col min="7682" max="7682" width="18" style="10" customWidth="1"/>
    <col min="7683" max="7683" width="12.88671875" style="10" customWidth="1"/>
    <col min="7684" max="7684" width="12.33203125" style="10" customWidth="1"/>
    <col min="7685" max="7685" width="11" style="10" customWidth="1"/>
    <col min="7686" max="7686" width="10.5546875" style="10" customWidth="1"/>
    <col min="7687" max="7937" width="9.109375" style="10"/>
    <col min="7938" max="7938" width="18" style="10" customWidth="1"/>
    <col min="7939" max="7939" width="12.88671875" style="10" customWidth="1"/>
    <col min="7940" max="7940" width="12.33203125" style="10" customWidth="1"/>
    <col min="7941" max="7941" width="11" style="10" customWidth="1"/>
    <col min="7942" max="7942" width="10.5546875" style="10" customWidth="1"/>
    <col min="7943" max="8193" width="9.109375" style="10"/>
    <col min="8194" max="8194" width="18" style="10" customWidth="1"/>
    <col min="8195" max="8195" width="12.88671875" style="10" customWidth="1"/>
    <col min="8196" max="8196" width="12.33203125" style="10" customWidth="1"/>
    <col min="8197" max="8197" width="11" style="10" customWidth="1"/>
    <col min="8198" max="8198" width="10.5546875" style="10" customWidth="1"/>
    <col min="8199" max="8449" width="9.109375" style="10"/>
    <col min="8450" max="8450" width="18" style="10" customWidth="1"/>
    <col min="8451" max="8451" width="12.88671875" style="10" customWidth="1"/>
    <col min="8452" max="8452" width="12.33203125" style="10" customWidth="1"/>
    <col min="8453" max="8453" width="11" style="10" customWidth="1"/>
    <col min="8454" max="8454" width="10.5546875" style="10" customWidth="1"/>
    <col min="8455" max="8705" width="9.109375" style="10"/>
    <col min="8706" max="8706" width="18" style="10" customWidth="1"/>
    <col min="8707" max="8707" width="12.88671875" style="10" customWidth="1"/>
    <col min="8708" max="8708" width="12.33203125" style="10" customWidth="1"/>
    <col min="8709" max="8709" width="11" style="10" customWidth="1"/>
    <col min="8710" max="8710" width="10.5546875" style="10" customWidth="1"/>
    <col min="8711" max="8961" width="9.109375" style="10"/>
    <col min="8962" max="8962" width="18" style="10" customWidth="1"/>
    <col min="8963" max="8963" width="12.88671875" style="10" customWidth="1"/>
    <col min="8964" max="8964" width="12.33203125" style="10" customWidth="1"/>
    <col min="8965" max="8965" width="11" style="10" customWidth="1"/>
    <col min="8966" max="8966" width="10.5546875" style="10" customWidth="1"/>
    <col min="8967" max="9217" width="9.109375" style="10"/>
    <col min="9218" max="9218" width="18" style="10" customWidth="1"/>
    <col min="9219" max="9219" width="12.88671875" style="10" customWidth="1"/>
    <col min="9220" max="9220" width="12.33203125" style="10" customWidth="1"/>
    <col min="9221" max="9221" width="11" style="10" customWidth="1"/>
    <col min="9222" max="9222" width="10.5546875" style="10" customWidth="1"/>
    <col min="9223" max="9473" width="9.109375" style="10"/>
    <col min="9474" max="9474" width="18" style="10" customWidth="1"/>
    <col min="9475" max="9475" width="12.88671875" style="10" customWidth="1"/>
    <col min="9476" max="9476" width="12.33203125" style="10" customWidth="1"/>
    <col min="9477" max="9477" width="11" style="10" customWidth="1"/>
    <col min="9478" max="9478" width="10.5546875" style="10" customWidth="1"/>
    <col min="9479" max="9729" width="9.109375" style="10"/>
    <col min="9730" max="9730" width="18" style="10" customWidth="1"/>
    <col min="9731" max="9731" width="12.88671875" style="10" customWidth="1"/>
    <col min="9732" max="9732" width="12.33203125" style="10" customWidth="1"/>
    <col min="9733" max="9733" width="11" style="10" customWidth="1"/>
    <col min="9734" max="9734" width="10.5546875" style="10" customWidth="1"/>
    <col min="9735" max="9985" width="9.109375" style="10"/>
    <col min="9986" max="9986" width="18" style="10" customWidth="1"/>
    <col min="9987" max="9987" width="12.88671875" style="10" customWidth="1"/>
    <col min="9988" max="9988" width="12.33203125" style="10" customWidth="1"/>
    <col min="9989" max="9989" width="11" style="10" customWidth="1"/>
    <col min="9990" max="9990" width="10.5546875" style="10" customWidth="1"/>
    <col min="9991" max="10241" width="9.109375" style="10"/>
    <col min="10242" max="10242" width="18" style="10" customWidth="1"/>
    <col min="10243" max="10243" width="12.88671875" style="10" customWidth="1"/>
    <col min="10244" max="10244" width="12.33203125" style="10" customWidth="1"/>
    <col min="10245" max="10245" width="11" style="10" customWidth="1"/>
    <col min="10246" max="10246" width="10.5546875" style="10" customWidth="1"/>
    <col min="10247" max="10497" width="9.109375" style="10"/>
    <col min="10498" max="10498" width="18" style="10" customWidth="1"/>
    <col min="10499" max="10499" width="12.88671875" style="10" customWidth="1"/>
    <col min="10500" max="10500" width="12.33203125" style="10" customWidth="1"/>
    <col min="10501" max="10501" width="11" style="10" customWidth="1"/>
    <col min="10502" max="10502" width="10.5546875" style="10" customWidth="1"/>
    <col min="10503" max="10753" width="9.109375" style="10"/>
    <col min="10754" max="10754" width="18" style="10" customWidth="1"/>
    <col min="10755" max="10755" width="12.88671875" style="10" customWidth="1"/>
    <col min="10756" max="10756" width="12.33203125" style="10" customWidth="1"/>
    <col min="10757" max="10757" width="11" style="10" customWidth="1"/>
    <col min="10758" max="10758" width="10.5546875" style="10" customWidth="1"/>
    <col min="10759" max="11009" width="9.109375" style="10"/>
    <col min="11010" max="11010" width="18" style="10" customWidth="1"/>
    <col min="11011" max="11011" width="12.88671875" style="10" customWidth="1"/>
    <col min="11012" max="11012" width="12.33203125" style="10" customWidth="1"/>
    <col min="11013" max="11013" width="11" style="10" customWidth="1"/>
    <col min="11014" max="11014" width="10.5546875" style="10" customWidth="1"/>
    <col min="11015" max="11265" width="9.109375" style="10"/>
    <col min="11266" max="11266" width="18" style="10" customWidth="1"/>
    <col min="11267" max="11267" width="12.88671875" style="10" customWidth="1"/>
    <col min="11268" max="11268" width="12.33203125" style="10" customWidth="1"/>
    <col min="11269" max="11269" width="11" style="10" customWidth="1"/>
    <col min="11270" max="11270" width="10.5546875" style="10" customWidth="1"/>
    <col min="11271" max="11521" width="9.109375" style="10"/>
    <col min="11522" max="11522" width="18" style="10" customWidth="1"/>
    <col min="11523" max="11523" width="12.88671875" style="10" customWidth="1"/>
    <col min="11524" max="11524" width="12.33203125" style="10" customWidth="1"/>
    <col min="11525" max="11525" width="11" style="10" customWidth="1"/>
    <col min="11526" max="11526" width="10.5546875" style="10" customWidth="1"/>
    <col min="11527" max="11777" width="9.109375" style="10"/>
    <col min="11778" max="11778" width="18" style="10" customWidth="1"/>
    <col min="11779" max="11779" width="12.88671875" style="10" customWidth="1"/>
    <col min="11780" max="11780" width="12.33203125" style="10" customWidth="1"/>
    <col min="11781" max="11781" width="11" style="10" customWidth="1"/>
    <col min="11782" max="11782" width="10.5546875" style="10" customWidth="1"/>
    <col min="11783" max="12033" width="9.109375" style="10"/>
    <col min="12034" max="12034" width="18" style="10" customWidth="1"/>
    <col min="12035" max="12035" width="12.88671875" style="10" customWidth="1"/>
    <col min="12036" max="12036" width="12.33203125" style="10" customWidth="1"/>
    <col min="12037" max="12037" width="11" style="10" customWidth="1"/>
    <col min="12038" max="12038" width="10.5546875" style="10" customWidth="1"/>
    <col min="12039" max="12289" width="9.109375" style="10"/>
    <col min="12290" max="12290" width="18" style="10" customWidth="1"/>
    <col min="12291" max="12291" width="12.88671875" style="10" customWidth="1"/>
    <col min="12292" max="12292" width="12.33203125" style="10" customWidth="1"/>
    <col min="12293" max="12293" width="11" style="10" customWidth="1"/>
    <col min="12294" max="12294" width="10.5546875" style="10" customWidth="1"/>
    <col min="12295" max="12545" width="9.109375" style="10"/>
    <col min="12546" max="12546" width="18" style="10" customWidth="1"/>
    <col min="12547" max="12547" width="12.88671875" style="10" customWidth="1"/>
    <col min="12548" max="12548" width="12.33203125" style="10" customWidth="1"/>
    <col min="12549" max="12549" width="11" style="10" customWidth="1"/>
    <col min="12550" max="12550" width="10.5546875" style="10" customWidth="1"/>
    <col min="12551" max="12801" width="9.109375" style="10"/>
    <col min="12802" max="12802" width="18" style="10" customWidth="1"/>
    <col min="12803" max="12803" width="12.88671875" style="10" customWidth="1"/>
    <col min="12804" max="12804" width="12.33203125" style="10" customWidth="1"/>
    <col min="12805" max="12805" width="11" style="10" customWidth="1"/>
    <col min="12806" max="12806" width="10.5546875" style="10" customWidth="1"/>
    <col min="12807" max="13057" width="9.109375" style="10"/>
    <col min="13058" max="13058" width="18" style="10" customWidth="1"/>
    <col min="13059" max="13059" width="12.88671875" style="10" customWidth="1"/>
    <col min="13060" max="13060" width="12.33203125" style="10" customWidth="1"/>
    <col min="13061" max="13061" width="11" style="10" customWidth="1"/>
    <col min="13062" max="13062" width="10.5546875" style="10" customWidth="1"/>
    <col min="13063" max="13313" width="9.109375" style="10"/>
    <col min="13314" max="13314" width="18" style="10" customWidth="1"/>
    <col min="13315" max="13315" width="12.88671875" style="10" customWidth="1"/>
    <col min="13316" max="13316" width="12.33203125" style="10" customWidth="1"/>
    <col min="13317" max="13317" width="11" style="10" customWidth="1"/>
    <col min="13318" max="13318" width="10.5546875" style="10" customWidth="1"/>
    <col min="13319" max="13569" width="9.109375" style="10"/>
    <col min="13570" max="13570" width="18" style="10" customWidth="1"/>
    <col min="13571" max="13571" width="12.88671875" style="10" customWidth="1"/>
    <col min="13572" max="13572" width="12.33203125" style="10" customWidth="1"/>
    <col min="13573" max="13573" width="11" style="10" customWidth="1"/>
    <col min="13574" max="13574" width="10.5546875" style="10" customWidth="1"/>
    <col min="13575" max="13825" width="9.109375" style="10"/>
    <col min="13826" max="13826" width="18" style="10" customWidth="1"/>
    <col min="13827" max="13827" width="12.88671875" style="10" customWidth="1"/>
    <col min="13828" max="13828" width="12.33203125" style="10" customWidth="1"/>
    <col min="13829" max="13829" width="11" style="10" customWidth="1"/>
    <col min="13830" max="13830" width="10.5546875" style="10" customWidth="1"/>
    <col min="13831" max="14081" width="9.109375" style="10"/>
    <col min="14082" max="14082" width="18" style="10" customWidth="1"/>
    <col min="14083" max="14083" width="12.88671875" style="10" customWidth="1"/>
    <col min="14084" max="14084" width="12.33203125" style="10" customWidth="1"/>
    <col min="14085" max="14085" width="11" style="10" customWidth="1"/>
    <col min="14086" max="14086" width="10.5546875" style="10" customWidth="1"/>
    <col min="14087" max="14337" width="9.109375" style="10"/>
    <col min="14338" max="14338" width="18" style="10" customWidth="1"/>
    <col min="14339" max="14339" width="12.88671875" style="10" customWidth="1"/>
    <col min="14340" max="14340" width="12.33203125" style="10" customWidth="1"/>
    <col min="14341" max="14341" width="11" style="10" customWidth="1"/>
    <col min="14342" max="14342" width="10.5546875" style="10" customWidth="1"/>
    <col min="14343" max="14593" width="9.109375" style="10"/>
    <col min="14594" max="14594" width="18" style="10" customWidth="1"/>
    <col min="14595" max="14595" width="12.88671875" style="10" customWidth="1"/>
    <col min="14596" max="14596" width="12.33203125" style="10" customWidth="1"/>
    <col min="14597" max="14597" width="11" style="10" customWidth="1"/>
    <col min="14598" max="14598" width="10.5546875" style="10" customWidth="1"/>
    <col min="14599" max="14849" width="9.109375" style="10"/>
    <col min="14850" max="14850" width="18" style="10" customWidth="1"/>
    <col min="14851" max="14851" width="12.88671875" style="10" customWidth="1"/>
    <col min="14852" max="14852" width="12.33203125" style="10" customWidth="1"/>
    <col min="14853" max="14853" width="11" style="10" customWidth="1"/>
    <col min="14854" max="14854" width="10.5546875" style="10" customWidth="1"/>
    <col min="14855" max="15105" width="9.109375" style="10"/>
    <col min="15106" max="15106" width="18" style="10" customWidth="1"/>
    <col min="15107" max="15107" width="12.88671875" style="10" customWidth="1"/>
    <col min="15108" max="15108" width="12.33203125" style="10" customWidth="1"/>
    <col min="15109" max="15109" width="11" style="10" customWidth="1"/>
    <col min="15110" max="15110" width="10.5546875" style="10" customWidth="1"/>
    <col min="15111" max="15361" width="9.109375" style="10"/>
    <col min="15362" max="15362" width="18" style="10" customWidth="1"/>
    <col min="15363" max="15363" width="12.88671875" style="10" customWidth="1"/>
    <col min="15364" max="15364" width="12.33203125" style="10" customWidth="1"/>
    <col min="15365" max="15365" width="11" style="10" customWidth="1"/>
    <col min="15366" max="15366" width="10.5546875" style="10" customWidth="1"/>
    <col min="15367" max="15617" width="9.109375" style="10"/>
    <col min="15618" max="15618" width="18" style="10" customWidth="1"/>
    <col min="15619" max="15619" width="12.88671875" style="10" customWidth="1"/>
    <col min="15620" max="15620" width="12.33203125" style="10" customWidth="1"/>
    <col min="15621" max="15621" width="11" style="10" customWidth="1"/>
    <col min="15622" max="15622" width="10.5546875" style="10" customWidth="1"/>
    <col min="15623" max="15873" width="9.109375" style="10"/>
    <col min="15874" max="15874" width="18" style="10" customWidth="1"/>
    <col min="15875" max="15875" width="12.88671875" style="10" customWidth="1"/>
    <col min="15876" max="15876" width="12.33203125" style="10" customWidth="1"/>
    <col min="15877" max="15877" width="11" style="10" customWidth="1"/>
    <col min="15878" max="15878" width="10.5546875" style="10" customWidth="1"/>
    <col min="15879" max="16129" width="9.109375" style="10"/>
    <col min="16130" max="16130" width="18" style="10" customWidth="1"/>
    <col min="16131" max="16131" width="12.88671875" style="10" customWidth="1"/>
    <col min="16132" max="16132" width="12.33203125" style="10" customWidth="1"/>
    <col min="16133" max="16133" width="11" style="10" customWidth="1"/>
    <col min="16134" max="16134" width="10.5546875" style="10" customWidth="1"/>
    <col min="16135" max="16384" width="9.109375" style="10"/>
  </cols>
  <sheetData>
    <row r="1" spans="1:7">
      <c r="G1" s="2126" t="s">
        <v>388</v>
      </c>
    </row>
    <row r="2" spans="1:7" ht="33.75" customHeight="1">
      <c r="A2" s="100" t="s">
        <v>631</v>
      </c>
      <c r="B2" s="100"/>
      <c r="C2" s="100"/>
      <c r="D2" s="100"/>
      <c r="E2" s="100"/>
      <c r="F2" s="100"/>
      <c r="G2" s="100"/>
    </row>
    <row r="3" spans="1:7" ht="14.25" customHeight="1">
      <c r="A3" s="133" t="str">
        <f>П.2.1.ПСХ!A4</f>
        <v>АО "РКЦ "Прогресс"</v>
      </c>
      <c r="B3" s="100"/>
      <c r="C3" s="100"/>
      <c r="D3" s="100"/>
      <c r="E3" s="100"/>
      <c r="F3" s="100"/>
      <c r="G3" s="100"/>
    </row>
    <row r="4" spans="1:7" ht="14.25" customHeight="1">
      <c r="A4" s="100"/>
      <c r="B4" s="100"/>
      <c r="C4" s="100"/>
      <c r="D4" s="100"/>
      <c r="E4" s="100"/>
      <c r="F4" s="100"/>
      <c r="G4" s="872" t="s">
        <v>1401</v>
      </c>
    </row>
    <row r="5" spans="1:7" ht="66">
      <c r="A5" s="4322" t="s">
        <v>54</v>
      </c>
      <c r="B5" s="4322" t="s">
        <v>171</v>
      </c>
      <c r="C5" s="4322" t="s">
        <v>389</v>
      </c>
      <c r="D5" s="4322" t="s">
        <v>361</v>
      </c>
      <c r="E5" s="2289" t="s">
        <v>390</v>
      </c>
      <c r="F5" s="2289" t="s">
        <v>391</v>
      </c>
      <c r="G5" s="2289" t="s">
        <v>366</v>
      </c>
    </row>
    <row r="6" spans="1:7">
      <c r="A6" s="4323"/>
      <c r="B6" s="4323"/>
      <c r="C6" s="4323"/>
      <c r="D6" s="4323"/>
      <c r="E6" s="2289" t="s">
        <v>392</v>
      </c>
      <c r="F6" s="2289" t="s">
        <v>393</v>
      </c>
      <c r="G6" s="2289" t="s">
        <v>369</v>
      </c>
    </row>
    <row r="7" spans="1:7">
      <c r="A7" s="2293">
        <v>1</v>
      </c>
      <c r="B7" s="2293">
        <f>+A7+1</f>
        <v>2</v>
      </c>
      <c r="C7" s="2293">
        <f>+B7+1</f>
        <v>3</v>
      </c>
      <c r="D7" s="2293">
        <f>+C7+1</f>
        <v>4</v>
      </c>
      <c r="E7" s="2293">
        <f>+D7+1</f>
        <v>5</v>
      </c>
      <c r="F7" s="2293">
        <f>+E7+1</f>
        <v>6</v>
      </c>
      <c r="G7" s="2293" t="s">
        <v>394</v>
      </c>
    </row>
    <row r="8" spans="1:7">
      <c r="A8" s="4312">
        <v>1</v>
      </c>
      <c r="B8" s="4313" t="s">
        <v>395</v>
      </c>
      <c r="C8" s="4313" t="s">
        <v>396</v>
      </c>
      <c r="D8" s="534">
        <v>1150</v>
      </c>
      <c r="E8" s="2290">
        <v>1000</v>
      </c>
      <c r="F8" s="861"/>
      <c r="G8" s="2291"/>
    </row>
    <row r="9" spans="1:7">
      <c r="A9" s="4312"/>
      <c r="B9" s="4313"/>
      <c r="C9" s="4313"/>
      <c r="D9" s="534">
        <v>750</v>
      </c>
      <c r="E9" s="2290">
        <v>600</v>
      </c>
      <c r="F9" s="861"/>
      <c r="G9" s="2291"/>
    </row>
    <row r="10" spans="1:7">
      <c r="A10" s="4312"/>
      <c r="B10" s="4313"/>
      <c r="C10" s="4313"/>
      <c r="D10" s="2291" t="s">
        <v>397</v>
      </c>
      <c r="E10" s="2290">
        <v>500</v>
      </c>
      <c r="F10" s="861"/>
      <c r="G10" s="2291"/>
    </row>
    <row r="11" spans="1:7">
      <c r="A11" s="4312"/>
      <c r="B11" s="4313"/>
      <c r="C11" s="4313"/>
      <c r="D11" s="2291">
        <v>330</v>
      </c>
      <c r="E11" s="2290">
        <v>250</v>
      </c>
      <c r="F11" s="861"/>
      <c r="G11" s="2291"/>
    </row>
    <row r="12" spans="1:7">
      <c r="A12" s="4312"/>
      <c r="B12" s="4313"/>
      <c r="C12" s="4313"/>
      <c r="D12" s="2291">
        <v>220</v>
      </c>
      <c r="E12" s="2290">
        <v>210</v>
      </c>
      <c r="F12" s="861"/>
      <c r="G12" s="544">
        <f>E12*F12</f>
        <v>0</v>
      </c>
    </row>
    <row r="13" spans="1:7">
      <c r="A13" s="4312"/>
      <c r="B13" s="4313"/>
      <c r="C13" s="4313"/>
      <c r="D13" s="2291" t="s">
        <v>398</v>
      </c>
      <c r="E13" s="2290">
        <v>105</v>
      </c>
      <c r="F13" s="862"/>
      <c r="G13" s="544">
        <f>E13*F13</f>
        <v>0</v>
      </c>
    </row>
    <row r="14" spans="1:7">
      <c r="A14" s="4312"/>
      <c r="B14" s="4313"/>
      <c r="C14" s="4313"/>
      <c r="D14" s="2291">
        <v>35</v>
      </c>
      <c r="E14" s="2290">
        <v>75</v>
      </c>
      <c r="F14" s="863"/>
      <c r="G14" s="544">
        <f>E14*F14</f>
        <v>0</v>
      </c>
    </row>
    <row r="15" spans="1:7" ht="12.75" customHeight="1">
      <c r="A15" s="4312">
        <v>2</v>
      </c>
      <c r="B15" s="4329" t="s">
        <v>399</v>
      </c>
      <c r="C15" s="4313" t="s">
        <v>400</v>
      </c>
      <c r="D15" s="534">
        <v>1150</v>
      </c>
      <c r="E15" s="2290">
        <v>60</v>
      </c>
      <c r="F15" s="863"/>
      <c r="G15" s="544"/>
    </row>
    <row r="16" spans="1:7">
      <c r="A16" s="4312"/>
      <c r="B16" s="4329"/>
      <c r="C16" s="4329"/>
      <c r="D16" s="534">
        <v>750</v>
      </c>
      <c r="E16" s="2290">
        <v>43</v>
      </c>
      <c r="F16" s="863"/>
      <c r="G16" s="544"/>
    </row>
    <row r="17" spans="1:7">
      <c r="A17" s="4312"/>
      <c r="B17" s="4329"/>
      <c r="C17" s="4329"/>
      <c r="D17" s="2291" t="s">
        <v>397</v>
      </c>
      <c r="E17" s="2290">
        <v>28</v>
      </c>
      <c r="F17" s="863"/>
      <c r="G17" s="544"/>
    </row>
    <row r="18" spans="1:7">
      <c r="A18" s="4312"/>
      <c r="B18" s="4329"/>
      <c r="C18" s="4329"/>
      <c r="D18" s="2291">
        <v>330</v>
      </c>
      <c r="E18" s="2290">
        <v>18</v>
      </c>
      <c r="F18" s="863"/>
      <c r="G18" s="544"/>
    </row>
    <row r="19" spans="1:7">
      <c r="A19" s="4312"/>
      <c r="B19" s="4329"/>
      <c r="C19" s="4329"/>
      <c r="D19" s="2291">
        <v>220</v>
      </c>
      <c r="E19" s="2290">
        <v>14</v>
      </c>
      <c r="F19" s="863"/>
      <c r="G19" s="544">
        <f>E19*F19</f>
        <v>0</v>
      </c>
    </row>
    <row r="20" spans="1:7">
      <c r="A20" s="4312"/>
      <c r="B20" s="4329"/>
      <c r="C20" s="4329"/>
      <c r="D20" s="2291" t="s">
        <v>398</v>
      </c>
      <c r="E20" s="2290">
        <v>7.8</v>
      </c>
      <c r="F20" s="862"/>
      <c r="G20" s="544">
        <f>E20*F20</f>
        <v>0</v>
      </c>
    </row>
    <row r="21" spans="1:7">
      <c r="A21" s="4312"/>
      <c r="B21" s="4329"/>
      <c r="C21" s="4329"/>
      <c r="D21" s="2291">
        <v>35</v>
      </c>
      <c r="E21" s="2290">
        <v>2.1</v>
      </c>
      <c r="F21" s="861"/>
      <c r="G21" s="544">
        <f>E21*F21</f>
        <v>0</v>
      </c>
    </row>
    <row r="22" spans="1:7">
      <c r="A22" s="4312"/>
      <c r="B22" s="4329"/>
      <c r="C22" s="4313"/>
      <c r="D22" s="545" t="s">
        <v>401</v>
      </c>
      <c r="E22" s="546">
        <v>1</v>
      </c>
      <c r="F22" s="2299"/>
      <c r="G22" s="544">
        <f>E22*F22</f>
        <v>0</v>
      </c>
    </row>
    <row r="23" spans="1:7" ht="12.75" customHeight="1">
      <c r="A23" s="4312">
        <v>3</v>
      </c>
      <c r="B23" s="4329" t="s">
        <v>402</v>
      </c>
      <c r="C23" s="4313" t="s">
        <v>403</v>
      </c>
      <c r="D23" s="534">
        <v>1150</v>
      </c>
      <c r="E23" s="2291">
        <v>180</v>
      </c>
      <c r="F23" s="861"/>
      <c r="G23" s="2291"/>
    </row>
    <row r="24" spans="1:7">
      <c r="A24" s="4312"/>
      <c r="B24" s="4329"/>
      <c r="C24" s="4329"/>
      <c r="D24" s="534">
        <v>750</v>
      </c>
      <c r="E24" s="2291">
        <v>130</v>
      </c>
      <c r="F24" s="861"/>
      <c r="G24" s="2291"/>
    </row>
    <row r="25" spans="1:7">
      <c r="A25" s="4312"/>
      <c r="B25" s="4329"/>
      <c r="C25" s="4329"/>
      <c r="D25" s="2291" t="s">
        <v>397</v>
      </c>
      <c r="E25" s="2290">
        <v>88</v>
      </c>
      <c r="F25" s="861"/>
      <c r="G25" s="2291"/>
    </row>
    <row r="26" spans="1:7">
      <c r="A26" s="4312"/>
      <c r="B26" s="4329"/>
      <c r="C26" s="4329"/>
      <c r="D26" s="2291">
        <v>330</v>
      </c>
      <c r="E26" s="2290">
        <v>66</v>
      </c>
      <c r="F26" s="861"/>
      <c r="G26" s="2291"/>
    </row>
    <row r="27" spans="1:7">
      <c r="A27" s="4312"/>
      <c r="B27" s="4329"/>
      <c r="C27" s="4329"/>
      <c r="D27" s="2291">
        <v>220</v>
      </c>
      <c r="E27" s="2290">
        <v>43</v>
      </c>
      <c r="F27" s="861"/>
      <c r="G27" s="2291"/>
    </row>
    <row r="28" spans="1:7">
      <c r="A28" s="4312"/>
      <c r="B28" s="4329"/>
      <c r="C28" s="4329"/>
      <c r="D28" s="2291" t="s">
        <v>398</v>
      </c>
      <c r="E28" s="2290">
        <v>26</v>
      </c>
      <c r="F28" s="861"/>
      <c r="G28" s="2291"/>
    </row>
    <row r="29" spans="1:7">
      <c r="A29" s="4312"/>
      <c r="B29" s="4329"/>
      <c r="C29" s="4329"/>
      <c r="D29" s="2291">
        <v>35</v>
      </c>
      <c r="E29" s="2290">
        <v>11</v>
      </c>
      <c r="F29" s="861"/>
      <c r="G29" s="2291"/>
    </row>
    <row r="30" spans="1:7">
      <c r="A30" s="4312"/>
      <c r="B30" s="4329"/>
      <c r="C30" s="4313"/>
      <c r="D30" s="545" t="s">
        <v>401</v>
      </c>
      <c r="E30" s="2290">
        <v>5.5</v>
      </c>
      <c r="F30" s="2069"/>
      <c r="G30" s="544">
        <f>E30*F30</f>
        <v>0</v>
      </c>
    </row>
    <row r="31" spans="1:7" ht="12.75" customHeight="1">
      <c r="A31" s="4312">
        <v>4</v>
      </c>
      <c r="B31" s="4313" t="s">
        <v>500</v>
      </c>
      <c r="C31" s="4313" t="s">
        <v>404</v>
      </c>
      <c r="D31" s="2291">
        <v>220</v>
      </c>
      <c r="E31" s="2291">
        <v>23</v>
      </c>
      <c r="F31" s="861"/>
      <c r="G31" s="2291"/>
    </row>
    <row r="32" spans="1:7">
      <c r="A32" s="4312"/>
      <c r="B32" s="4313"/>
      <c r="C32" s="4313"/>
      <c r="D32" s="2291" t="s">
        <v>398</v>
      </c>
      <c r="E32" s="2291">
        <v>14</v>
      </c>
      <c r="F32" s="861"/>
      <c r="G32" s="547">
        <f>E32*F32</f>
        <v>0</v>
      </c>
    </row>
    <row r="33" spans="1:10">
      <c r="A33" s="4312"/>
      <c r="B33" s="4313"/>
      <c r="C33" s="4313"/>
      <c r="D33" s="2291">
        <v>35</v>
      </c>
      <c r="E33" s="2291">
        <v>6.4</v>
      </c>
      <c r="F33" s="861"/>
      <c r="G33" s="2291"/>
    </row>
    <row r="34" spans="1:10">
      <c r="A34" s="4312"/>
      <c r="B34" s="4313"/>
      <c r="C34" s="4313"/>
      <c r="D34" s="545" t="s">
        <v>401</v>
      </c>
      <c r="E34" s="2291">
        <v>3.1</v>
      </c>
      <c r="F34" s="2070"/>
      <c r="G34" s="544">
        <f>E34*F34</f>
        <v>0</v>
      </c>
    </row>
    <row r="35" spans="1:10" ht="12.75" customHeight="1">
      <c r="A35" s="4312">
        <v>5</v>
      </c>
      <c r="B35" s="4313" t="s">
        <v>405</v>
      </c>
      <c r="C35" s="4313" t="s">
        <v>400</v>
      </c>
      <c r="D35" s="2291" t="s">
        <v>397</v>
      </c>
      <c r="E35" s="2290">
        <v>35</v>
      </c>
      <c r="F35" s="861"/>
      <c r="G35" s="2291"/>
    </row>
    <row r="36" spans="1:10">
      <c r="A36" s="4312"/>
      <c r="B36" s="4313"/>
      <c r="C36" s="4313"/>
      <c r="D36" s="2291">
        <v>330</v>
      </c>
      <c r="E36" s="2291">
        <v>24</v>
      </c>
      <c r="F36" s="861"/>
      <c r="G36" s="2291"/>
    </row>
    <row r="37" spans="1:10">
      <c r="A37" s="4312"/>
      <c r="B37" s="4313"/>
      <c r="C37" s="4313"/>
      <c r="D37" s="2291">
        <v>220</v>
      </c>
      <c r="E37" s="2291">
        <v>19</v>
      </c>
      <c r="F37" s="861"/>
      <c r="G37" s="2291"/>
    </row>
    <row r="38" spans="1:10">
      <c r="A38" s="4312"/>
      <c r="B38" s="4313"/>
      <c r="C38" s="4313"/>
      <c r="D38" s="2291" t="s">
        <v>398</v>
      </c>
      <c r="E38" s="2291">
        <v>9.5</v>
      </c>
      <c r="F38" s="862"/>
      <c r="G38" s="544">
        <f>E38*F38</f>
        <v>0</v>
      </c>
    </row>
    <row r="39" spans="1:10">
      <c r="A39" s="4312"/>
      <c r="B39" s="4313"/>
      <c r="C39" s="4313"/>
      <c r="D39" s="2291">
        <v>35</v>
      </c>
      <c r="E39" s="2291">
        <v>4.7</v>
      </c>
      <c r="F39" s="861"/>
      <c r="G39" s="544">
        <f>E39*F39</f>
        <v>0</v>
      </c>
    </row>
    <row r="40" spans="1:10" ht="26.4">
      <c r="A40" s="2290">
        <v>6</v>
      </c>
      <c r="B40" s="2291" t="s">
        <v>406</v>
      </c>
      <c r="C40" s="2291" t="s">
        <v>404</v>
      </c>
      <c r="D40" s="548" t="s">
        <v>401</v>
      </c>
      <c r="E40" s="2291">
        <v>2.2999999999999998</v>
      </c>
      <c r="F40" s="862">
        <f>3</f>
        <v>3</v>
      </c>
      <c r="G40" s="547">
        <f>E40*F40</f>
        <v>6.8999999999999995</v>
      </c>
    </row>
    <row r="41" spans="1:10" ht="39.6">
      <c r="A41" s="2290">
        <v>7</v>
      </c>
      <c r="B41" s="2291" t="s">
        <v>407</v>
      </c>
      <c r="C41" s="2291" t="s">
        <v>404</v>
      </c>
      <c r="D41" s="548" t="s">
        <v>401</v>
      </c>
      <c r="E41" s="2291">
        <v>26</v>
      </c>
      <c r="F41" s="861"/>
      <c r="G41" s="2291"/>
    </row>
    <row r="42" spans="1:10" ht="26.4">
      <c r="A42" s="2290">
        <v>8</v>
      </c>
      <c r="B42" s="2291" t="s">
        <v>408</v>
      </c>
      <c r="C42" s="2291" t="s">
        <v>404</v>
      </c>
      <c r="D42" s="548" t="s">
        <v>401</v>
      </c>
      <c r="E42" s="2291">
        <v>48</v>
      </c>
      <c r="F42" s="861"/>
      <c r="G42" s="2291"/>
    </row>
    <row r="43" spans="1:10" ht="12.75" customHeight="1">
      <c r="A43" s="4312">
        <v>9</v>
      </c>
      <c r="B43" s="4313" t="s">
        <v>409</v>
      </c>
      <c r="C43" s="4313" t="s">
        <v>410</v>
      </c>
      <c r="D43" s="2291">
        <v>35</v>
      </c>
      <c r="E43" s="2291">
        <v>2.4</v>
      </c>
      <c r="F43" s="861"/>
      <c r="G43" s="2291"/>
    </row>
    <row r="44" spans="1:10">
      <c r="A44" s="4312"/>
      <c r="B44" s="4313"/>
      <c r="C44" s="4313"/>
      <c r="D44" s="548" t="s">
        <v>401</v>
      </c>
      <c r="E44" s="2291">
        <v>2.4</v>
      </c>
      <c r="F44" s="861"/>
      <c r="G44" s="544">
        <f>E44*F44</f>
        <v>0</v>
      </c>
    </row>
    <row r="45" spans="1:10" ht="26.4">
      <c r="A45" s="2290">
        <v>10</v>
      </c>
      <c r="B45" s="2291" t="s">
        <v>411</v>
      </c>
      <c r="C45" s="2291" t="s">
        <v>412</v>
      </c>
      <c r="D45" s="548" t="s">
        <v>401</v>
      </c>
      <c r="E45" s="2291">
        <v>2.5</v>
      </c>
      <c r="F45" s="862"/>
      <c r="G45" s="547">
        <f>E45*F45</f>
        <v>0</v>
      </c>
    </row>
    <row r="46" spans="1:10" ht="26.4">
      <c r="A46" s="2290">
        <v>11</v>
      </c>
      <c r="B46" s="2291" t="s">
        <v>413</v>
      </c>
      <c r="C46" s="2291" t="s">
        <v>414</v>
      </c>
      <c r="D46" s="548" t="s">
        <v>401</v>
      </c>
      <c r="E46" s="2291">
        <v>2.2999999999999998</v>
      </c>
      <c r="F46" s="2071">
        <v>2</v>
      </c>
      <c r="G46" s="547">
        <f>E46*F46</f>
        <v>4.5999999999999996</v>
      </c>
    </row>
    <row r="47" spans="1:10" ht="26.4">
      <c r="A47" s="2290">
        <v>12</v>
      </c>
      <c r="B47" s="2291" t="s">
        <v>415</v>
      </c>
      <c r="C47" s="2291" t="s">
        <v>414</v>
      </c>
      <c r="D47" s="548" t="s">
        <v>401</v>
      </c>
      <c r="E47" s="2291">
        <v>3</v>
      </c>
      <c r="F47" s="2306"/>
      <c r="G47" s="547">
        <f>E47*F47</f>
        <v>0</v>
      </c>
    </row>
    <row r="48" spans="1:10" ht="39.6">
      <c r="A48" s="2290">
        <v>13</v>
      </c>
      <c r="B48" s="2291" t="s">
        <v>1489</v>
      </c>
      <c r="C48" s="2291" t="s">
        <v>417</v>
      </c>
      <c r="D48" s="2291">
        <v>35</v>
      </c>
      <c r="E48" s="2291">
        <v>3.5</v>
      </c>
      <c r="F48" s="861"/>
      <c r="G48" s="2291"/>
      <c r="J48" s="10">
        <f>SUM(G8:G48)</f>
        <v>11.5</v>
      </c>
    </row>
    <row r="49" spans="1:11">
      <c r="A49" s="4312" t="s">
        <v>418</v>
      </c>
      <c r="B49" s="4313" t="s">
        <v>419</v>
      </c>
      <c r="C49" s="4313"/>
      <c r="D49" s="2291" t="s">
        <v>697</v>
      </c>
      <c r="E49" s="544">
        <v>0</v>
      </c>
      <c r="F49" s="544">
        <v>0</v>
      </c>
      <c r="G49" s="544">
        <f>G12+G19</f>
        <v>0</v>
      </c>
    </row>
    <row r="50" spans="1:11">
      <c r="A50" s="4312"/>
      <c r="B50" s="4313"/>
      <c r="C50" s="4313"/>
      <c r="D50" s="2291" t="s">
        <v>239</v>
      </c>
      <c r="E50" s="544">
        <v>0</v>
      </c>
      <c r="F50" s="544">
        <v>0</v>
      </c>
      <c r="G50" s="544">
        <f>G14+G21+G22+G29+G30+G33+G34+G39+G40+G41+G42+G43+G44+G45+G46+G47+G48</f>
        <v>11.5</v>
      </c>
    </row>
    <row r="51" spans="1:11">
      <c r="A51" s="4312"/>
      <c r="B51" s="4313"/>
      <c r="C51" s="4313"/>
      <c r="D51" s="2291" t="s">
        <v>681</v>
      </c>
      <c r="E51" s="544">
        <v>0</v>
      </c>
      <c r="F51" s="544">
        <v>0</v>
      </c>
      <c r="G51" s="549">
        <v>0</v>
      </c>
      <c r="J51" s="144">
        <f>G49+G50+G51</f>
        <v>11.5</v>
      </c>
      <c r="K51" s="515">
        <f>SUMIF($D$8:$D$48,$D$22,$G$8:$G$48)+G14+G21+G39+G12+G19</f>
        <v>11.5</v>
      </c>
    </row>
    <row r="52" spans="1:11">
      <c r="A52" s="49"/>
      <c r="B52" s="50"/>
      <c r="C52" s="50"/>
      <c r="D52" s="50"/>
      <c r="E52" s="49"/>
      <c r="F52" s="49"/>
      <c r="G52" s="50"/>
    </row>
    <row r="53" spans="1:11">
      <c r="A53" s="10" t="s">
        <v>663</v>
      </c>
    </row>
    <row r="54" spans="1:11" ht="21.75" customHeight="1">
      <c r="A54" s="4327" t="s">
        <v>1123</v>
      </c>
      <c r="B54" s="4327"/>
      <c r="C54" s="4327"/>
      <c r="D54" s="4327"/>
      <c r="E54" s="4327"/>
      <c r="F54" s="4327"/>
      <c r="G54" s="4327"/>
    </row>
    <row r="55" spans="1:11" ht="39.75" customHeight="1">
      <c r="A55" s="4327" t="s">
        <v>1124</v>
      </c>
      <c r="B55" s="4327"/>
      <c r="C55" s="4327"/>
      <c r="D55" s="4327"/>
      <c r="E55" s="4327"/>
      <c r="F55" s="4327"/>
      <c r="G55" s="4327"/>
    </row>
    <row r="56" spans="1:11" ht="31.5" customHeight="1">
      <c r="A56" s="4328" t="s">
        <v>1125</v>
      </c>
      <c r="B56" s="4328"/>
      <c r="C56" s="4328"/>
      <c r="D56" s="4328"/>
      <c r="E56" s="4328"/>
      <c r="F56" s="4328"/>
      <c r="G56" s="4328"/>
    </row>
    <row r="57" spans="1:11" ht="41.25" customHeight="1">
      <c r="A57" s="4327" t="s">
        <v>1126</v>
      </c>
      <c r="B57" s="4327"/>
      <c r="C57" s="4327"/>
      <c r="D57" s="4327"/>
      <c r="E57" s="4327"/>
      <c r="F57" s="4327"/>
      <c r="G57" s="4327"/>
    </row>
    <row r="58" spans="1:11" ht="46.5" customHeight="1">
      <c r="A58" s="4327" t="s">
        <v>1127</v>
      </c>
      <c r="B58" s="4327"/>
      <c r="C58" s="4327"/>
      <c r="D58" s="4327"/>
      <c r="E58" s="4327"/>
      <c r="F58" s="4327"/>
      <c r="G58" s="4327"/>
    </row>
    <row r="59" spans="1:11" ht="45.75" customHeight="1">
      <c r="A59" s="4327" t="s">
        <v>1128</v>
      </c>
      <c r="B59" s="4327"/>
      <c r="C59" s="4327"/>
      <c r="D59" s="4327"/>
      <c r="E59" s="4327"/>
      <c r="F59" s="4327"/>
      <c r="G59" s="4327"/>
    </row>
    <row r="60" spans="1:11" ht="27.75" customHeight="1">
      <c r="A60" s="4327" t="s">
        <v>1129</v>
      </c>
      <c r="B60" s="4327"/>
      <c r="C60" s="4327"/>
      <c r="D60" s="4327"/>
      <c r="E60" s="4327"/>
      <c r="F60" s="4327"/>
      <c r="G60" s="4327"/>
    </row>
    <row r="61" spans="1:11" ht="28.5" customHeight="1">
      <c r="A61" s="4327" t="s">
        <v>1130</v>
      </c>
      <c r="B61" s="4327"/>
      <c r="C61" s="4327"/>
      <c r="D61" s="4327"/>
      <c r="E61" s="4327"/>
      <c r="F61" s="4327"/>
      <c r="G61" s="4327"/>
    </row>
    <row r="62" spans="1:11" ht="33.75" customHeight="1">
      <c r="A62" s="4327" t="s">
        <v>1131</v>
      </c>
      <c r="B62" s="4327"/>
      <c r="C62" s="4327"/>
      <c r="D62" s="4327"/>
      <c r="E62" s="4327"/>
      <c r="F62" s="4327"/>
      <c r="G62" s="4327"/>
    </row>
    <row r="63" spans="1:11" s="776" customFormat="1" ht="23.25" customHeight="1">
      <c r="A63" s="839" t="s">
        <v>1266</v>
      </c>
      <c r="B63" s="774"/>
      <c r="C63" s="775"/>
      <c r="H63" s="2068"/>
    </row>
    <row r="64" spans="1:11" s="776" customFormat="1" ht="15" customHeight="1">
      <c r="A64" s="839" t="s">
        <v>1304</v>
      </c>
      <c r="B64" s="778"/>
      <c r="C64" s="775"/>
      <c r="G64" s="779" t="s">
        <v>1268</v>
      </c>
    </row>
    <row r="65" spans="1:7" s="52" customFormat="1"/>
    <row r="66" spans="1:7" s="52" customFormat="1">
      <c r="A66" s="98"/>
    </row>
    <row r="67" spans="1:7" s="52" customFormat="1">
      <c r="A67" s="98"/>
    </row>
    <row r="68" spans="1:7" ht="58.5" customHeight="1">
      <c r="A68" s="4327"/>
      <c r="B68" s="4327"/>
      <c r="C68" s="4327"/>
      <c r="D68" s="4327"/>
      <c r="E68" s="4327"/>
      <c r="F68" s="4327"/>
      <c r="G68" s="4327"/>
    </row>
    <row r="69" spans="1:7" ht="53.25" customHeight="1">
      <c r="A69" s="4327"/>
      <c r="B69" s="4327"/>
      <c r="C69" s="4327"/>
      <c r="D69" s="4327"/>
      <c r="E69" s="4327"/>
      <c r="F69" s="4327"/>
      <c r="G69" s="4327"/>
    </row>
    <row r="70" spans="1:7" ht="31.5" customHeight="1">
      <c r="A70" s="4327"/>
      <c r="B70" s="4327"/>
      <c r="C70" s="4327"/>
      <c r="D70" s="4327"/>
      <c r="E70" s="4327"/>
      <c r="F70" s="4327"/>
      <c r="G70" s="4327"/>
    </row>
    <row r="71" spans="1:7" ht="27.75" customHeight="1">
      <c r="A71" s="4326"/>
      <c r="B71" s="4326"/>
      <c r="C71" s="4326"/>
      <c r="D71" s="4326"/>
      <c r="E71" s="4326"/>
      <c r="F71" s="4326"/>
      <c r="G71" s="4326"/>
    </row>
  </sheetData>
  <mergeCells count="37">
    <mergeCell ref="A71:G71"/>
    <mergeCell ref="A55:G55"/>
    <mergeCell ref="A56:G56"/>
    <mergeCell ref="A57:G57"/>
    <mergeCell ref="A58:G58"/>
    <mergeCell ref="A59:G59"/>
    <mergeCell ref="A60:G60"/>
    <mergeCell ref="A61:G61"/>
    <mergeCell ref="A62:G62"/>
    <mergeCell ref="A68:G68"/>
    <mergeCell ref="A69:G69"/>
    <mergeCell ref="A70:G70"/>
    <mergeCell ref="A54:G54"/>
    <mergeCell ref="A31:A34"/>
    <mergeCell ref="B31:B34"/>
    <mergeCell ref="C31:C34"/>
    <mergeCell ref="A35:A39"/>
    <mergeCell ref="B35:B39"/>
    <mergeCell ref="C35:C39"/>
    <mergeCell ref="A43:A44"/>
    <mergeCell ref="B43:B44"/>
    <mergeCell ref="C43:C44"/>
    <mergeCell ref="A49:A51"/>
    <mergeCell ref="B49:C51"/>
    <mergeCell ref="A15:A22"/>
    <mergeCell ref="B15:B22"/>
    <mergeCell ref="C15:C22"/>
    <mergeCell ref="A23:A30"/>
    <mergeCell ref="B23:B30"/>
    <mergeCell ref="C23:C30"/>
    <mergeCell ref="A5:A6"/>
    <mergeCell ref="B5:B6"/>
    <mergeCell ref="C5:C6"/>
    <mergeCell ref="D5:D6"/>
    <mergeCell ref="A8:A14"/>
    <mergeCell ref="B8:B14"/>
    <mergeCell ref="C8:C14"/>
  </mergeCells>
  <printOptions horizontalCentered="1"/>
  <pageMargins left="0.78740157480314965" right="0.78740157480314965" top="0.59055118110236227" bottom="0.11811023622047245" header="0.51181102362204722" footer="3.937007874015748E-2"/>
  <pageSetup paperSize="9" scale="87" orientation="portrait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7">
    <tabColor theme="9" tint="0.59999389629810485"/>
  </sheetPr>
  <dimension ref="A1:O23"/>
  <sheetViews>
    <sheetView zoomScaleSheetLayoutView="75" workbookViewId="0">
      <selection activeCell="M38" sqref="M38"/>
    </sheetView>
  </sheetViews>
  <sheetFormatPr defaultColWidth="9.109375" defaultRowHeight="13.2"/>
  <cols>
    <col min="1" max="1" width="6.109375" style="2279" customWidth="1"/>
    <col min="2" max="2" width="18.44140625" style="2279" customWidth="1"/>
    <col min="3" max="3" width="11.44140625" style="2279" customWidth="1"/>
    <col min="4" max="8" width="10.5546875" style="2279" customWidth="1"/>
    <col min="9" max="16384" width="9.109375" style="2279"/>
  </cols>
  <sheetData>
    <row r="1" spans="1:15" ht="19.5" customHeight="1">
      <c r="G1" s="3970" t="s">
        <v>1307</v>
      </c>
      <c r="H1" s="3970"/>
    </row>
    <row r="2" spans="1:15" ht="66.75" customHeight="1">
      <c r="A2" s="2137" t="s">
        <v>2531</v>
      </c>
      <c r="B2" s="845"/>
      <c r="C2" s="844"/>
      <c r="D2" s="844"/>
      <c r="E2" s="844"/>
      <c r="F2" s="844"/>
      <c r="G2" s="844"/>
      <c r="H2" s="844"/>
    </row>
    <row r="3" spans="1:15" ht="31.5" customHeight="1">
      <c r="B3" s="3971" t="s">
        <v>1308</v>
      </c>
      <c r="C3" s="3971"/>
      <c r="D3" s="3971"/>
      <c r="E3" s="3971"/>
      <c r="F3" s="3971"/>
      <c r="G3" s="3971"/>
      <c r="H3" s="3971"/>
    </row>
    <row r="4" spans="1:15" ht="21" customHeight="1">
      <c r="A4" s="2278"/>
      <c r="B4" s="2278"/>
      <c r="C4" s="2278"/>
      <c r="D4" s="2278"/>
      <c r="E4" s="2278"/>
      <c r="F4" s="2278"/>
      <c r="G4" s="2278"/>
      <c r="H4" s="2278"/>
    </row>
    <row r="5" spans="1:15" ht="22.5" customHeight="1">
      <c r="B5" s="2263"/>
      <c r="C5" s="2263"/>
      <c r="D5" s="2263"/>
      <c r="E5" s="2263"/>
      <c r="F5" s="2263"/>
      <c r="G5" s="2263"/>
      <c r="H5" s="2342" t="s">
        <v>2387</v>
      </c>
    </row>
    <row r="6" spans="1:15" ht="15.6">
      <c r="A6" s="846"/>
      <c r="B6" s="847" t="s">
        <v>1309</v>
      </c>
      <c r="C6" s="848" t="s">
        <v>1310</v>
      </c>
      <c r="D6" s="848" t="s">
        <v>1315</v>
      </c>
      <c r="E6" s="848" t="s">
        <v>2080</v>
      </c>
      <c r="F6" s="848" t="s">
        <v>2081</v>
      </c>
      <c r="G6" s="848" t="s">
        <v>2082</v>
      </c>
      <c r="H6" s="848" t="s">
        <v>2083</v>
      </c>
    </row>
    <row r="7" spans="1:15" ht="26.4">
      <c r="B7" s="849" t="s">
        <v>1316</v>
      </c>
      <c r="C7" s="850" t="s">
        <v>1317</v>
      </c>
      <c r="D7" s="1787">
        <f>П.2.1.ЛОЦ!L7</f>
        <v>17.97</v>
      </c>
      <c r="E7" s="1787">
        <f>$D$7</f>
        <v>17.97</v>
      </c>
      <c r="F7" s="1787">
        <f>$D$7</f>
        <v>17.97</v>
      </c>
      <c r="G7" s="1787">
        <f>$D$7</f>
        <v>17.97</v>
      </c>
      <c r="H7" s="1787">
        <f>$D$7</f>
        <v>17.97</v>
      </c>
      <c r="M7" s="915">
        <f>П.2.1.общ.!L7</f>
        <v>2000.4669999999999</v>
      </c>
      <c r="O7" s="2279">
        <v>1708.2970000000003</v>
      </c>
    </row>
    <row r="9" spans="1:15" ht="45" customHeight="1">
      <c r="A9" s="846"/>
      <c r="B9" s="3972" t="s">
        <v>1318</v>
      </c>
      <c r="C9" s="3972"/>
      <c r="D9" s="3972"/>
      <c r="E9" s="3972"/>
    </row>
    <row r="10" spans="1:15">
      <c r="B10" s="851"/>
      <c r="C10" s="851"/>
      <c r="D10" s="851"/>
      <c r="E10" s="851"/>
    </row>
    <row r="11" spans="1:15">
      <c r="B11" s="3972"/>
      <c r="C11" s="3972"/>
      <c r="D11" s="3972"/>
      <c r="E11" s="3972"/>
    </row>
    <row r="22" spans="1:12" s="776" customFormat="1" ht="23.25" customHeight="1">
      <c r="A22" s="839"/>
      <c r="B22" s="839"/>
      <c r="C22" s="834"/>
      <c r="D22" s="835"/>
      <c r="E22" s="835"/>
      <c r="F22" s="835"/>
      <c r="G22" s="835"/>
      <c r="H22" s="838"/>
      <c r="I22" s="835"/>
      <c r="J22" s="835"/>
      <c r="K22" s="835"/>
      <c r="L22" s="835"/>
    </row>
    <row r="23" spans="1:12" s="776" customFormat="1" ht="15" customHeight="1">
      <c r="A23" s="839" t="s">
        <v>2391</v>
      </c>
      <c r="B23" s="840"/>
      <c r="C23" s="834"/>
      <c r="D23" s="835"/>
      <c r="E23" s="841"/>
      <c r="F23" s="841"/>
      <c r="G23" s="835"/>
      <c r="H23" s="779" t="s">
        <v>2390</v>
      </c>
      <c r="I23" s="835"/>
      <c r="J23" s="835"/>
      <c r="K23" s="835"/>
      <c r="L23" s="835"/>
    </row>
  </sheetData>
  <mergeCells count="4">
    <mergeCell ref="G1:H1"/>
    <mergeCell ref="B3:H3"/>
    <mergeCell ref="B9:E9"/>
    <mergeCell ref="B11:E11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95" orientation="portrait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8">
    <tabColor theme="9" tint="0.59999389629810485"/>
  </sheetPr>
  <dimension ref="A1:M56"/>
  <sheetViews>
    <sheetView workbookViewId="0">
      <pane xSplit="1" ySplit="12" topLeftCell="B22" activePane="bottomRight" state="frozenSplit"/>
      <selection activeCell="M38" sqref="M38"/>
      <selection pane="topRight" activeCell="M38" sqref="M38"/>
      <selection pane="bottomLeft" activeCell="M38" sqref="M38"/>
      <selection pane="bottomRight" activeCell="M38" sqref="M38"/>
    </sheetView>
  </sheetViews>
  <sheetFormatPr defaultRowHeight="13.2"/>
  <cols>
    <col min="1" max="1" width="10.88671875" style="10" customWidth="1"/>
    <col min="2" max="2" width="12" style="10" customWidth="1"/>
    <col min="3" max="3" width="11.5546875" style="10" customWidth="1"/>
    <col min="4" max="4" width="11.44140625" style="10" customWidth="1"/>
    <col min="5" max="5" width="10.5546875" style="10" customWidth="1"/>
    <col min="6" max="6" width="14.88671875" style="6" customWidth="1"/>
    <col min="7" max="7" width="16.109375" style="10" customWidth="1"/>
    <col min="8" max="256" width="9.109375" style="10"/>
    <col min="257" max="257" width="10.88671875" style="10" customWidth="1"/>
    <col min="258" max="258" width="12" style="10" customWidth="1"/>
    <col min="259" max="259" width="11.5546875" style="10" customWidth="1"/>
    <col min="260" max="260" width="11.44140625" style="10" customWidth="1"/>
    <col min="261" max="261" width="10.5546875" style="10" customWidth="1"/>
    <col min="262" max="262" width="14.88671875" style="10" customWidth="1"/>
    <col min="263" max="263" width="16.109375" style="10" customWidth="1"/>
    <col min="264" max="512" width="9.109375" style="10"/>
    <col min="513" max="513" width="10.88671875" style="10" customWidth="1"/>
    <col min="514" max="514" width="12" style="10" customWidth="1"/>
    <col min="515" max="515" width="11.5546875" style="10" customWidth="1"/>
    <col min="516" max="516" width="11.44140625" style="10" customWidth="1"/>
    <col min="517" max="517" width="10.5546875" style="10" customWidth="1"/>
    <col min="518" max="518" width="14.88671875" style="10" customWidth="1"/>
    <col min="519" max="519" width="16.109375" style="10" customWidth="1"/>
    <col min="520" max="768" width="9.109375" style="10"/>
    <col min="769" max="769" width="10.88671875" style="10" customWidth="1"/>
    <col min="770" max="770" width="12" style="10" customWidth="1"/>
    <col min="771" max="771" width="11.5546875" style="10" customWidth="1"/>
    <col min="772" max="772" width="11.44140625" style="10" customWidth="1"/>
    <col min="773" max="773" width="10.5546875" style="10" customWidth="1"/>
    <col min="774" max="774" width="14.88671875" style="10" customWidth="1"/>
    <col min="775" max="775" width="16.109375" style="10" customWidth="1"/>
    <col min="776" max="1024" width="9.109375" style="10"/>
    <col min="1025" max="1025" width="10.88671875" style="10" customWidth="1"/>
    <col min="1026" max="1026" width="12" style="10" customWidth="1"/>
    <col min="1027" max="1027" width="11.5546875" style="10" customWidth="1"/>
    <col min="1028" max="1028" width="11.44140625" style="10" customWidth="1"/>
    <col min="1029" max="1029" width="10.5546875" style="10" customWidth="1"/>
    <col min="1030" max="1030" width="14.88671875" style="10" customWidth="1"/>
    <col min="1031" max="1031" width="16.109375" style="10" customWidth="1"/>
    <col min="1032" max="1280" width="9.109375" style="10"/>
    <col min="1281" max="1281" width="10.88671875" style="10" customWidth="1"/>
    <col min="1282" max="1282" width="12" style="10" customWidth="1"/>
    <col min="1283" max="1283" width="11.5546875" style="10" customWidth="1"/>
    <col min="1284" max="1284" width="11.44140625" style="10" customWidth="1"/>
    <col min="1285" max="1285" width="10.5546875" style="10" customWidth="1"/>
    <col min="1286" max="1286" width="14.88671875" style="10" customWidth="1"/>
    <col min="1287" max="1287" width="16.109375" style="10" customWidth="1"/>
    <col min="1288" max="1536" width="9.109375" style="10"/>
    <col min="1537" max="1537" width="10.88671875" style="10" customWidth="1"/>
    <col min="1538" max="1538" width="12" style="10" customWidth="1"/>
    <col min="1539" max="1539" width="11.5546875" style="10" customWidth="1"/>
    <col min="1540" max="1540" width="11.44140625" style="10" customWidth="1"/>
    <col min="1541" max="1541" width="10.5546875" style="10" customWidth="1"/>
    <col min="1542" max="1542" width="14.88671875" style="10" customWidth="1"/>
    <col min="1543" max="1543" width="16.109375" style="10" customWidth="1"/>
    <col min="1544" max="1792" width="9.109375" style="10"/>
    <col min="1793" max="1793" width="10.88671875" style="10" customWidth="1"/>
    <col min="1794" max="1794" width="12" style="10" customWidth="1"/>
    <col min="1795" max="1795" width="11.5546875" style="10" customWidth="1"/>
    <col min="1796" max="1796" width="11.44140625" style="10" customWidth="1"/>
    <col min="1797" max="1797" width="10.5546875" style="10" customWidth="1"/>
    <col min="1798" max="1798" width="14.88671875" style="10" customWidth="1"/>
    <col min="1799" max="1799" width="16.109375" style="10" customWidth="1"/>
    <col min="1800" max="2048" width="9.109375" style="10"/>
    <col min="2049" max="2049" width="10.88671875" style="10" customWidth="1"/>
    <col min="2050" max="2050" width="12" style="10" customWidth="1"/>
    <col min="2051" max="2051" width="11.5546875" style="10" customWidth="1"/>
    <col min="2052" max="2052" width="11.44140625" style="10" customWidth="1"/>
    <col min="2053" max="2053" width="10.5546875" style="10" customWidth="1"/>
    <col min="2054" max="2054" width="14.88671875" style="10" customWidth="1"/>
    <col min="2055" max="2055" width="16.109375" style="10" customWidth="1"/>
    <col min="2056" max="2304" width="9.109375" style="10"/>
    <col min="2305" max="2305" width="10.88671875" style="10" customWidth="1"/>
    <col min="2306" max="2306" width="12" style="10" customWidth="1"/>
    <col min="2307" max="2307" width="11.5546875" style="10" customWidth="1"/>
    <col min="2308" max="2308" width="11.44140625" style="10" customWidth="1"/>
    <col min="2309" max="2309" width="10.5546875" style="10" customWidth="1"/>
    <col min="2310" max="2310" width="14.88671875" style="10" customWidth="1"/>
    <col min="2311" max="2311" width="16.109375" style="10" customWidth="1"/>
    <col min="2312" max="2560" width="9.109375" style="10"/>
    <col min="2561" max="2561" width="10.88671875" style="10" customWidth="1"/>
    <col min="2562" max="2562" width="12" style="10" customWidth="1"/>
    <col min="2563" max="2563" width="11.5546875" style="10" customWidth="1"/>
    <col min="2564" max="2564" width="11.44140625" style="10" customWidth="1"/>
    <col min="2565" max="2565" width="10.5546875" style="10" customWidth="1"/>
    <col min="2566" max="2566" width="14.88671875" style="10" customWidth="1"/>
    <col min="2567" max="2567" width="16.109375" style="10" customWidth="1"/>
    <col min="2568" max="2816" width="9.109375" style="10"/>
    <col min="2817" max="2817" width="10.88671875" style="10" customWidth="1"/>
    <col min="2818" max="2818" width="12" style="10" customWidth="1"/>
    <col min="2819" max="2819" width="11.5546875" style="10" customWidth="1"/>
    <col min="2820" max="2820" width="11.44140625" style="10" customWidth="1"/>
    <col min="2821" max="2821" width="10.5546875" style="10" customWidth="1"/>
    <col min="2822" max="2822" width="14.88671875" style="10" customWidth="1"/>
    <col min="2823" max="2823" width="16.109375" style="10" customWidth="1"/>
    <col min="2824" max="3072" width="9.109375" style="10"/>
    <col min="3073" max="3073" width="10.88671875" style="10" customWidth="1"/>
    <col min="3074" max="3074" width="12" style="10" customWidth="1"/>
    <col min="3075" max="3075" width="11.5546875" style="10" customWidth="1"/>
    <col min="3076" max="3076" width="11.44140625" style="10" customWidth="1"/>
    <col min="3077" max="3077" width="10.5546875" style="10" customWidth="1"/>
    <col min="3078" max="3078" width="14.88671875" style="10" customWidth="1"/>
    <col min="3079" max="3079" width="16.109375" style="10" customWidth="1"/>
    <col min="3080" max="3328" width="9.109375" style="10"/>
    <col min="3329" max="3329" width="10.88671875" style="10" customWidth="1"/>
    <col min="3330" max="3330" width="12" style="10" customWidth="1"/>
    <col min="3331" max="3331" width="11.5546875" style="10" customWidth="1"/>
    <col min="3332" max="3332" width="11.44140625" style="10" customWidth="1"/>
    <col min="3333" max="3333" width="10.5546875" style="10" customWidth="1"/>
    <col min="3334" max="3334" width="14.88671875" style="10" customWidth="1"/>
    <col min="3335" max="3335" width="16.109375" style="10" customWidth="1"/>
    <col min="3336" max="3584" width="9.109375" style="10"/>
    <col min="3585" max="3585" width="10.88671875" style="10" customWidth="1"/>
    <col min="3586" max="3586" width="12" style="10" customWidth="1"/>
    <col min="3587" max="3587" width="11.5546875" style="10" customWidth="1"/>
    <col min="3588" max="3588" width="11.44140625" style="10" customWidth="1"/>
    <col min="3589" max="3589" width="10.5546875" style="10" customWidth="1"/>
    <col min="3590" max="3590" width="14.88671875" style="10" customWidth="1"/>
    <col min="3591" max="3591" width="16.109375" style="10" customWidth="1"/>
    <col min="3592" max="3840" width="9.109375" style="10"/>
    <col min="3841" max="3841" width="10.88671875" style="10" customWidth="1"/>
    <col min="3842" max="3842" width="12" style="10" customWidth="1"/>
    <col min="3843" max="3843" width="11.5546875" style="10" customWidth="1"/>
    <col min="3844" max="3844" width="11.44140625" style="10" customWidth="1"/>
    <col min="3845" max="3845" width="10.5546875" style="10" customWidth="1"/>
    <col min="3846" max="3846" width="14.88671875" style="10" customWidth="1"/>
    <col min="3847" max="3847" width="16.109375" style="10" customWidth="1"/>
    <col min="3848" max="4096" width="9.109375" style="10"/>
    <col min="4097" max="4097" width="10.88671875" style="10" customWidth="1"/>
    <col min="4098" max="4098" width="12" style="10" customWidth="1"/>
    <col min="4099" max="4099" width="11.5546875" style="10" customWidth="1"/>
    <col min="4100" max="4100" width="11.44140625" style="10" customWidth="1"/>
    <col min="4101" max="4101" width="10.5546875" style="10" customWidth="1"/>
    <col min="4102" max="4102" width="14.88671875" style="10" customWidth="1"/>
    <col min="4103" max="4103" width="16.109375" style="10" customWidth="1"/>
    <col min="4104" max="4352" width="9.109375" style="10"/>
    <col min="4353" max="4353" width="10.88671875" style="10" customWidth="1"/>
    <col min="4354" max="4354" width="12" style="10" customWidth="1"/>
    <col min="4355" max="4355" width="11.5546875" style="10" customWidth="1"/>
    <col min="4356" max="4356" width="11.44140625" style="10" customWidth="1"/>
    <col min="4357" max="4357" width="10.5546875" style="10" customWidth="1"/>
    <col min="4358" max="4358" width="14.88671875" style="10" customWidth="1"/>
    <col min="4359" max="4359" width="16.109375" style="10" customWidth="1"/>
    <col min="4360" max="4608" width="9.109375" style="10"/>
    <col min="4609" max="4609" width="10.88671875" style="10" customWidth="1"/>
    <col min="4610" max="4610" width="12" style="10" customWidth="1"/>
    <col min="4611" max="4611" width="11.5546875" style="10" customWidth="1"/>
    <col min="4612" max="4612" width="11.44140625" style="10" customWidth="1"/>
    <col min="4613" max="4613" width="10.5546875" style="10" customWidth="1"/>
    <col min="4614" max="4614" width="14.88671875" style="10" customWidth="1"/>
    <col min="4615" max="4615" width="16.109375" style="10" customWidth="1"/>
    <col min="4616" max="4864" width="9.109375" style="10"/>
    <col min="4865" max="4865" width="10.88671875" style="10" customWidth="1"/>
    <col min="4866" max="4866" width="12" style="10" customWidth="1"/>
    <col min="4867" max="4867" width="11.5546875" style="10" customWidth="1"/>
    <col min="4868" max="4868" width="11.44140625" style="10" customWidth="1"/>
    <col min="4869" max="4869" width="10.5546875" style="10" customWidth="1"/>
    <col min="4870" max="4870" width="14.88671875" style="10" customWidth="1"/>
    <col min="4871" max="4871" width="16.109375" style="10" customWidth="1"/>
    <col min="4872" max="5120" width="9.109375" style="10"/>
    <col min="5121" max="5121" width="10.88671875" style="10" customWidth="1"/>
    <col min="5122" max="5122" width="12" style="10" customWidth="1"/>
    <col min="5123" max="5123" width="11.5546875" style="10" customWidth="1"/>
    <col min="5124" max="5124" width="11.44140625" style="10" customWidth="1"/>
    <col min="5125" max="5125" width="10.5546875" style="10" customWidth="1"/>
    <col min="5126" max="5126" width="14.88671875" style="10" customWidth="1"/>
    <col min="5127" max="5127" width="16.109375" style="10" customWidth="1"/>
    <col min="5128" max="5376" width="9.109375" style="10"/>
    <col min="5377" max="5377" width="10.88671875" style="10" customWidth="1"/>
    <col min="5378" max="5378" width="12" style="10" customWidth="1"/>
    <col min="5379" max="5379" width="11.5546875" style="10" customWidth="1"/>
    <col min="5380" max="5380" width="11.44140625" style="10" customWidth="1"/>
    <col min="5381" max="5381" width="10.5546875" style="10" customWidth="1"/>
    <col min="5382" max="5382" width="14.88671875" style="10" customWidth="1"/>
    <col min="5383" max="5383" width="16.109375" style="10" customWidth="1"/>
    <col min="5384" max="5632" width="9.109375" style="10"/>
    <col min="5633" max="5633" width="10.88671875" style="10" customWidth="1"/>
    <col min="5634" max="5634" width="12" style="10" customWidth="1"/>
    <col min="5635" max="5635" width="11.5546875" style="10" customWidth="1"/>
    <col min="5636" max="5636" width="11.44140625" style="10" customWidth="1"/>
    <col min="5637" max="5637" width="10.5546875" style="10" customWidth="1"/>
    <col min="5638" max="5638" width="14.88671875" style="10" customWidth="1"/>
    <col min="5639" max="5639" width="16.109375" style="10" customWidth="1"/>
    <col min="5640" max="5888" width="9.109375" style="10"/>
    <col min="5889" max="5889" width="10.88671875" style="10" customWidth="1"/>
    <col min="5890" max="5890" width="12" style="10" customWidth="1"/>
    <col min="5891" max="5891" width="11.5546875" style="10" customWidth="1"/>
    <col min="5892" max="5892" width="11.44140625" style="10" customWidth="1"/>
    <col min="5893" max="5893" width="10.5546875" style="10" customWidth="1"/>
    <col min="5894" max="5894" width="14.88671875" style="10" customWidth="1"/>
    <col min="5895" max="5895" width="16.109375" style="10" customWidth="1"/>
    <col min="5896" max="6144" width="9.109375" style="10"/>
    <col min="6145" max="6145" width="10.88671875" style="10" customWidth="1"/>
    <col min="6146" max="6146" width="12" style="10" customWidth="1"/>
    <col min="6147" max="6147" width="11.5546875" style="10" customWidth="1"/>
    <col min="6148" max="6148" width="11.44140625" style="10" customWidth="1"/>
    <col min="6149" max="6149" width="10.5546875" style="10" customWidth="1"/>
    <col min="6150" max="6150" width="14.88671875" style="10" customWidth="1"/>
    <col min="6151" max="6151" width="16.109375" style="10" customWidth="1"/>
    <col min="6152" max="6400" width="9.109375" style="10"/>
    <col min="6401" max="6401" width="10.88671875" style="10" customWidth="1"/>
    <col min="6402" max="6402" width="12" style="10" customWidth="1"/>
    <col min="6403" max="6403" width="11.5546875" style="10" customWidth="1"/>
    <col min="6404" max="6404" width="11.44140625" style="10" customWidth="1"/>
    <col min="6405" max="6405" width="10.5546875" style="10" customWidth="1"/>
    <col min="6406" max="6406" width="14.88671875" style="10" customWidth="1"/>
    <col min="6407" max="6407" width="16.109375" style="10" customWidth="1"/>
    <col min="6408" max="6656" width="9.109375" style="10"/>
    <col min="6657" max="6657" width="10.88671875" style="10" customWidth="1"/>
    <col min="6658" max="6658" width="12" style="10" customWidth="1"/>
    <col min="6659" max="6659" width="11.5546875" style="10" customWidth="1"/>
    <col min="6660" max="6660" width="11.44140625" style="10" customWidth="1"/>
    <col min="6661" max="6661" width="10.5546875" style="10" customWidth="1"/>
    <col min="6662" max="6662" width="14.88671875" style="10" customWidth="1"/>
    <col min="6663" max="6663" width="16.109375" style="10" customWidth="1"/>
    <col min="6664" max="6912" width="9.109375" style="10"/>
    <col min="6913" max="6913" width="10.88671875" style="10" customWidth="1"/>
    <col min="6914" max="6914" width="12" style="10" customWidth="1"/>
    <col min="6915" max="6915" width="11.5546875" style="10" customWidth="1"/>
    <col min="6916" max="6916" width="11.44140625" style="10" customWidth="1"/>
    <col min="6917" max="6917" width="10.5546875" style="10" customWidth="1"/>
    <col min="6918" max="6918" width="14.88671875" style="10" customWidth="1"/>
    <col min="6919" max="6919" width="16.109375" style="10" customWidth="1"/>
    <col min="6920" max="7168" width="9.109375" style="10"/>
    <col min="7169" max="7169" width="10.88671875" style="10" customWidth="1"/>
    <col min="7170" max="7170" width="12" style="10" customWidth="1"/>
    <col min="7171" max="7171" width="11.5546875" style="10" customWidth="1"/>
    <col min="7172" max="7172" width="11.44140625" style="10" customWidth="1"/>
    <col min="7173" max="7173" width="10.5546875" style="10" customWidth="1"/>
    <col min="7174" max="7174" width="14.88671875" style="10" customWidth="1"/>
    <col min="7175" max="7175" width="16.109375" style="10" customWidth="1"/>
    <col min="7176" max="7424" width="9.109375" style="10"/>
    <col min="7425" max="7425" width="10.88671875" style="10" customWidth="1"/>
    <col min="7426" max="7426" width="12" style="10" customWidth="1"/>
    <col min="7427" max="7427" width="11.5546875" style="10" customWidth="1"/>
    <col min="7428" max="7428" width="11.44140625" style="10" customWidth="1"/>
    <col min="7429" max="7429" width="10.5546875" style="10" customWidth="1"/>
    <col min="7430" max="7430" width="14.88671875" style="10" customWidth="1"/>
    <col min="7431" max="7431" width="16.109375" style="10" customWidth="1"/>
    <col min="7432" max="7680" width="9.109375" style="10"/>
    <col min="7681" max="7681" width="10.88671875" style="10" customWidth="1"/>
    <col min="7682" max="7682" width="12" style="10" customWidth="1"/>
    <col min="7683" max="7683" width="11.5546875" style="10" customWidth="1"/>
    <col min="7684" max="7684" width="11.44140625" style="10" customWidth="1"/>
    <col min="7685" max="7685" width="10.5546875" style="10" customWidth="1"/>
    <col min="7686" max="7686" width="14.88671875" style="10" customWidth="1"/>
    <col min="7687" max="7687" width="16.109375" style="10" customWidth="1"/>
    <col min="7688" max="7936" width="9.109375" style="10"/>
    <col min="7937" max="7937" width="10.88671875" style="10" customWidth="1"/>
    <col min="7938" max="7938" width="12" style="10" customWidth="1"/>
    <col min="7939" max="7939" width="11.5546875" style="10" customWidth="1"/>
    <col min="7940" max="7940" width="11.44140625" style="10" customWidth="1"/>
    <col min="7941" max="7941" width="10.5546875" style="10" customWidth="1"/>
    <col min="7942" max="7942" width="14.88671875" style="10" customWidth="1"/>
    <col min="7943" max="7943" width="16.109375" style="10" customWidth="1"/>
    <col min="7944" max="8192" width="9.109375" style="10"/>
    <col min="8193" max="8193" width="10.88671875" style="10" customWidth="1"/>
    <col min="8194" max="8194" width="12" style="10" customWidth="1"/>
    <col min="8195" max="8195" width="11.5546875" style="10" customWidth="1"/>
    <col min="8196" max="8196" width="11.44140625" style="10" customWidth="1"/>
    <col min="8197" max="8197" width="10.5546875" style="10" customWidth="1"/>
    <col min="8198" max="8198" width="14.88671875" style="10" customWidth="1"/>
    <col min="8199" max="8199" width="16.109375" style="10" customWidth="1"/>
    <col min="8200" max="8448" width="9.109375" style="10"/>
    <col min="8449" max="8449" width="10.88671875" style="10" customWidth="1"/>
    <col min="8450" max="8450" width="12" style="10" customWidth="1"/>
    <col min="8451" max="8451" width="11.5546875" style="10" customWidth="1"/>
    <col min="8452" max="8452" width="11.44140625" style="10" customWidth="1"/>
    <col min="8453" max="8453" width="10.5546875" style="10" customWidth="1"/>
    <col min="8454" max="8454" width="14.88671875" style="10" customWidth="1"/>
    <col min="8455" max="8455" width="16.109375" style="10" customWidth="1"/>
    <col min="8456" max="8704" width="9.109375" style="10"/>
    <col min="8705" max="8705" width="10.88671875" style="10" customWidth="1"/>
    <col min="8706" max="8706" width="12" style="10" customWidth="1"/>
    <col min="8707" max="8707" width="11.5546875" style="10" customWidth="1"/>
    <col min="8708" max="8708" width="11.44140625" style="10" customWidth="1"/>
    <col min="8709" max="8709" width="10.5546875" style="10" customWidth="1"/>
    <col min="8710" max="8710" width="14.88671875" style="10" customWidth="1"/>
    <col min="8711" max="8711" width="16.109375" style="10" customWidth="1"/>
    <col min="8712" max="8960" width="9.109375" style="10"/>
    <col min="8961" max="8961" width="10.88671875" style="10" customWidth="1"/>
    <col min="8962" max="8962" width="12" style="10" customWidth="1"/>
    <col min="8963" max="8963" width="11.5546875" style="10" customWidth="1"/>
    <col min="8964" max="8964" width="11.44140625" style="10" customWidth="1"/>
    <col min="8965" max="8965" width="10.5546875" style="10" customWidth="1"/>
    <col min="8966" max="8966" width="14.88671875" style="10" customWidth="1"/>
    <col min="8967" max="8967" width="16.109375" style="10" customWidth="1"/>
    <col min="8968" max="9216" width="9.109375" style="10"/>
    <col min="9217" max="9217" width="10.88671875" style="10" customWidth="1"/>
    <col min="9218" max="9218" width="12" style="10" customWidth="1"/>
    <col min="9219" max="9219" width="11.5546875" style="10" customWidth="1"/>
    <col min="9220" max="9220" width="11.44140625" style="10" customWidth="1"/>
    <col min="9221" max="9221" width="10.5546875" style="10" customWidth="1"/>
    <col min="9222" max="9222" width="14.88671875" style="10" customWidth="1"/>
    <col min="9223" max="9223" width="16.109375" style="10" customWidth="1"/>
    <col min="9224" max="9472" width="9.109375" style="10"/>
    <col min="9473" max="9473" width="10.88671875" style="10" customWidth="1"/>
    <col min="9474" max="9474" width="12" style="10" customWidth="1"/>
    <col min="9475" max="9475" width="11.5546875" style="10" customWidth="1"/>
    <col min="9476" max="9476" width="11.44140625" style="10" customWidth="1"/>
    <col min="9477" max="9477" width="10.5546875" style="10" customWidth="1"/>
    <col min="9478" max="9478" width="14.88671875" style="10" customWidth="1"/>
    <col min="9479" max="9479" width="16.109375" style="10" customWidth="1"/>
    <col min="9480" max="9728" width="9.109375" style="10"/>
    <col min="9729" max="9729" width="10.88671875" style="10" customWidth="1"/>
    <col min="9730" max="9730" width="12" style="10" customWidth="1"/>
    <col min="9731" max="9731" width="11.5546875" style="10" customWidth="1"/>
    <col min="9732" max="9732" width="11.44140625" style="10" customWidth="1"/>
    <col min="9733" max="9733" width="10.5546875" style="10" customWidth="1"/>
    <col min="9734" max="9734" width="14.88671875" style="10" customWidth="1"/>
    <col min="9735" max="9735" width="16.109375" style="10" customWidth="1"/>
    <col min="9736" max="9984" width="9.109375" style="10"/>
    <col min="9985" max="9985" width="10.88671875" style="10" customWidth="1"/>
    <col min="9986" max="9986" width="12" style="10" customWidth="1"/>
    <col min="9987" max="9987" width="11.5546875" style="10" customWidth="1"/>
    <col min="9988" max="9988" width="11.44140625" style="10" customWidth="1"/>
    <col min="9989" max="9989" width="10.5546875" style="10" customWidth="1"/>
    <col min="9990" max="9990" width="14.88671875" style="10" customWidth="1"/>
    <col min="9991" max="9991" width="16.109375" style="10" customWidth="1"/>
    <col min="9992" max="10240" width="9.109375" style="10"/>
    <col min="10241" max="10241" width="10.88671875" style="10" customWidth="1"/>
    <col min="10242" max="10242" width="12" style="10" customWidth="1"/>
    <col min="10243" max="10243" width="11.5546875" style="10" customWidth="1"/>
    <col min="10244" max="10244" width="11.44140625" style="10" customWidth="1"/>
    <col min="10245" max="10245" width="10.5546875" style="10" customWidth="1"/>
    <col min="10246" max="10246" width="14.88671875" style="10" customWidth="1"/>
    <col min="10247" max="10247" width="16.109375" style="10" customWidth="1"/>
    <col min="10248" max="10496" width="9.109375" style="10"/>
    <col min="10497" max="10497" width="10.88671875" style="10" customWidth="1"/>
    <col min="10498" max="10498" width="12" style="10" customWidth="1"/>
    <col min="10499" max="10499" width="11.5546875" style="10" customWidth="1"/>
    <col min="10500" max="10500" width="11.44140625" style="10" customWidth="1"/>
    <col min="10501" max="10501" width="10.5546875" style="10" customWidth="1"/>
    <col min="10502" max="10502" width="14.88671875" style="10" customWidth="1"/>
    <col min="10503" max="10503" width="16.109375" style="10" customWidth="1"/>
    <col min="10504" max="10752" width="9.109375" style="10"/>
    <col min="10753" max="10753" width="10.88671875" style="10" customWidth="1"/>
    <col min="10754" max="10754" width="12" style="10" customWidth="1"/>
    <col min="10755" max="10755" width="11.5546875" style="10" customWidth="1"/>
    <col min="10756" max="10756" width="11.44140625" style="10" customWidth="1"/>
    <col min="10757" max="10757" width="10.5546875" style="10" customWidth="1"/>
    <col min="10758" max="10758" width="14.88671875" style="10" customWidth="1"/>
    <col min="10759" max="10759" width="16.109375" style="10" customWidth="1"/>
    <col min="10760" max="11008" width="9.109375" style="10"/>
    <col min="11009" max="11009" width="10.88671875" style="10" customWidth="1"/>
    <col min="11010" max="11010" width="12" style="10" customWidth="1"/>
    <col min="11011" max="11011" width="11.5546875" style="10" customWidth="1"/>
    <col min="11012" max="11012" width="11.44140625" style="10" customWidth="1"/>
    <col min="11013" max="11013" width="10.5546875" style="10" customWidth="1"/>
    <col min="11014" max="11014" width="14.88671875" style="10" customWidth="1"/>
    <col min="11015" max="11015" width="16.109375" style="10" customWidth="1"/>
    <col min="11016" max="11264" width="9.109375" style="10"/>
    <col min="11265" max="11265" width="10.88671875" style="10" customWidth="1"/>
    <col min="11266" max="11266" width="12" style="10" customWidth="1"/>
    <col min="11267" max="11267" width="11.5546875" style="10" customWidth="1"/>
    <col min="11268" max="11268" width="11.44140625" style="10" customWidth="1"/>
    <col min="11269" max="11269" width="10.5546875" style="10" customWidth="1"/>
    <col min="11270" max="11270" width="14.88671875" style="10" customWidth="1"/>
    <col min="11271" max="11271" width="16.109375" style="10" customWidth="1"/>
    <col min="11272" max="11520" width="9.109375" style="10"/>
    <col min="11521" max="11521" width="10.88671875" style="10" customWidth="1"/>
    <col min="11522" max="11522" width="12" style="10" customWidth="1"/>
    <col min="11523" max="11523" width="11.5546875" style="10" customWidth="1"/>
    <col min="11524" max="11524" width="11.44140625" style="10" customWidth="1"/>
    <col min="11525" max="11525" width="10.5546875" style="10" customWidth="1"/>
    <col min="11526" max="11526" width="14.88671875" style="10" customWidth="1"/>
    <col min="11527" max="11527" width="16.109375" style="10" customWidth="1"/>
    <col min="11528" max="11776" width="9.109375" style="10"/>
    <col min="11777" max="11777" width="10.88671875" style="10" customWidth="1"/>
    <col min="11778" max="11778" width="12" style="10" customWidth="1"/>
    <col min="11779" max="11779" width="11.5546875" style="10" customWidth="1"/>
    <col min="11780" max="11780" width="11.44140625" style="10" customWidth="1"/>
    <col min="11781" max="11781" width="10.5546875" style="10" customWidth="1"/>
    <col min="11782" max="11782" width="14.88671875" style="10" customWidth="1"/>
    <col min="11783" max="11783" width="16.109375" style="10" customWidth="1"/>
    <col min="11784" max="12032" width="9.109375" style="10"/>
    <col min="12033" max="12033" width="10.88671875" style="10" customWidth="1"/>
    <col min="12034" max="12034" width="12" style="10" customWidth="1"/>
    <col min="12035" max="12035" width="11.5546875" style="10" customWidth="1"/>
    <col min="12036" max="12036" width="11.44140625" style="10" customWidth="1"/>
    <col min="12037" max="12037" width="10.5546875" style="10" customWidth="1"/>
    <col min="12038" max="12038" width="14.88671875" style="10" customWidth="1"/>
    <col min="12039" max="12039" width="16.109375" style="10" customWidth="1"/>
    <col min="12040" max="12288" width="9.109375" style="10"/>
    <col min="12289" max="12289" width="10.88671875" style="10" customWidth="1"/>
    <col min="12290" max="12290" width="12" style="10" customWidth="1"/>
    <col min="12291" max="12291" width="11.5546875" style="10" customWidth="1"/>
    <col min="12292" max="12292" width="11.44140625" style="10" customWidth="1"/>
    <col min="12293" max="12293" width="10.5546875" style="10" customWidth="1"/>
    <col min="12294" max="12294" width="14.88671875" style="10" customWidth="1"/>
    <col min="12295" max="12295" width="16.109375" style="10" customWidth="1"/>
    <col min="12296" max="12544" width="9.109375" style="10"/>
    <col min="12545" max="12545" width="10.88671875" style="10" customWidth="1"/>
    <col min="12546" max="12546" width="12" style="10" customWidth="1"/>
    <col min="12547" max="12547" width="11.5546875" style="10" customWidth="1"/>
    <col min="12548" max="12548" width="11.44140625" style="10" customWidth="1"/>
    <col min="12549" max="12549" width="10.5546875" style="10" customWidth="1"/>
    <col min="12550" max="12550" width="14.88671875" style="10" customWidth="1"/>
    <col min="12551" max="12551" width="16.109375" style="10" customWidth="1"/>
    <col min="12552" max="12800" width="9.109375" style="10"/>
    <col min="12801" max="12801" width="10.88671875" style="10" customWidth="1"/>
    <col min="12802" max="12802" width="12" style="10" customWidth="1"/>
    <col min="12803" max="12803" width="11.5546875" style="10" customWidth="1"/>
    <col min="12804" max="12804" width="11.44140625" style="10" customWidth="1"/>
    <col min="12805" max="12805" width="10.5546875" style="10" customWidth="1"/>
    <col min="12806" max="12806" width="14.88671875" style="10" customWidth="1"/>
    <col min="12807" max="12807" width="16.109375" style="10" customWidth="1"/>
    <col min="12808" max="13056" width="9.109375" style="10"/>
    <col min="13057" max="13057" width="10.88671875" style="10" customWidth="1"/>
    <col min="13058" max="13058" width="12" style="10" customWidth="1"/>
    <col min="13059" max="13059" width="11.5546875" style="10" customWidth="1"/>
    <col min="13060" max="13060" width="11.44140625" style="10" customWidth="1"/>
    <col min="13061" max="13061" width="10.5546875" style="10" customWidth="1"/>
    <col min="13062" max="13062" width="14.88671875" style="10" customWidth="1"/>
    <col min="13063" max="13063" width="16.109375" style="10" customWidth="1"/>
    <col min="13064" max="13312" width="9.109375" style="10"/>
    <col min="13313" max="13313" width="10.88671875" style="10" customWidth="1"/>
    <col min="13314" max="13314" width="12" style="10" customWidth="1"/>
    <col min="13315" max="13315" width="11.5546875" style="10" customWidth="1"/>
    <col min="13316" max="13316" width="11.44140625" style="10" customWidth="1"/>
    <col min="13317" max="13317" width="10.5546875" style="10" customWidth="1"/>
    <col min="13318" max="13318" width="14.88671875" style="10" customWidth="1"/>
    <col min="13319" max="13319" width="16.109375" style="10" customWidth="1"/>
    <col min="13320" max="13568" width="9.109375" style="10"/>
    <col min="13569" max="13569" width="10.88671875" style="10" customWidth="1"/>
    <col min="13570" max="13570" width="12" style="10" customWidth="1"/>
    <col min="13571" max="13571" width="11.5546875" style="10" customWidth="1"/>
    <col min="13572" max="13572" width="11.44140625" style="10" customWidth="1"/>
    <col min="13573" max="13573" width="10.5546875" style="10" customWidth="1"/>
    <col min="13574" max="13574" width="14.88671875" style="10" customWidth="1"/>
    <col min="13575" max="13575" width="16.109375" style="10" customWidth="1"/>
    <col min="13576" max="13824" width="9.109375" style="10"/>
    <col min="13825" max="13825" width="10.88671875" style="10" customWidth="1"/>
    <col min="13826" max="13826" width="12" style="10" customWidth="1"/>
    <col min="13827" max="13827" width="11.5546875" style="10" customWidth="1"/>
    <col min="13828" max="13828" width="11.44140625" style="10" customWidth="1"/>
    <col min="13829" max="13829" width="10.5546875" style="10" customWidth="1"/>
    <col min="13830" max="13830" width="14.88671875" style="10" customWidth="1"/>
    <col min="13831" max="13831" width="16.109375" style="10" customWidth="1"/>
    <col min="13832" max="14080" width="9.109375" style="10"/>
    <col min="14081" max="14081" width="10.88671875" style="10" customWidth="1"/>
    <col min="14082" max="14082" width="12" style="10" customWidth="1"/>
    <col min="14083" max="14083" width="11.5546875" style="10" customWidth="1"/>
    <col min="14084" max="14084" width="11.44140625" style="10" customWidth="1"/>
    <col min="14085" max="14085" width="10.5546875" style="10" customWidth="1"/>
    <col min="14086" max="14086" width="14.88671875" style="10" customWidth="1"/>
    <col min="14087" max="14087" width="16.109375" style="10" customWidth="1"/>
    <col min="14088" max="14336" width="9.109375" style="10"/>
    <col min="14337" max="14337" width="10.88671875" style="10" customWidth="1"/>
    <col min="14338" max="14338" width="12" style="10" customWidth="1"/>
    <col min="14339" max="14339" width="11.5546875" style="10" customWidth="1"/>
    <col min="14340" max="14340" width="11.44140625" style="10" customWidth="1"/>
    <col min="14341" max="14341" width="10.5546875" style="10" customWidth="1"/>
    <col min="14342" max="14342" width="14.88671875" style="10" customWidth="1"/>
    <col min="14343" max="14343" width="16.109375" style="10" customWidth="1"/>
    <col min="14344" max="14592" width="9.109375" style="10"/>
    <col min="14593" max="14593" width="10.88671875" style="10" customWidth="1"/>
    <col min="14594" max="14594" width="12" style="10" customWidth="1"/>
    <col min="14595" max="14595" width="11.5546875" style="10" customWidth="1"/>
    <col min="14596" max="14596" width="11.44140625" style="10" customWidth="1"/>
    <col min="14597" max="14597" width="10.5546875" style="10" customWidth="1"/>
    <col min="14598" max="14598" width="14.88671875" style="10" customWidth="1"/>
    <col min="14599" max="14599" width="16.109375" style="10" customWidth="1"/>
    <col min="14600" max="14848" width="9.109375" style="10"/>
    <col min="14849" max="14849" width="10.88671875" style="10" customWidth="1"/>
    <col min="14850" max="14850" width="12" style="10" customWidth="1"/>
    <col min="14851" max="14851" width="11.5546875" style="10" customWidth="1"/>
    <col min="14852" max="14852" width="11.44140625" style="10" customWidth="1"/>
    <col min="14853" max="14853" width="10.5546875" style="10" customWidth="1"/>
    <col min="14854" max="14854" width="14.88671875" style="10" customWidth="1"/>
    <col min="14855" max="14855" width="16.109375" style="10" customWidth="1"/>
    <col min="14856" max="15104" width="9.109375" style="10"/>
    <col min="15105" max="15105" width="10.88671875" style="10" customWidth="1"/>
    <col min="15106" max="15106" width="12" style="10" customWidth="1"/>
    <col min="15107" max="15107" width="11.5546875" style="10" customWidth="1"/>
    <col min="15108" max="15108" width="11.44140625" style="10" customWidth="1"/>
    <col min="15109" max="15109" width="10.5546875" style="10" customWidth="1"/>
    <col min="15110" max="15110" width="14.88671875" style="10" customWidth="1"/>
    <col min="15111" max="15111" width="16.109375" style="10" customWidth="1"/>
    <col min="15112" max="15360" width="9.109375" style="10"/>
    <col min="15361" max="15361" width="10.88671875" style="10" customWidth="1"/>
    <col min="15362" max="15362" width="12" style="10" customWidth="1"/>
    <col min="15363" max="15363" width="11.5546875" style="10" customWidth="1"/>
    <col min="15364" max="15364" width="11.44140625" style="10" customWidth="1"/>
    <col min="15365" max="15365" width="10.5546875" style="10" customWidth="1"/>
    <col min="15366" max="15366" width="14.88671875" style="10" customWidth="1"/>
    <col min="15367" max="15367" width="16.109375" style="10" customWidth="1"/>
    <col min="15368" max="15616" width="9.109375" style="10"/>
    <col min="15617" max="15617" width="10.88671875" style="10" customWidth="1"/>
    <col min="15618" max="15618" width="12" style="10" customWidth="1"/>
    <col min="15619" max="15619" width="11.5546875" style="10" customWidth="1"/>
    <col min="15620" max="15620" width="11.44140625" style="10" customWidth="1"/>
    <col min="15621" max="15621" width="10.5546875" style="10" customWidth="1"/>
    <col min="15622" max="15622" width="14.88671875" style="10" customWidth="1"/>
    <col min="15623" max="15623" width="16.109375" style="10" customWidth="1"/>
    <col min="15624" max="15872" width="9.109375" style="10"/>
    <col min="15873" max="15873" width="10.88671875" style="10" customWidth="1"/>
    <col min="15874" max="15874" width="12" style="10" customWidth="1"/>
    <col min="15875" max="15875" width="11.5546875" style="10" customWidth="1"/>
    <col min="15876" max="15876" width="11.44140625" style="10" customWidth="1"/>
    <col min="15877" max="15877" width="10.5546875" style="10" customWidth="1"/>
    <col min="15878" max="15878" width="14.88671875" style="10" customWidth="1"/>
    <col min="15879" max="15879" width="16.109375" style="10" customWidth="1"/>
    <col min="15880" max="16128" width="9.109375" style="10"/>
    <col min="16129" max="16129" width="10.88671875" style="10" customWidth="1"/>
    <col min="16130" max="16130" width="12" style="10" customWidth="1"/>
    <col min="16131" max="16131" width="11.5546875" style="10" customWidth="1"/>
    <col min="16132" max="16132" width="11.44140625" style="10" customWidth="1"/>
    <col min="16133" max="16133" width="10.5546875" style="10" customWidth="1"/>
    <col min="16134" max="16134" width="14.88671875" style="10" customWidth="1"/>
    <col min="16135" max="16135" width="16.109375" style="10" customWidth="1"/>
    <col min="16136" max="16384" width="9.109375" style="10"/>
  </cols>
  <sheetData>
    <row r="1" spans="1:13">
      <c r="G1" s="2126" t="s">
        <v>360</v>
      </c>
      <c r="I1" s="10" t="s">
        <v>421</v>
      </c>
      <c r="L1" s="2127">
        <f>G44+G33+G49+П.2.2.ЛОЦ!G50+П.2.2.ЛОЦ!G49+П.2.2.ЛОЦ!G51</f>
        <v>17.97</v>
      </c>
    </row>
    <row r="2" spans="1:13" ht="15.6">
      <c r="A2" s="131" t="s">
        <v>1305</v>
      </c>
      <c r="B2" s="868"/>
      <c r="C2" s="868"/>
      <c r="D2" s="868"/>
      <c r="E2" s="868"/>
      <c r="F2" s="868"/>
      <c r="G2" s="868"/>
      <c r="I2" s="10" t="s">
        <v>426</v>
      </c>
      <c r="L2" s="2127">
        <f>G33+П.2.2.ЛОЦ!G49</f>
        <v>0</v>
      </c>
      <c r="M2" s="10">
        <f>L2/L1</f>
        <v>0</v>
      </c>
    </row>
    <row r="3" spans="1:13" ht="12.75" customHeight="1">
      <c r="A3" s="131" t="s">
        <v>1306</v>
      </c>
      <c r="B3" s="868"/>
      <c r="C3" s="868"/>
      <c r="D3" s="868"/>
      <c r="E3" s="868"/>
      <c r="F3" s="868"/>
      <c r="G3" s="868"/>
      <c r="I3" s="10" t="s">
        <v>427</v>
      </c>
      <c r="L3" s="2127">
        <f>SUM(G34:G38)+G42+П.2.2.ЛОЦ!G14+П.2.2.ЛОЦ!G21+П.2.2.ЛОЦ!G29+П.2.2.ЛОЦ!G33+П.2.2.ЛОЦ!G39+П.2.2.ЛОЦ!G43+П.2.2.ЛОЦ!G48</f>
        <v>0</v>
      </c>
      <c r="M3" s="10">
        <f>L3/L1</f>
        <v>0</v>
      </c>
    </row>
    <row r="4" spans="1:13" ht="12.75" customHeight="1">
      <c r="A4" s="2343" t="s">
        <v>2532</v>
      </c>
      <c r="B4" s="2340"/>
      <c r="C4" s="2340"/>
      <c r="D4" s="2340"/>
      <c r="E4" s="2340"/>
      <c r="F4" s="2340"/>
      <c r="G4" s="2006"/>
      <c r="I4" s="10" t="s">
        <v>422</v>
      </c>
      <c r="L4" s="2127">
        <f>G40+G41+G43+П.2.2.ЛОЦ!G22+П.2.2.ЛОЦ!G30+П.2.2.ЛОЦ!G34+П.2.2.ЛОЦ!G40+П.2.2.ЛОЦ!G41+П.2.2.ЛОЦ!G42+П.2.2.ЛОЦ!G44+П.2.2.ЛОЦ!G45+П.2.2.ЛОЦ!G46+П.2.2.ЛОЦ!G47</f>
        <v>17.024999999999999</v>
      </c>
      <c r="M4" s="10">
        <f>L4/L1</f>
        <v>0.94741235392320533</v>
      </c>
    </row>
    <row r="5" spans="1:13" ht="13.5" customHeight="1">
      <c r="A5" s="2343" t="s">
        <v>670</v>
      </c>
      <c r="B5" s="2340"/>
      <c r="C5" s="2340"/>
      <c r="D5" s="2340"/>
      <c r="E5" s="2340"/>
      <c r="F5" s="2340"/>
      <c r="G5" s="2340"/>
      <c r="I5" s="10" t="s">
        <v>423</v>
      </c>
      <c r="L5" s="2127">
        <f>G49</f>
        <v>0.94499999999999995</v>
      </c>
      <c r="M5" s="10">
        <f>L5/L1</f>
        <v>5.2587646076794656E-2</v>
      </c>
    </row>
    <row r="6" spans="1:13" ht="12.75" customHeight="1">
      <c r="A6" s="2343" t="s">
        <v>672</v>
      </c>
      <c r="B6" s="2344"/>
      <c r="C6" s="2344"/>
      <c r="D6" s="2344"/>
      <c r="E6" s="2344"/>
      <c r="F6" s="2344"/>
      <c r="G6" s="2344"/>
      <c r="L6" s="2127"/>
    </row>
    <row r="7" spans="1:13" ht="15.6">
      <c r="A7" s="2343" t="s">
        <v>671</v>
      </c>
      <c r="B7" s="2344"/>
      <c r="C7" s="2344"/>
      <c r="D7" s="2344"/>
      <c r="E7" s="2344"/>
      <c r="F7" s="2344"/>
      <c r="G7" s="2344"/>
      <c r="L7" s="2127">
        <f>SUM(L2:L5)</f>
        <v>17.97</v>
      </c>
    </row>
    <row r="8" spans="1:13">
      <c r="A8" s="2345"/>
      <c r="B8" s="2344"/>
      <c r="C8" s="2344"/>
      <c r="D8" s="2344"/>
      <c r="E8" s="2344"/>
      <c r="F8" s="2344"/>
      <c r="G8" s="2344"/>
      <c r="L8" s="2127"/>
    </row>
    <row r="9" spans="1:13">
      <c r="A9" s="2006"/>
      <c r="B9" s="2006"/>
      <c r="C9" s="2006"/>
      <c r="D9" s="2006"/>
      <c r="E9" s="2006"/>
      <c r="F9" s="2346"/>
      <c r="G9" s="2342" t="s">
        <v>2387</v>
      </c>
      <c r="L9" s="2127"/>
    </row>
    <row r="10" spans="1:13" ht="79.2">
      <c r="A10" s="4320"/>
      <c r="B10" s="4322" t="s">
        <v>361</v>
      </c>
      <c r="C10" s="4322" t="s">
        <v>362</v>
      </c>
      <c r="D10" s="4322" t="s">
        <v>363</v>
      </c>
      <c r="E10" s="2280" t="s">
        <v>364</v>
      </c>
      <c r="F10" s="2280" t="s">
        <v>365</v>
      </c>
      <c r="G10" s="2280" t="s">
        <v>366</v>
      </c>
      <c r="I10" s="78"/>
    </row>
    <row r="11" spans="1:13">
      <c r="A11" s="4321"/>
      <c r="B11" s="4323"/>
      <c r="C11" s="4323"/>
      <c r="D11" s="4323"/>
      <c r="E11" s="2280" t="s">
        <v>367</v>
      </c>
      <c r="F11" s="2280" t="s">
        <v>368</v>
      </c>
      <c r="G11" s="2280" t="s">
        <v>369</v>
      </c>
      <c r="L11" s="60"/>
    </row>
    <row r="12" spans="1:13">
      <c r="A12" s="2283">
        <v>1</v>
      </c>
      <c r="B12" s="2283">
        <f>+A12+1</f>
        <v>2</v>
      </c>
      <c r="C12" s="2283">
        <f>+B12+1</f>
        <v>3</v>
      </c>
      <c r="D12" s="2283">
        <f>+C12+1</f>
        <v>4</v>
      </c>
      <c r="E12" s="2283">
        <f>+D12+1</f>
        <v>5</v>
      </c>
      <c r="F12" s="2283">
        <f>+E12+1</f>
        <v>6</v>
      </c>
      <c r="G12" s="2283" t="s">
        <v>502</v>
      </c>
    </row>
    <row r="13" spans="1:13">
      <c r="A13" s="4312" t="s">
        <v>370</v>
      </c>
      <c r="B13" s="2282">
        <v>1150</v>
      </c>
      <c r="C13" s="2283" t="s">
        <v>338</v>
      </c>
      <c r="D13" s="2285" t="s">
        <v>371</v>
      </c>
      <c r="E13" s="2283">
        <v>800</v>
      </c>
      <c r="F13" s="2283"/>
      <c r="G13" s="2283"/>
    </row>
    <row r="14" spans="1:13">
      <c r="A14" s="4312"/>
      <c r="B14" s="2282">
        <v>750</v>
      </c>
      <c r="C14" s="2283">
        <v>1</v>
      </c>
      <c r="D14" s="2285" t="s">
        <v>371</v>
      </c>
      <c r="E14" s="2283">
        <v>600</v>
      </c>
      <c r="F14" s="2283"/>
      <c r="G14" s="2283"/>
      <c r="L14" s="60"/>
      <c r="M14" s="79"/>
    </row>
    <row r="15" spans="1:13">
      <c r="A15" s="4312"/>
      <c r="B15" s="4324" t="s">
        <v>372</v>
      </c>
      <c r="C15" s="4316">
        <v>1</v>
      </c>
      <c r="D15" s="2285" t="s">
        <v>371</v>
      </c>
      <c r="E15" s="2283">
        <v>400</v>
      </c>
      <c r="F15" s="2283"/>
      <c r="G15" s="2283"/>
      <c r="L15" s="48"/>
      <c r="M15" s="79"/>
    </row>
    <row r="16" spans="1:13">
      <c r="A16" s="4312"/>
      <c r="B16" s="4324"/>
      <c r="C16" s="4316"/>
      <c r="D16" s="2285" t="s">
        <v>373</v>
      </c>
      <c r="E16" s="2283">
        <v>300</v>
      </c>
      <c r="F16" s="2283"/>
      <c r="G16" s="2283"/>
    </row>
    <row r="17" spans="1:12">
      <c r="A17" s="4312"/>
      <c r="B17" s="4324">
        <v>330</v>
      </c>
      <c r="C17" s="4316">
        <v>1</v>
      </c>
      <c r="D17" s="2285" t="s">
        <v>371</v>
      </c>
      <c r="E17" s="2283">
        <v>230</v>
      </c>
      <c r="F17" s="2283"/>
      <c r="G17" s="2283"/>
      <c r="L17" s="60"/>
    </row>
    <row r="18" spans="1:12">
      <c r="A18" s="4312"/>
      <c r="B18" s="4324"/>
      <c r="C18" s="4316"/>
      <c r="D18" s="2285" t="s">
        <v>373</v>
      </c>
      <c r="E18" s="2283">
        <v>170</v>
      </c>
      <c r="F18" s="2283"/>
      <c r="G18" s="2283"/>
    </row>
    <row r="19" spans="1:12">
      <c r="A19" s="4312"/>
      <c r="B19" s="4324"/>
      <c r="C19" s="4316">
        <v>2</v>
      </c>
      <c r="D19" s="2285" t="s">
        <v>371</v>
      </c>
      <c r="E19" s="2283">
        <v>290</v>
      </c>
      <c r="F19" s="2283"/>
      <c r="G19" s="2283"/>
    </row>
    <row r="20" spans="1:12">
      <c r="A20" s="4312"/>
      <c r="B20" s="4324"/>
      <c r="C20" s="4316"/>
      <c r="D20" s="2285" t="s">
        <v>373</v>
      </c>
      <c r="E20" s="2283">
        <v>210</v>
      </c>
      <c r="F20" s="2283"/>
      <c r="G20" s="2283"/>
    </row>
    <row r="21" spans="1:12">
      <c r="A21" s="4312"/>
      <c r="B21" s="4325">
        <v>220</v>
      </c>
      <c r="C21" s="4312">
        <v>1</v>
      </c>
      <c r="D21" s="2285" t="s">
        <v>374</v>
      </c>
      <c r="E21" s="531">
        <v>260</v>
      </c>
      <c r="F21" s="530"/>
      <c r="G21" s="530"/>
    </row>
    <row r="22" spans="1:12">
      <c r="A22" s="4312"/>
      <c r="B22" s="4325"/>
      <c r="C22" s="4312"/>
      <c r="D22" s="2285" t="s">
        <v>371</v>
      </c>
      <c r="E22" s="531">
        <v>210</v>
      </c>
      <c r="F22" s="531"/>
      <c r="G22" s="531"/>
    </row>
    <row r="23" spans="1:12">
      <c r="A23" s="4312"/>
      <c r="B23" s="4325"/>
      <c r="C23" s="4312"/>
      <c r="D23" s="2285" t="s">
        <v>373</v>
      </c>
      <c r="E23" s="531">
        <v>140</v>
      </c>
      <c r="F23" s="531"/>
      <c r="G23" s="531"/>
    </row>
    <row r="24" spans="1:12">
      <c r="A24" s="4312"/>
      <c r="B24" s="4325"/>
      <c r="C24" s="4312">
        <v>2</v>
      </c>
      <c r="D24" s="2285" t="s">
        <v>371</v>
      </c>
      <c r="E24" s="531">
        <v>270</v>
      </c>
      <c r="F24" s="531"/>
      <c r="G24" s="538">
        <f>E24*F24/100</f>
        <v>0</v>
      </c>
    </row>
    <row r="25" spans="1:12">
      <c r="A25" s="4312"/>
      <c r="B25" s="4325"/>
      <c r="C25" s="4312"/>
      <c r="D25" s="2285" t="s">
        <v>373</v>
      </c>
      <c r="E25" s="531">
        <v>180</v>
      </c>
      <c r="F25" s="531"/>
      <c r="G25" s="531"/>
    </row>
    <row r="26" spans="1:12">
      <c r="A26" s="4312"/>
      <c r="B26" s="4325" t="s">
        <v>375</v>
      </c>
      <c r="C26" s="4312">
        <v>1</v>
      </c>
      <c r="D26" s="2285" t="s">
        <v>374</v>
      </c>
      <c r="E26" s="531">
        <v>180</v>
      </c>
      <c r="F26" s="530"/>
      <c r="G26" s="530"/>
    </row>
    <row r="27" spans="1:12">
      <c r="A27" s="4312"/>
      <c r="B27" s="4325"/>
      <c r="C27" s="4312"/>
      <c r="D27" s="2285" t="s">
        <v>371</v>
      </c>
      <c r="E27" s="531">
        <v>160</v>
      </c>
      <c r="F27" s="531"/>
      <c r="G27" s="533">
        <f>E27*F27/100</f>
        <v>0</v>
      </c>
    </row>
    <row r="28" spans="1:12">
      <c r="A28" s="4312"/>
      <c r="B28" s="4325"/>
      <c r="C28" s="4312"/>
      <c r="D28" s="2285" t="s">
        <v>373</v>
      </c>
      <c r="E28" s="531">
        <v>130</v>
      </c>
      <c r="F28" s="532"/>
      <c r="G28" s="531"/>
    </row>
    <row r="29" spans="1:12">
      <c r="A29" s="4312"/>
      <c r="B29" s="4325"/>
      <c r="C29" s="4312">
        <v>2</v>
      </c>
      <c r="D29" s="2285" t="s">
        <v>371</v>
      </c>
      <c r="E29" s="531">
        <v>190</v>
      </c>
      <c r="F29" s="531"/>
      <c r="G29" s="530"/>
    </row>
    <row r="30" spans="1:12">
      <c r="A30" s="4312"/>
      <c r="B30" s="4325"/>
      <c r="C30" s="4312"/>
      <c r="D30" s="2285" t="s">
        <v>373</v>
      </c>
      <c r="E30" s="531">
        <v>160</v>
      </c>
      <c r="F30" s="532"/>
      <c r="G30" s="531"/>
    </row>
    <row r="31" spans="1:12">
      <c r="A31" s="4312" t="s">
        <v>376</v>
      </c>
      <c r="B31" s="2284">
        <v>220</v>
      </c>
      <c r="C31" s="2283" t="s">
        <v>338</v>
      </c>
      <c r="D31" s="2283" t="s">
        <v>338</v>
      </c>
      <c r="E31" s="531">
        <v>3000</v>
      </c>
      <c r="F31" s="532"/>
      <c r="G31" s="531"/>
    </row>
    <row r="32" spans="1:12">
      <c r="A32" s="4312"/>
      <c r="B32" s="2284">
        <v>110</v>
      </c>
      <c r="C32" s="2283" t="s">
        <v>338</v>
      </c>
      <c r="D32" s="2283" t="s">
        <v>338</v>
      </c>
      <c r="E32" s="531">
        <v>2300</v>
      </c>
      <c r="F32" s="532"/>
      <c r="G32" s="531"/>
    </row>
    <row r="33" spans="1:13">
      <c r="A33" s="4312" t="s">
        <v>501</v>
      </c>
      <c r="B33" s="4312"/>
      <c r="C33" s="4312"/>
      <c r="D33" s="4312"/>
      <c r="E33" s="4312"/>
      <c r="F33" s="533"/>
      <c r="G33" s="538">
        <f>SUM(G13:G32)</f>
        <v>0</v>
      </c>
      <c r="H33" s="58"/>
      <c r="I33" s="57"/>
      <c r="J33" s="57"/>
      <c r="K33" s="57"/>
      <c r="L33" s="57"/>
    </row>
    <row r="34" spans="1:13">
      <c r="A34" s="4313" t="s">
        <v>370</v>
      </c>
      <c r="B34" s="4314">
        <v>35</v>
      </c>
      <c r="C34" s="4313">
        <v>1</v>
      </c>
      <c r="D34" s="2285" t="s">
        <v>374</v>
      </c>
      <c r="E34" s="531">
        <v>170</v>
      </c>
      <c r="F34" s="530"/>
      <c r="G34" s="530"/>
    </row>
    <row r="35" spans="1:13">
      <c r="A35" s="4313"/>
      <c r="B35" s="4314"/>
      <c r="C35" s="4313"/>
      <c r="D35" s="2285" t="s">
        <v>371</v>
      </c>
      <c r="E35" s="531">
        <v>140</v>
      </c>
      <c r="F35" s="531"/>
      <c r="G35" s="531"/>
    </row>
    <row r="36" spans="1:13">
      <c r="A36" s="4313"/>
      <c r="B36" s="4314"/>
      <c r="C36" s="4313"/>
      <c r="D36" s="2285" t="s">
        <v>373</v>
      </c>
      <c r="E36" s="531">
        <v>120</v>
      </c>
      <c r="F36" s="531"/>
      <c r="G36" s="538">
        <f>E36*F36/100</f>
        <v>0</v>
      </c>
    </row>
    <row r="37" spans="1:13">
      <c r="A37" s="4313"/>
      <c r="B37" s="4314"/>
      <c r="C37" s="4313">
        <v>2</v>
      </c>
      <c r="D37" s="2285" t="s">
        <v>371</v>
      </c>
      <c r="E37" s="531">
        <v>180</v>
      </c>
      <c r="F37" s="531"/>
      <c r="G37" s="538">
        <f>E37*F37/100</f>
        <v>0</v>
      </c>
    </row>
    <row r="38" spans="1:13">
      <c r="A38" s="4313"/>
      <c r="B38" s="4314"/>
      <c r="C38" s="4313"/>
      <c r="D38" s="2285" t="s">
        <v>373</v>
      </c>
      <c r="E38" s="531">
        <v>150</v>
      </c>
      <c r="F38" s="531"/>
      <c r="G38" s="531"/>
    </row>
    <row r="39" spans="1:13">
      <c r="A39" s="4313"/>
      <c r="B39" s="4315" t="s">
        <v>377</v>
      </c>
      <c r="C39" s="4316" t="s">
        <v>338</v>
      </c>
      <c r="D39" s="531" t="s">
        <v>374</v>
      </c>
      <c r="E39" s="531">
        <v>160</v>
      </c>
      <c r="F39" s="531"/>
      <c r="G39" s="531"/>
    </row>
    <row r="40" spans="1:13" ht="26.4">
      <c r="A40" s="4313"/>
      <c r="B40" s="4315"/>
      <c r="C40" s="4316"/>
      <c r="D40" s="540" t="s">
        <v>378</v>
      </c>
      <c r="E40" s="531">
        <v>140</v>
      </c>
      <c r="F40" s="531"/>
      <c r="G40" s="541">
        <f>E40*F40/100</f>
        <v>0</v>
      </c>
    </row>
    <row r="41" spans="1:13" ht="26.4">
      <c r="A41" s="4313"/>
      <c r="B41" s="4315"/>
      <c r="C41" s="4316"/>
      <c r="D41" s="540" t="s">
        <v>379</v>
      </c>
      <c r="E41" s="531">
        <v>110</v>
      </c>
      <c r="F41" s="2128"/>
      <c r="G41" s="541">
        <f>E41*F41/100</f>
        <v>0</v>
      </c>
      <c r="J41" s="2129" t="s">
        <v>1608</v>
      </c>
      <c r="K41" s="201"/>
      <c r="L41" s="2302" t="s">
        <v>2388</v>
      </c>
      <c r="M41" s="201"/>
    </row>
    <row r="42" spans="1:13">
      <c r="A42" s="4317" t="s">
        <v>376</v>
      </c>
      <c r="B42" s="2284" t="s">
        <v>380</v>
      </c>
      <c r="C42" s="2283" t="s">
        <v>338</v>
      </c>
      <c r="D42" s="2283" t="s">
        <v>338</v>
      </c>
      <c r="E42" s="531">
        <v>470</v>
      </c>
      <c r="F42" s="531"/>
      <c r="G42" s="531"/>
      <c r="J42" s="2129"/>
      <c r="K42" s="201"/>
      <c r="L42" s="2302"/>
      <c r="M42" s="201"/>
    </row>
    <row r="43" spans="1:13">
      <c r="A43" s="4317"/>
      <c r="B43" s="542" t="s">
        <v>381</v>
      </c>
      <c r="C43" s="543" t="s">
        <v>338</v>
      </c>
      <c r="D43" s="543" t="s">
        <v>338</v>
      </c>
      <c r="E43" s="534">
        <v>350</v>
      </c>
      <c r="F43" s="534">
        <f>1.7+1.45</f>
        <v>3.15</v>
      </c>
      <c r="G43" s="541">
        <f>E43*F43/100</f>
        <v>11.025</v>
      </c>
      <c r="J43" s="2129"/>
      <c r="K43" s="201">
        <f>100.2+100+130+100+200+140+140+100+200+180+100+200+100+600+250+250+100+250+100+270+50+100+70+100+70+120+100+100</f>
        <v>4320.2</v>
      </c>
      <c r="L43" s="2302">
        <f>1.7+1.54</f>
        <v>3.24</v>
      </c>
      <c r="M43" s="201"/>
    </row>
    <row r="44" spans="1:13">
      <c r="A44" s="4318" t="s">
        <v>382</v>
      </c>
      <c r="B44" s="4318"/>
      <c r="C44" s="4318"/>
      <c r="D44" s="4318"/>
      <c r="E44" s="4318"/>
      <c r="F44" s="535"/>
      <c r="G44" s="541">
        <f>SUM(G34:G43)</f>
        <v>11.025</v>
      </c>
      <c r="H44" s="59"/>
      <c r="J44" s="2129"/>
      <c r="K44" s="201"/>
      <c r="L44" s="2301"/>
      <c r="M44" s="201"/>
    </row>
    <row r="45" spans="1:13">
      <c r="A45" s="4313" t="s">
        <v>370</v>
      </c>
      <c r="B45" s="4319" t="s">
        <v>383</v>
      </c>
      <c r="C45" s="4313" t="s">
        <v>338</v>
      </c>
      <c r="D45" s="531" t="s">
        <v>374</v>
      </c>
      <c r="E45" s="531">
        <v>260</v>
      </c>
      <c r="F45" s="531"/>
      <c r="G45" s="531"/>
      <c r="J45" s="2129"/>
      <c r="K45" s="201"/>
      <c r="L45" s="2301"/>
      <c r="M45" s="201"/>
    </row>
    <row r="46" spans="1:13" ht="26.4">
      <c r="A46" s="4313"/>
      <c r="B46" s="4319"/>
      <c r="C46" s="4313"/>
      <c r="D46" s="540" t="s">
        <v>378</v>
      </c>
      <c r="E46" s="531">
        <v>220</v>
      </c>
      <c r="F46" s="531"/>
      <c r="G46" s="541">
        <f>E46*F46/100</f>
        <v>0</v>
      </c>
      <c r="J46" s="2129"/>
      <c r="K46" s="201"/>
      <c r="L46" s="2301"/>
      <c r="M46" s="201"/>
    </row>
    <row r="47" spans="1:13" ht="26.4">
      <c r="A47" s="4313"/>
      <c r="B47" s="4319"/>
      <c r="C47" s="4313"/>
      <c r="D47" s="540" t="s">
        <v>379</v>
      </c>
      <c r="E47" s="531">
        <v>150</v>
      </c>
      <c r="F47" s="2130"/>
      <c r="G47" s="541">
        <f>E47*F47/100</f>
        <v>0</v>
      </c>
      <c r="J47" s="2129" t="s">
        <v>1608</v>
      </c>
      <c r="K47" s="201"/>
      <c r="L47" s="2301"/>
      <c r="M47" s="201"/>
    </row>
    <row r="48" spans="1:13">
      <c r="A48" s="2285" t="s">
        <v>376</v>
      </c>
      <c r="B48" s="2286" t="s">
        <v>384</v>
      </c>
      <c r="C48" s="2283" t="s">
        <v>338</v>
      </c>
      <c r="D48" s="2283" t="s">
        <v>338</v>
      </c>
      <c r="E48" s="531">
        <v>270</v>
      </c>
      <c r="F48" s="843">
        <f>0.15+0.08+0.12</f>
        <v>0.35</v>
      </c>
      <c r="G48" s="541">
        <f>E48*F48/100</f>
        <v>0.94499999999999995</v>
      </c>
      <c r="K48" s="201"/>
      <c r="L48" s="2301"/>
      <c r="M48" s="201"/>
    </row>
    <row r="49" spans="1:12">
      <c r="A49" s="4311" t="s">
        <v>387</v>
      </c>
      <c r="B49" s="4311"/>
      <c r="C49" s="4311"/>
      <c r="D49" s="4311"/>
      <c r="E49" s="4311"/>
      <c r="F49" s="4311"/>
      <c r="G49" s="541">
        <f>G45+G46+G47+G48</f>
        <v>0.94499999999999995</v>
      </c>
      <c r="J49" s="2131">
        <f>G33+G44+G49</f>
        <v>11.97</v>
      </c>
      <c r="K49" s="132"/>
      <c r="L49" s="2302">
        <f>0.15+0.08+0.12</f>
        <v>0.35</v>
      </c>
    </row>
    <row r="50" spans="1:12">
      <c r="A50" s="50"/>
      <c r="B50" s="51"/>
      <c r="C50" s="50"/>
      <c r="D50" s="5"/>
      <c r="E50" s="5"/>
      <c r="F50" s="5"/>
      <c r="G50" s="5"/>
      <c r="J50" s="78"/>
      <c r="K50" s="78"/>
      <c r="L50" s="78"/>
    </row>
    <row r="51" spans="1:12" ht="9.75" customHeight="1"/>
    <row r="52" spans="1:12" s="776" customFormat="1" ht="23.25" customHeight="1">
      <c r="A52" s="839"/>
      <c r="B52" s="774"/>
      <c r="C52" s="775"/>
      <c r="H52" s="2068"/>
    </row>
    <row r="53" spans="1:12" s="776" customFormat="1" ht="15" customHeight="1">
      <c r="A53" s="839" t="s">
        <v>2391</v>
      </c>
      <c r="B53" s="778"/>
      <c r="C53" s="775"/>
      <c r="G53" s="779" t="s">
        <v>2390</v>
      </c>
    </row>
    <row r="54" spans="1:12" s="52" customFormat="1">
      <c r="F54" s="53"/>
    </row>
    <row r="55" spans="1:12" s="52" customFormat="1">
      <c r="A55" s="98"/>
      <c r="F55" s="53"/>
    </row>
    <row r="56" spans="1:12" s="52" customFormat="1">
      <c r="A56" s="98"/>
      <c r="F56" s="53"/>
    </row>
  </sheetData>
  <mergeCells count="30">
    <mergeCell ref="A10:A11"/>
    <mergeCell ref="B10:B11"/>
    <mergeCell ref="C10:C11"/>
    <mergeCell ref="D10:D11"/>
    <mergeCell ref="A13:A30"/>
    <mergeCell ref="B15:B16"/>
    <mergeCell ref="C15:C16"/>
    <mergeCell ref="B17:B20"/>
    <mergeCell ref="C17:C18"/>
    <mergeCell ref="C19:C20"/>
    <mergeCell ref="B21:B25"/>
    <mergeCell ref="C21:C23"/>
    <mergeCell ref="C24:C25"/>
    <mergeCell ref="B26:B30"/>
    <mergeCell ref="C26:C28"/>
    <mergeCell ref="C29:C30"/>
    <mergeCell ref="A49:F49"/>
    <mergeCell ref="A31:A32"/>
    <mergeCell ref="A33:E33"/>
    <mergeCell ref="A34:A41"/>
    <mergeCell ref="B34:B38"/>
    <mergeCell ref="C34:C36"/>
    <mergeCell ref="C37:C38"/>
    <mergeCell ref="B39:B41"/>
    <mergeCell ref="C39:C41"/>
    <mergeCell ref="A42:A43"/>
    <mergeCell ref="A44:E44"/>
    <mergeCell ref="A45:A47"/>
    <mergeCell ref="B45:B47"/>
    <mergeCell ref="C45:C47"/>
  </mergeCells>
  <printOptions horizontalCentered="1"/>
  <pageMargins left="0.78740157480314965" right="0.78740157480314965" top="0.78740157480314965" bottom="0.11811023622047245" header="0.51181102362204722" footer="3.937007874015748E-2"/>
  <pageSetup paperSize="9" scale="90" orientation="portrait" r:id="rId1"/>
  <headerFooter alignWithMargins="0"/>
  <colBreaks count="1" manualBreakCount="1">
    <brk id="7" max="1048575" man="1"/>
  </colBreaks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9">
    <tabColor theme="9" tint="0.59999389629810485"/>
  </sheetPr>
  <dimension ref="A1:K71"/>
  <sheetViews>
    <sheetView workbookViewId="0">
      <pane xSplit="3" ySplit="7" topLeftCell="D42" activePane="bottomRight" state="frozenSplit"/>
      <selection activeCell="M38" sqref="M38"/>
      <selection pane="topRight" activeCell="M38" sqref="M38"/>
      <selection pane="bottomLeft" activeCell="M38" sqref="M38"/>
      <selection pane="bottomRight" activeCell="M38" sqref="M38"/>
    </sheetView>
  </sheetViews>
  <sheetFormatPr defaultRowHeight="13.2"/>
  <cols>
    <col min="1" max="1" width="9.109375" style="10"/>
    <col min="2" max="2" width="18" style="10" customWidth="1"/>
    <col min="3" max="3" width="12.88671875" style="10" customWidth="1"/>
    <col min="4" max="4" width="12.33203125" style="10" customWidth="1"/>
    <col min="5" max="5" width="11" style="10" customWidth="1"/>
    <col min="6" max="6" width="10.5546875" style="10" customWidth="1"/>
    <col min="7" max="257" width="9.109375" style="10"/>
    <col min="258" max="258" width="18" style="10" customWidth="1"/>
    <col min="259" max="259" width="12.88671875" style="10" customWidth="1"/>
    <col min="260" max="260" width="12.33203125" style="10" customWidth="1"/>
    <col min="261" max="261" width="11" style="10" customWidth="1"/>
    <col min="262" max="262" width="10.5546875" style="10" customWidth="1"/>
    <col min="263" max="513" width="9.109375" style="10"/>
    <col min="514" max="514" width="18" style="10" customWidth="1"/>
    <col min="515" max="515" width="12.88671875" style="10" customWidth="1"/>
    <col min="516" max="516" width="12.33203125" style="10" customWidth="1"/>
    <col min="517" max="517" width="11" style="10" customWidth="1"/>
    <col min="518" max="518" width="10.5546875" style="10" customWidth="1"/>
    <col min="519" max="769" width="9.109375" style="10"/>
    <col min="770" max="770" width="18" style="10" customWidth="1"/>
    <col min="771" max="771" width="12.88671875" style="10" customWidth="1"/>
    <col min="772" max="772" width="12.33203125" style="10" customWidth="1"/>
    <col min="773" max="773" width="11" style="10" customWidth="1"/>
    <col min="774" max="774" width="10.5546875" style="10" customWidth="1"/>
    <col min="775" max="1025" width="9.109375" style="10"/>
    <col min="1026" max="1026" width="18" style="10" customWidth="1"/>
    <col min="1027" max="1027" width="12.88671875" style="10" customWidth="1"/>
    <col min="1028" max="1028" width="12.33203125" style="10" customWidth="1"/>
    <col min="1029" max="1029" width="11" style="10" customWidth="1"/>
    <col min="1030" max="1030" width="10.5546875" style="10" customWidth="1"/>
    <col min="1031" max="1281" width="9.109375" style="10"/>
    <col min="1282" max="1282" width="18" style="10" customWidth="1"/>
    <col min="1283" max="1283" width="12.88671875" style="10" customWidth="1"/>
    <col min="1284" max="1284" width="12.33203125" style="10" customWidth="1"/>
    <col min="1285" max="1285" width="11" style="10" customWidth="1"/>
    <col min="1286" max="1286" width="10.5546875" style="10" customWidth="1"/>
    <col min="1287" max="1537" width="9.109375" style="10"/>
    <col min="1538" max="1538" width="18" style="10" customWidth="1"/>
    <col min="1539" max="1539" width="12.88671875" style="10" customWidth="1"/>
    <col min="1540" max="1540" width="12.33203125" style="10" customWidth="1"/>
    <col min="1541" max="1541" width="11" style="10" customWidth="1"/>
    <col min="1542" max="1542" width="10.5546875" style="10" customWidth="1"/>
    <col min="1543" max="1793" width="9.109375" style="10"/>
    <col min="1794" max="1794" width="18" style="10" customWidth="1"/>
    <col min="1795" max="1795" width="12.88671875" style="10" customWidth="1"/>
    <col min="1796" max="1796" width="12.33203125" style="10" customWidth="1"/>
    <col min="1797" max="1797" width="11" style="10" customWidth="1"/>
    <col min="1798" max="1798" width="10.5546875" style="10" customWidth="1"/>
    <col min="1799" max="2049" width="9.109375" style="10"/>
    <col min="2050" max="2050" width="18" style="10" customWidth="1"/>
    <col min="2051" max="2051" width="12.88671875" style="10" customWidth="1"/>
    <col min="2052" max="2052" width="12.33203125" style="10" customWidth="1"/>
    <col min="2053" max="2053" width="11" style="10" customWidth="1"/>
    <col min="2054" max="2054" width="10.5546875" style="10" customWidth="1"/>
    <col min="2055" max="2305" width="9.109375" style="10"/>
    <col min="2306" max="2306" width="18" style="10" customWidth="1"/>
    <col min="2307" max="2307" width="12.88671875" style="10" customWidth="1"/>
    <col min="2308" max="2308" width="12.33203125" style="10" customWidth="1"/>
    <col min="2309" max="2309" width="11" style="10" customWidth="1"/>
    <col min="2310" max="2310" width="10.5546875" style="10" customWidth="1"/>
    <col min="2311" max="2561" width="9.109375" style="10"/>
    <col min="2562" max="2562" width="18" style="10" customWidth="1"/>
    <col min="2563" max="2563" width="12.88671875" style="10" customWidth="1"/>
    <col min="2564" max="2564" width="12.33203125" style="10" customWidth="1"/>
    <col min="2565" max="2565" width="11" style="10" customWidth="1"/>
    <col min="2566" max="2566" width="10.5546875" style="10" customWidth="1"/>
    <col min="2567" max="2817" width="9.109375" style="10"/>
    <col min="2818" max="2818" width="18" style="10" customWidth="1"/>
    <col min="2819" max="2819" width="12.88671875" style="10" customWidth="1"/>
    <col min="2820" max="2820" width="12.33203125" style="10" customWidth="1"/>
    <col min="2821" max="2821" width="11" style="10" customWidth="1"/>
    <col min="2822" max="2822" width="10.5546875" style="10" customWidth="1"/>
    <col min="2823" max="3073" width="9.109375" style="10"/>
    <col min="3074" max="3074" width="18" style="10" customWidth="1"/>
    <col min="3075" max="3075" width="12.88671875" style="10" customWidth="1"/>
    <col min="3076" max="3076" width="12.33203125" style="10" customWidth="1"/>
    <col min="3077" max="3077" width="11" style="10" customWidth="1"/>
    <col min="3078" max="3078" width="10.5546875" style="10" customWidth="1"/>
    <col min="3079" max="3329" width="9.109375" style="10"/>
    <col min="3330" max="3330" width="18" style="10" customWidth="1"/>
    <col min="3331" max="3331" width="12.88671875" style="10" customWidth="1"/>
    <col min="3332" max="3332" width="12.33203125" style="10" customWidth="1"/>
    <col min="3333" max="3333" width="11" style="10" customWidth="1"/>
    <col min="3334" max="3334" width="10.5546875" style="10" customWidth="1"/>
    <col min="3335" max="3585" width="9.109375" style="10"/>
    <col min="3586" max="3586" width="18" style="10" customWidth="1"/>
    <col min="3587" max="3587" width="12.88671875" style="10" customWidth="1"/>
    <col min="3588" max="3588" width="12.33203125" style="10" customWidth="1"/>
    <col min="3589" max="3589" width="11" style="10" customWidth="1"/>
    <col min="3590" max="3590" width="10.5546875" style="10" customWidth="1"/>
    <col min="3591" max="3841" width="9.109375" style="10"/>
    <col min="3842" max="3842" width="18" style="10" customWidth="1"/>
    <col min="3843" max="3843" width="12.88671875" style="10" customWidth="1"/>
    <col min="3844" max="3844" width="12.33203125" style="10" customWidth="1"/>
    <col min="3845" max="3845" width="11" style="10" customWidth="1"/>
    <col min="3846" max="3846" width="10.5546875" style="10" customWidth="1"/>
    <col min="3847" max="4097" width="9.109375" style="10"/>
    <col min="4098" max="4098" width="18" style="10" customWidth="1"/>
    <col min="4099" max="4099" width="12.88671875" style="10" customWidth="1"/>
    <col min="4100" max="4100" width="12.33203125" style="10" customWidth="1"/>
    <col min="4101" max="4101" width="11" style="10" customWidth="1"/>
    <col min="4102" max="4102" width="10.5546875" style="10" customWidth="1"/>
    <col min="4103" max="4353" width="9.109375" style="10"/>
    <col min="4354" max="4354" width="18" style="10" customWidth="1"/>
    <col min="4355" max="4355" width="12.88671875" style="10" customWidth="1"/>
    <col min="4356" max="4356" width="12.33203125" style="10" customWidth="1"/>
    <col min="4357" max="4357" width="11" style="10" customWidth="1"/>
    <col min="4358" max="4358" width="10.5546875" style="10" customWidth="1"/>
    <col min="4359" max="4609" width="9.109375" style="10"/>
    <col min="4610" max="4610" width="18" style="10" customWidth="1"/>
    <col min="4611" max="4611" width="12.88671875" style="10" customWidth="1"/>
    <col min="4612" max="4612" width="12.33203125" style="10" customWidth="1"/>
    <col min="4613" max="4613" width="11" style="10" customWidth="1"/>
    <col min="4614" max="4614" width="10.5546875" style="10" customWidth="1"/>
    <col min="4615" max="4865" width="9.109375" style="10"/>
    <col min="4866" max="4866" width="18" style="10" customWidth="1"/>
    <col min="4867" max="4867" width="12.88671875" style="10" customWidth="1"/>
    <col min="4868" max="4868" width="12.33203125" style="10" customWidth="1"/>
    <col min="4869" max="4869" width="11" style="10" customWidth="1"/>
    <col min="4870" max="4870" width="10.5546875" style="10" customWidth="1"/>
    <col min="4871" max="5121" width="9.109375" style="10"/>
    <col min="5122" max="5122" width="18" style="10" customWidth="1"/>
    <col min="5123" max="5123" width="12.88671875" style="10" customWidth="1"/>
    <col min="5124" max="5124" width="12.33203125" style="10" customWidth="1"/>
    <col min="5125" max="5125" width="11" style="10" customWidth="1"/>
    <col min="5126" max="5126" width="10.5546875" style="10" customWidth="1"/>
    <col min="5127" max="5377" width="9.109375" style="10"/>
    <col min="5378" max="5378" width="18" style="10" customWidth="1"/>
    <col min="5379" max="5379" width="12.88671875" style="10" customWidth="1"/>
    <col min="5380" max="5380" width="12.33203125" style="10" customWidth="1"/>
    <col min="5381" max="5381" width="11" style="10" customWidth="1"/>
    <col min="5382" max="5382" width="10.5546875" style="10" customWidth="1"/>
    <col min="5383" max="5633" width="9.109375" style="10"/>
    <col min="5634" max="5634" width="18" style="10" customWidth="1"/>
    <col min="5635" max="5635" width="12.88671875" style="10" customWidth="1"/>
    <col min="5636" max="5636" width="12.33203125" style="10" customWidth="1"/>
    <col min="5637" max="5637" width="11" style="10" customWidth="1"/>
    <col min="5638" max="5638" width="10.5546875" style="10" customWidth="1"/>
    <col min="5639" max="5889" width="9.109375" style="10"/>
    <col min="5890" max="5890" width="18" style="10" customWidth="1"/>
    <col min="5891" max="5891" width="12.88671875" style="10" customWidth="1"/>
    <col min="5892" max="5892" width="12.33203125" style="10" customWidth="1"/>
    <col min="5893" max="5893" width="11" style="10" customWidth="1"/>
    <col min="5894" max="5894" width="10.5546875" style="10" customWidth="1"/>
    <col min="5895" max="6145" width="9.109375" style="10"/>
    <col min="6146" max="6146" width="18" style="10" customWidth="1"/>
    <col min="6147" max="6147" width="12.88671875" style="10" customWidth="1"/>
    <col min="6148" max="6148" width="12.33203125" style="10" customWidth="1"/>
    <col min="6149" max="6149" width="11" style="10" customWidth="1"/>
    <col min="6150" max="6150" width="10.5546875" style="10" customWidth="1"/>
    <col min="6151" max="6401" width="9.109375" style="10"/>
    <col min="6402" max="6402" width="18" style="10" customWidth="1"/>
    <col min="6403" max="6403" width="12.88671875" style="10" customWidth="1"/>
    <col min="6404" max="6404" width="12.33203125" style="10" customWidth="1"/>
    <col min="6405" max="6405" width="11" style="10" customWidth="1"/>
    <col min="6406" max="6406" width="10.5546875" style="10" customWidth="1"/>
    <col min="6407" max="6657" width="9.109375" style="10"/>
    <col min="6658" max="6658" width="18" style="10" customWidth="1"/>
    <col min="6659" max="6659" width="12.88671875" style="10" customWidth="1"/>
    <col min="6660" max="6660" width="12.33203125" style="10" customWidth="1"/>
    <col min="6661" max="6661" width="11" style="10" customWidth="1"/>
    <col min="6662" max="6662" width="10.5546875" style="10" customWidth="1"/>
    <col min="6663" max="6913" width="9.109375" style="10"/>
    <col min="6914" max="6914" width="18" style="10" customWidth="1"/>
    <col min="6915" max="6915" width="12.88671875" style="10" customWidth="1"/>
    <col min="6916" max="6916" width="12.33203125" style="10" customWidth="1"/>
    <col min="6917" max="6917" width="11" style="10" customWidth="1"/>
    <col min="6918" max="6918" width="10.5546875" style="10" customWidth="1"/>
    <col min="6919" max="7169" width="9.109375" style="10"/>
    <col min="7170" max="7170" width="18" style="10" customWidth="1"/>
    <col min="7171" max="7171" width="12.88671875" style="10" customWidth="1"/>
    <col min="7172" max="7172" width="12.33203125" style="10" customWidth="1"/>
    <col min="7173" max="7173" width="11" style="10" customWidth="1"/>
    <col min="7174" max="7174" width="10.5546875" style="10" customWidth="1"/>
    <col min="7175" max="7425" width="9.109375" style="10"/>
    <col min="7426" max="7426" width="18" style="10" customWidth="1"/>
    <col min="7427" max="7427" width="12.88671875" style="10" customWidth="1"/>
    <col min="7428" max="7428" width="12.33203125" style="10" customWidth="1"/>
    <col min="7429" max="7429" width="11" style="10" customWidth="1"/>
    <col min="7430" max="7430" width="10.5546875" style="10" customWidth="1"/>
    <col min="7431" max="7681" width="9.109375" style="10"/>
    <col min="7682" max="7682" width="18" style="10" customWidth="1"/>
    <col min="7683" max="7683" width="12.88671875" style="10" customWidth="1"/>
    <col min="7684" max="7684" width="12.33203125" style="10" customWidth="1"/>
    <col min="7685" max="7685" width="11" style="10" customWidth="1"/>
    <col min="7686" max="7686" width="10.5546875" style="10" customWidth="1"/>
    <col min="7687" max="7937" width="9.109375" style="10"/>
    <col min="7938" max="7938" width="18" style="10" customWidth="1"/>
    <col min="7939" max="7939" width="12.88671875" style="10" customWidth="1"/>
    <col min="7940" max="7940" width="12.33203125" style="10" customWidth="1"/>
    <col min="7941" max="7941" width="11" style="10" customWidth="1"/>
    <col min="7942" max="7942" width="10.5546875" style="10" customWidth="1"/>
    <col min="7943" max="8193" width="9.109375" style="10"/>
    <col min="8194" max="8194" width="18" style="10" customWidth="1"/>
    <col min="8195" max="8195" width="12.88671875" style="10" customWidth="1"/>
    <col min="8196" max="8196" width="12.33203125" style="10" customWidth="1"/>
    <col min="8197" max="8197" width="11" style="10" customWidth="1"/>
    <col min="8198" max="8198" width="10.5546875" style="10" customWidth="1"/>
    <col min="8199" max="8449" width="9.109375" style="10"/>
    <col min="8450" max="8450" width="18" style="10" customWidth="1"/>
    <col min="8451" max="8451" width="12.88671875" style="10" customWidth="1"/>
    <col min="8452" max="8452" width="12.33203125" style="10" customWidth="1"/>
    <col min="8453" max="8453" width="11" style="10" customWidth="1"/>
    <col min="8454" max="8454" width="10.5546875" style="10" customWidth="1"/>
    <col min="8455" max="8705" width="9.109375" style="10"/>
    <col min="8706" max="8706" width="18" style="10" customWidth="1"/>
    <col min="8707" max="8707" width="12.88671875" style="10" customWidth="1"/>
    <col min="8708" max="8708" width="12.33203125" style="10" customWidth="1"/>
    <col min="8709" max="8709" width="11" style="10" customWidth="1"/>
    <col min="8710" max="8710" width="10.5546875" style="10" customWidth="1"/>
    <col min="8711" max="8961" width="9.109375" style="10"/>
    <col min="8962" max="8962" width="18" style="10" customWidth="1"/>
    <col min="8963" max="8963" width="12.88671875" style="10" customWidth="1"/>
    <col min="8964" max="8964" width="12.33203125" style="10" customWidth="1"/>
    <col min="8965" max="8965" width="11" style="10" customWidth="1"/>
    <col min="8966" max="8966" width="10.5546875" style="10" customWidth="1"/>
    <col min="8967" max="9217" width="9.109375" style="10"/>
    <col min="9218" max="9218" width="18" style="10" customWidth="1"/>
    <col min="9219" max="9219" width="12.88671875" style="10" customWidth="1"/>
    <col min="9220" max="9220" width="12.33203125" style="10" customWidth="1"/>
    <col min="9221" max="9221" width="11" style="10" customWidth="1"/>
    <col min="9222" max="9222" width="10.5546875" style="10" customWidth="1"/>
    <col min="9223" max="9473" width="9.109375" style="10"/>
    <col min="9474" max="9474" width="18" style="10" customWidth="1"/>
    <col min="9475" max="9475" width="12.88671875" style="10" customWidth="1"/>
    <col min="9476" max="9476" width="12.33203125" style="10" customWidth="1"/>
    <col min="9477" max="9477" width="11" style="10" customWidth="1"/>
    <col min="9478" max="9478" width="10.5546875" style="10" customWidth="1"/>
    <col min="9479" max="9729" width="9.109375" style="10"/>
    <col min="9730" max="9730" width="18" style="10" customWidth="1"/>
    <col min="9731" max="9731" width="12.88671875" style="10" customWidth="1"/>
    <col min="9732" max="9732" width="12.33203125" style="10" customWidth="1"/>
    <col min="9733" max="9733" width="11" style="10" customWidth="1"/>
    <col min="9734" max="9734" width="10.5546875" style="10" customWidth="1"/>
    <col min="9735" max="9985" width="9.109375" style="10"/>
    <col min="9986" max="9986" width="18" style="10" customWidth="1"/>
    <col min="9987" max="9987" width="12.88671875" style="10" customWidth="1"/>
    <col min="9988" max="9988" width="12.33203125" style="10" customWidth="1"/>
    <col min="9989" max="9989" width="11" style="10" customWidth="1"/>
    <col min="9990" max="9990" width="10.5546875" style="10" customWidth="1"/>
    <col min="9991" max="10241" width="9.109375" style="10"/>
    <col min="10242" max="10242" width="18" style="10" customWidth="1"/>
    <col min="10243" max="10243" width="12.88671875" style="10" customWidth="1"/>
    <col min="10244" max="10244" width="12.33203125" style="10" customWidth="1"/>
    <col min="10245" max="10245" width="11" style="10" customWidth="1"/>
    <col min="10246" max="10246" width="10.5546875" style="10" customWidth="1"/>
    <col min="10247" max="10497" width="9.109375" style="10"/>
    <col min="10498" max="10498" width="18" style="10" customWidth="1"/>
    <col min="10499" max="10499" width="12.88671875" style="10" customWidth="1"/>
    <col min="10500" max="10500" width="12.33203125" style="10" customWidth="1"/>
    <col min="10501" max="10501" width="11" style="10" customWidth="1"/>
    <col min="10502" max="10502" width="10.5546875" style="10" customWidth="1"/>
    <col min="10503" max="10753" width="9.109375" style="10"/>
    <col min="10754" max="10754" width="18" style="10" customWidth="1"/>
    <col min="10755" max="10755" width="12.88671875" style="10" customWidth="1"/>
    <col min="10756" max="10756" width="12.33203125" style="10" customWidth="1"/>
    <col min="10757" max="10757" width="11" style="10" customWidth="1"/>
    <col min="10758" max="10758" width="10.5546875" style="10" customWidth="1"/>
    <col min="10759" max="11009" width="9.109375" style="10"/>
    <col min="11010" max="11010" width="18" style="10" customWidth="1"/>
    <col min="11011" max="11011" width="12.88671875" style="10" customWidth="1"/>
    <col min="11012" max="11012" width="12.33203125" style="10" customWidth="1"/>
    <col min="11013" max="11013" width="11" style="10" customWidth="1"/>
    <col min="11014" max="11014" width="10.5546875" style="10" customWidth="1"/>
    <col min="11015" max="11265" width="9.109375" style="10"/>
    <col min="11266" max="11266" width="18" style="10" customWidth="1"/>
    <col min="11267" max="11267" width="12.88671875" style="10" customWidth="1"/>
    <col min="11268" max="11268" width="12.33203125" style="10" customWidth="1"/>
    <col min="11269" max="11269" width="11" style="10" customWidth="1"/>
    <col min="11270" max="11270" width="10.5546875" style="10" customWidth="1"/>
    <col min="11271" max="11521" width="9.109375" style="10"/>
    <col min="11522" max="11522" width="18" style="10" customWidth="1"/>
    <col min="11523" max="11523" width="12.88671875" style="10" customWidth="1"/>
    <col min="11524" max="11524" width="12.33203125" style="10" customWidth="1"/>
    <col min="11525" max="11525" width="11" style="10" customWidth="1"/>
    <col min="11526" max="11526" width="10.5546875" style="10" customWidth="1"/>
    <col min="11527" max="11777" width="9.109375" style="10"/>
    <col min="11778" max="11778" width="18" style="10" customWidth="1"/>
    <col min="11779" max="11779" width="12.88671875" style="10" customWidth="1"/>
    <col min="11780" max="11780" width="12.33203125" style="10" customWidth="1"/>
    <col min="11781" max="11781" width="11" style="10" customWidth="1"/>
    <col min="11782" max="11782" width="10.5546875" style="10" customWidth="1"/>
    <col min="11783" max="12033" width="9.109375" style="10"/>
    <col min="12034" max="12034" width="18" style="10" customWidth="1"/>
    <col min="12035" max="12035" width="12.88671875" style="10" customWidth="1"/>
    <col min="12036" max="12036" width="12.33203125" style="10" customWidth="1"/>
    <col min="12037" max="12037" width="11" style="10" customWidth="1"/>
    <col min="12038" max="12038" width="10.5546875" style="10" customWidth="1"/>
    <col min="12039" max="12289" width="9.109375" style="10"/>
    <col min="12290" max="12290" width="18" style="10" customWidth="1"/>
    <col min="12291" max="12291" width="12.88671875" style="10" customWidth="1"/>
    <col min="12292" max="12292" width="12.33203125" style="10" customWidth="1"/>
    <col min="12293" max="12293" width="11" style="10" customWidth="1"/>
    <col min="12294" max="12294" width="10.5546875" style="10" customWidth="1"/>
    <col min="12295" max="12545" width="9.109375" style="10"/>
    <col min="12546" max="12546" width="18" style="10" customWidth="1"/>
    <col min="12547" max="12547" width="12.88671875" style="10" customWidth="1"/>
    <col min="12548" max="12548" width="12.33203125" style="10" customWidth="1"/>
    <col min="12549" max="12549" width="11" style="10" customWidth="1"/>
    <col min="12550" max="12550" width="10.5546875" style="10" customWidth="1"/>
    <col min="12551" max="12801" width="9.109375" style="10"/>
    <col min="12802" max="12802" width="18" style="10" customWidth="1"/>
    <col min="12803" max="12803" width="12.88671875" style="10" customWidth="1"/>
    <col min="12804" max="12804" width="12.33203125" style="10" customWidth="1"/>
    <col min="12805" max="12805" width="11" style="10" customWidth="1"/>
    <col min="12806" max="12806" width="10.5546875" style="10" customWidth="1"/>
    <col min="12807" max="13057" width="9.109375" style="10"/>
    <col min="13058" max="13058" width="18" style="10" customWidth="1"/>
    <col min="13059" max="13059" width="12.88671875" style="10" customWidth="1"/>
    <col min="13060" max="13060" width="12.33203125" style="10" customWidth="1"/>
    <col min="13061" max="13061" width="11" style="10" customWidth="1"/>
    <col min="13062" max="13062" width="10.5546875" style="10" customWidth="1"/>
    <col min="13063" max="13313" width="9.109375" style="10"/>
    <col min="13314" max="13314" width="18" style="10" customWidth="1"/>
    <col min="13315" max="13315" width="12.88671875" style="10" customWidth="1"/>
    <col min="13316" max="13316" width="12.33203125" style="10" customWidth="1"/>
    <col min="13317" max="13317" width="11" style="10" customWidth="1"/>
    <col min="13318" max="13318" width="10.5546875" style="10" customWidth="1"/>
    <col min="13319" max="13569" width="9.109375" style="10"/>
    <col min="13570" max="13570" width="18" style="10" customWidth="1"/>
    <col min="13571" max="13571" width="12.88671875" style="10" customWidth="1"/>
    <col min="13572" max="13572" width="12.33203125" style="10" customWidth="1"/>
    <col min="13573" max="13573" width="11" style="10" customWidth="1"/>
    <col min="13574" max="13574" width="10.5546875" style="10" customWidth="1"/>
    <col min="13575" max="13825" width="9.109375" style="10"/>
    <col min="13826" max="13826" width="18" style="10" customWidth="1"/>
    <col min="13827" max="13827" width="12.88671875" style="10" customWidth="1"/>
    <col min="13828" max="13828" width="12.33203125" style="10" customWidth="1"/>
    <col min="13829" max="13829" width="11" style="10" customWidth="1"/>
    <col min="13830" max="13830" width="10.5546875" style="10" customWidth="1"/>
    <col min="13831" max="14081" width="9.109375" style="10"/>
    <col min="14082" max="14082" width="18" style="10" customWidth="1"/>
    <col min="14083" max="14083" width="12.88671875" style="10" customWidth="1"/>
    <col min="14084" max="14084" width="12.33203125" style="10" customWidth="1"/>
    <col min="14085" max="14085" width="11" style="10" customWidth="1"/>
    <col min="14086" max="14086" width="10.5546875" style="10" customWidth="1"/>
    <col min="14087" max="14337" width="9.109375" style="10"/>
    <col min="14338" max="14338" width="18" style="10" customWidth="1"/>
    <col min="14339" max="14339" width="12.88671875" style="10" customWidth="1"/>
    <col min="14340" max="14340" width="12.33203125" style="10" customWidth="1"/>
    <col min="14341" max="14341" width="11" style="10" customWidth="1"/>
    <col min="14342" max="14342" width="10.5546875" style="10" customWidth="1"/>
    <col min="14343" max="14593" width="9.109375" style="10"/>
    <col min="14594" max="14594" width="18" style="10" customWidth="1"/>
    <col min="14595" max="14595" width="12.88671875" style="10" customWidth="1"/>
    <col min="14596" max="14596" width="12.33203125" style="10" customWidth="1"/>
    <col min="14597" max="14597" width="11" style="10" customWidth="1"/>
    <col min="14598" max="14598" width="10.5546875" style="10" customWidth="1"/>
    <col min="14599" max="14849" width="9.109375" style="10"/>
    <col min="14850" max="14850" width="18" style="10" customWidth="1"/>
    <col min="14851" max="14851" width="12.88671875" style="10" customWidth="1"/>
    <col min="14852" max="14852" width="12.33203125" style="10" customWidth="1"/>
    <col min="14853" max="14853" width="11" style="10" customWidth="1"/>
    <col min="14854" max="14854" width="10.5546875" style="10" customWidth="1"/>
    <col min="14855" max="15105" width="9.109375" style="10"/>
    <col min="15106" max="15106" width="18" style="10" customWidth="1"/>
    <col min="15107" max="15107" width="12.88671875" style="10" customWidth="1"/>
    <col min="15108" max="15108" width="12.33203125" style="10" customWidth="1"/>
    <col min="15109" max="15109" width="11" style="10" customWidth="1"/>
    <col min="15110" max="15110" width="10.5546875" style="10" customWidth="1"/>
    <col min="15111" max="15361" width="9.109375" style="10"/>
    <col min="15362" max="15362" width="18" style="10" customWidth="1"/>
    <col min="15363" max="15363" width="12.88671875" style="10" customWidth="1"/>
    <col min="15364" max="15364" width="12.33203125" style="10" customWidth="1"/>
    <col min="15365" max="15365" width="11" style="10" customWidth="1"/>
    <col min="15366" max="15366" width="10.5546875" style="10" customWidth="1"/>
    <col min="15367" max="15617" width="9.109375" style="10"/>
    <col min="15618" max="15618" width="18" style="10" customWidth="1"/>
    <col min="15619" max="15619" width="12.88671875" style="10" customWidth="1"/>
    <col min="15620" max="15620" width="12.33203125" style="10" customWidth="1"/>
    <col min="15621" max="15621" width="11" style="10" customWidth="1"/>
    <col min="15622" max="15622" width="10.5546875" style="10" customWidth="1"/>
    <col min="15623" max="15873" width="9.109375" style="10"/>
    <col min="15874" max="15874" width="18" style="10" customWidth="1"/>
    <col min="15875" max="15875" width="12.88671875" style="10" customWidth="1"/>
    <col min="15876" max="15876" width="12.33203125" style="10" customWidth="1"/>
    <col min="15877" max="15877" width="11" style="10" customWidth="1"/>
    <col min="15878" max="15878" width="10.5546875" style="10" customWidth="1"/>
    <col min="15879" max="16129" width="9.109375" style="10"/>
    <col min="16130" max="16130" width="18" style="10" customWidth="1"/>
    <col min="16131" max="16131" width="12.88671875" style="10" customWidth="1"/>
    <col min="16132" max="16132" width="12.33203125" style="10" customWidth="1"/>
    <col min="16133" max="16133" width="11" style="10" customWidth="1"/>
    <col min="16134" max="16134" width="10.5546875" style="10" customWidth="1"/>
    <col min="16135" max="16384" width="9.109375" style="10"/>
  </cols>
  <sheetData>
    <row r="1" spans="1:7">
      <c r="G1" s="2126" t="s">
        <v>388</v>
      </c>
    </row>
    <row r="2" spans="1:7" ht="33.75" customHeight="1">
      <c r="A2" s="2340" t="s">
        <v>631</v>
      </c>
      <c r="B2" s="2340"/>
      <c r="C2" s="2340"/>
      <c r="D2" s="2340"/>
      <c r="E2" s="2340"/>
      <c r="F2" s="2340"/>
      <c r="G2" s="2340"/>
    </row>
    <row r="3" spans="1:7" ht="14.25" customHeight="1">
      <c r="A3" s="2341" t="str">
        <f>П.2.1.ЛОЦ!A4</f>
        <v>АО "РКЦ "Прогресс" ЛОЦ "Космос"</v>
      </c>
      <c r="B3" s="2340"/>
      <c r="C3" s="2340"/>
      <c r="D3" s="2340"/>
      <c r="E3" s="2340"/>
      <c r="F3" s="2340"/>
      <c r="G3" s="2340"/>
    </row>
    <row r="4" spans="1:7" ht="14.25" customHeight="1">
      <c r="A4" s="2340"/>
      <c r="B4" s="2340"/>
      <c r="C4" s="2340"/>
      <c r="D4" s="2340"/>
      <c r="E4" s="2340"/>
      <c r="F4" s="2340"/>
      <c r="G4" s="2342" t="s">
        <v>2387</v>
      </c>
    </row>
    <row r="5" spans="1:7" ht="66">
      <c r="A5" s="4322" t="s">
        <v>54</v>
      </c>
      <c r="B5" s="4322" t="s">
        <v>171</v>
      </c>
      <c r="C5" s="4322" t="s">
        <v>389</v>
      </c>
      <c r="D5" s="4322" t="s">
        <v>361</v>
      </c>
      <c r="E5" s="2280" t="s">
        <v>390</v>
      </c>
      <c r="F5" s="2280" t="s">
        <v>391</v>
      </c>
      <c r="G5" s="2280" t="s">
        <v>366</v>
      </c>
    </row>
    <row r="6" spans="1:7">
      <c r="A6" s="4323"/>
      <c r="B6" s="4323"/>
      <c r="C6" s="4323"/>
      <c r="D6" s="4323"/>
      <c r="E6" s="2280" t="s">
        <v>392</v>
      </c>
      <c r="F6" s="2280" t="s">
        <v>393</v>
      </c>
      <c r="G6" s="2280" t="s">
        <v>369</v>
      </c>
    </row>
    <row r="7" spans="1:7">
      <c r="A7" s="2283">
        <v>1</v>
      </c>
      <c r="B7" s="2283">
        <f>+A7+1</f>
        <v>2</v>
      </c>
      <c r="C7" s="2283">
        <f>+B7+1</f>
        <v>3</v>
      </c>
      <c r="D7" s="2283">
        <f>+C7+1</f>
        <v>4</v>
      </c>
      <c r="E7" s="2283">
        <f>+D7+1</f>
        <v>5</v>
      </c>
      <c r="F7" s="2283">
        <f>+E7+1</f>
        <v>6</v>
      </c>
      <c r="G7" s="2283" t="s">
        <v>394</v>
      </c>
    </row>
    <row r="8" spans="1:7">
      <c r="A8" s="4312">
        <v>1</v>
      </c>
      <c r="B8" s="4313" t="s">
        <v>395</v>
      </c>
      <c r="C8" s="4313" t="s">
        <v>396</v>
      </c>
      <c r="D8" s="534">
        <v>1150</v>
      </c>
      <c r="E8" s="2281">
        <v>1000</v>
      </c>
      <c r="F8" s="861"/>
      <c r="G8" s="2285"/>
    </row>
    <row r="9" spans="1:7">
      <c r="A9" s="4312"/>
      <c r="B9" s="4313"/>
      <c r="C9" s="4313"/>
      <c r="D9" s="2297">
        <v>750</v>
      </c>
      <c r="E9" s="2298">
        <v>600</v>
      </c>
      <c r="F9" s="2299"/>
      <c r="G9" s="2300"/>
    </row>
    <row r="10" spans="1:7">
      <c r="A10" s="4312"/>
      <c r="B10" s="4313"/>
      <c r="C10" s="4313"/>
      <c r="D10" s="2285" t="s">
        <v>397</v>
      </c>
      <c r="E10" s="2281">
        <v>500</v>
      </c>
      <c r="F10" s="861"/>
      <c r="G10" s="2285"/>
    </row>
    <row r="11" spans="1:7">
      <c r="A11" s="4312"/>
      <c r="B11" s="4313"/>
      <c r="C11" s="4313"/>
      <c r="D11" s="2285">
        <v>330</v>
      </c>
      <c r="E11" s="2281">
        <v>250</v>
      </c>
      <c r="F11" s="861"/>
      <c r="G11" s="2285"/>
    </row>
    <row r="12" spans="1:7">
      <c r="A12" s="4312"/>
      <c r="B12" s="4313"/>
      <c r="C12" s="4313"/>
      <c r="D12" s="2285">
        <v>220</v>
      </c>
      <c r="E12" s="2281">
        <v>210</v>
      </c>
      <c r="F12" s="861"/>
      <c r="G12" s="544">
        <f>E12*F12</f>
        <v>0</v>
      </c>
    </row>
    <row r="13" spans="1:7">
      <c r="A13" s="4312"/>
      <c r="B13" s="4313"/>
      <c r="C13" s="4313"/>
      <c r="D13" s="2285" t="s">
        <v>398</v>
      </c>
      <c r="E13" s="2281">
        <v>105</v>
      </c>
      <c r="F13" s="862"/>
      <c r="G13" s="544">
        <f>E13*F13</f>
        <v>0</v>
      </c>
    </row>
    <row r="14" spans="1:7">
      <c r="A14" s="4312"/>
      <c r="B14" s="4313"/>
      <c r="C14" s="4313"/>
      <c r="D14" s="2285">
        <v>35</v>
      </c>
      <c r="E14" s="2281">
        <v>75</v>
      </c>
      <c r="F14" s="863"/>
      <c r="G14" s="544">
        <f>E14*F14</f>
        <v>0</v>
      </c>
    </row>
    <row r="15" spans="1:7" ht="12.75" customHeight="1">
      <c r="A15" s="4312">
        <v>2</v>
      </c>
      <c r="B15" s="4329" t="s">
        <v>399</v>
      </c>
      <c r="C15" s="4313" t="s">
        <v>400</v>
      </c>
      <c r="D15" s="534">
        <v>1150</v>
      </c>
      <c r="E15" s="2281">
        <v>60</v>
      </c>
      <c r="F15" s="863"/>
      <c r="G15" s="544"/>
    </row>
    <row r="16" spans="1:7">
      <c r="A16" s="4312"/>
      <c r="B16" s="4329"/>
      <c r="C16" s="4329"/>
      <c r="D16" s="534">
        <v>750</v>
      </c>
      <c r="E16" s="2281">
        <v>43</v>
      </c>
      <c r="F16" s="863"/>
      <c r="G16" s="544"/>
    </row>
    <row r="17" spans="1:7">
      <c r="A17" s="4312"/>
      <c r="B17" s="4329"/>
      <c r="C17" s="4329"/>
      <c r="D17" s="2285" t="s">
        <v>397</v>
      </c>
      <c r="E17" s="2281">
        <v>28</v>
      </c>
      <c r="F17" s="863"/>
      <c r="G17" s="544"/>
    </row>
    <row r="18" spans="1:7">
      <c r="A18" s="4312"/>
      <c r="B18" s="4329"/>
      <c r="C18" s="4329"/>
      <c r="D18" s="2285">
        <v>330</v>
      </c>
      <c r="E18" s="2281">
        <v>18</v>
      </c>
      <c r="F18" s="863"/>
      <c r="G18" s="544"/>
    </row>
    <row r="19" spans="1:7">
      <c r="A19" s="4312"/>
      <c r="B19" s="4329"/>
      <c r="C19" s="4329"/>
      <c r="D19" s="2285">
        <v>220</v>
      </c>
      <c r="E19" s="2281">
        <v>14</v>
      </c>
      <c r="F19" s="863"/>
      <c r="G19" s="544">
        <f>E19*F19</f>
        <v>0</v>
      </c>
    </row>
    <row r="20" spans="1:7">
      <c r="A20" s="4312"/>
      <c r="B20" s="4329"/>
      <c r="C20" s="4329"/>
      <c r="D20" s="2285" t="s">
        <v>398</v>
      </c>
      <c r="E20" s="2281">
        <v>7.8</v>
      </c>
      <c r="F20" s="862"/>
      <c r="G20" s="544">
        <f>E20*F20</f>
        <v>0</v>
      </c>
    </row>
    <row r="21" spans="1:7">
      <c r="A21" s="4312"/>
      <c r="B21" s="4329"/>
      <c r="C21" s="4329"/>
      <c r="D21" s="2285">
        <v>35</v>
      </c>
      <c r="E21" s="2281">
        <v>2.1</v>
      </c>
      <c r="F21" s="861"/>
      <c r="G21" s="544">
        <f>E21*F21</f>
        <v>0</v>
      </c>
    </row>
    <row r="22" spans="1:7">
      <c r="A22" s="4312"/>
      <c r="B22" s="4329"/>
      <c r="C22" s="4313"/>
      <c r="D22" s="545" t="s">
        <v>401</v>
      </c>
      <c r="E22" s="546">
        <v>1</v>
      </c>
      <c r="F22" s="861"/>
      <c r="G22" s="544">
        <f>E22*F22</f>
        <v>0</v>
      </c>
    </row>
    <row r="23" spans="1:7" ht="12.75" customHeight="1">
      <c r="A23" s="4312">
        <v>3</v>
      </c>
      <c r="B23" s="4329" t="s">
        <v>402</v>
      </c>
      <c r="C23" s="4313" t="s">
        <v>403</v>
      </c>
      <c r="D23" s="534">
        <v>1150</v>
      </c>
      <c r="E23" s="2285">
        <v>180</v>
      </c>
      <c r="F23" s="861"/>
      <c r="G23" s="2285"/>
    </row>
    <row r="24" spans="1:7">
      <c r="A24" s="4312"/>
      <c r="B24" s="4329"/>
      <c r="C24" s="4329"/>
      <c r="D24" s="534">
        <v>750</v>
      </c>
      <c r="E24" s="2285">
        <v>130</v>
      </c>
      <c r="F24" s="861"/>
      <c r="G24" s="2285"/>
    </row>
    <row r="25" spans="1:7">
      <c r="A25" s="4312"/>
      <c r="B25" s="4329"/>
      <c r="C25" s="4329"/>
      <c r="D25" s="2285" t="s">
        <v>397</v>
      </c>
      <c r="E25" s="2281">
        <v>88</v>
      </c>
      <c r="F25" s="861"/>
      <c r="G25" s="2285"/>
    </row>
    <row r="26" spans="1:7">
      <c r="A26" s="4312"/>
      <c r="B26" s="4329"/>
      <c r="C26" s="4329"/>
      <c r="D26" s="2285">
        <v>330</v>
      </c>
      <c r="E26" s="2281">
        <v>66</v>
      </c>
      <c r="F26" s="861"/>
      <c r="G26" s="2285"/>
    </row>
    <row r="27" spans="1:7">
      <c r="A27" s="4312"/>
      <c r="B27" s="4329"/>
      <c r="C27" s="4329"/>
      <c r="D27" s="2285">
        <v>220</v>
      </c>
      <c r="E27" s="2281">
        <v>43</v>
      </c>
      <c r="F27" s="861"/>
      <c r="G27" s="2285"/>
    </row>
    <row r="28" spans="1:7">
      <c r="A28" s="4312"/>
      <c r="B28" s="4329"/>
      <c r="C28" s="4329"/>
      <c r="D28" s="2285" t="s">
        <v>398</v>
      </c>
      <c r="E28" s="2281">
        <v>26</v>
      </c>
      <c r="F28" s="861"/>
      <c r="G28" s="2285"/>
    </row>
    <row r="29" spans="1:7">
      <c r="A29" s="4312"/>
      <c r="B29" s="4329"/>
      <c r="C29" s="4329"/>
      <c r="D29" s="2285">
        <v>35</v>
      </c>
      <c r="E29" s="2281">
        <v>11</v>
      </c>
      <c r="F29" s="861"/>
      <c r="G29" s="2285"/>
    </row>
    <row r="30" spans="1:7">
      <c r="A30" s="4312"/>
      <c r="B30" s="4329"/>
      <c r="C30" s="4313"/>
      <c r="D30" s="545" t="s">
        <v>401</v>
      </c>
      <c r="E30" s="2281">
        <v>5.5</v>
      </c>
      <c r="F30" s="2069"/>
      <c r="G30" s="544">
        <f>E30*F30</f>
        <v>0</v>
      </c>
    </row>
    <row r="31" spans="1:7" ht="12.75" customHeight="1">
      <c r="A31" s="4312">
        <v>4</v>
      </c>
      <c r="B31" s="4313" t="s">
        <v>500</v>
      </c>
      <c r="C31" s="4313" t="s">
        <v>404</v>
      </c>
      <c r="D31" s="2285">
        <v>220</v>
      </c>
      <c r="E31" s="2285">
        <v>23</v>
      </c>
      <c r="F31" s="861"/>
      <c r="G31" s="2285"/>
    </row>
    <row r="32" spans="1:7">
      <c r="A32" s="4312"/>
      <c r="B32" s="4313"/>
      <c r="C32" s="4313"/>
      <c r="D32" s="2285" t="s">
        <v>398</v>
      </c>
      <c r="E32" s="2285">
        <v>14</v>
      </c>
      <c r="F32" s="861"/>
      <c r="G32" s="547">
        <f>E32*F32</f>
        <v>0</v>
      </c>
    </row>
    <row r="33" spans="1:10">
      <c r="A33" s="4312"/>
      <c r="B33" s="4313"/>
      <c r="C33" s="4313"/>
      <c r="D33" s="2285">
        <v>35</v>
      </c>
      <c r="E33" s="2285">
        <v>6.4</v>
      </c>
      <c r="F33" s="861"/>
      <c r="G33" s="2285"/>
    </row>
    <row r="34" spans="1:10">
      <c r="A34" s="4312"/>
      <c r="B34" s="4313"/>
      <c r="C34" s="4313"/>
      <c r="D34" s="545" t="s">
        <v>401</v>
      </c>
      <c r="E34" s="2285">
        <v>3.1</v>
      </c>
      <c r="F34" s="2070"/>
      <c r="G34" s="544">
        <f>E34*F34</f>
        <v>0</v>
      </c>
    </row>
    <row r="35" spans="1:10" ht="12.75" customHeight="1">
      <c r="A35" s="4312">
        <v>5</v>
      </c>
      <c r="B35" s="4313" t="s">
        <v>405</v>
      </c>
      <c r="C35" s="4313" t="s">
        <v>400</v>
      </c>
      <c r="D35" s="2285" t="s">
        <v>397</v>
      </c>
      <c r="E35" s="2281">
        <v>35</v>
      </c>
      <c r="F35" s="861"/>
      <c r="G35" s="2285"/>
    </row>
    <row r="36" spans="1:10">
      <c r="A36" s="4312"/>
      <c r="B36" s="4313"/>
      <c r="C36" s="4313"/>
      <c r="D36" s="2285">
        <v>330</v>
      </c>
      <c r="E36" s="2285">
        <v>24</v>
      </c>
      <c r="F36" s="861"/>
      <c r="G36" s="2285"/>
    </row>
    <row r="37" spans="1:10">
      <c r="A37" s="4312"/>
      <c r="B37" s="4313"/>
      <c r="C37" s="4313"/>
      <c r="D37" s="2285">
        <v>220</v>
      </c>
      <c r="E37" s="2285">
        <v>19</v>
      </c>
      <c r="F37" s="861"/>
      <c r="G37" s="2285"/>
    </row>
    <row r="38" spans="1:10">
      <c r="A38" s="4312"/>
      <c r="B38" s="4313"/>
      <c r="C38" s="4313"/>
      <c r="D38" s="2285" t="s">
        <v>398</v>
      </c>
      <c r="E38" s="2285">
        <v>9.5</v>
      </c>
      <c r="F38" s="862"/>
      <c r="G38" s="544">
        <f>E38*F38</f>
        <v>0</v>
      </c>
    </row>
    <row r="39" spans="1:10">
      <c r="A39" s="4312"/>
      <c r="B39" s="4313"/>
      <c r="C39" s="4313"/>
      <c r="D39" s="2285">
        <v>35</v>
      </c>
      <c r="E39" s="2285">
        <v>4.7</v>
      </c>
      <c r="F39" s="861"/>
      <c r="G39" s="544">
        <f>E39*F39</f>
        <v>0</v>
      </c>
    </row>
    <row r="40" spans="1:10" ht="26.4">
      <c r="A40" s="2281">
        <v>6</v>
      </c>
      <c r="B40" s="2285" t="s">
        <v>406</v>
      </c>
      <c r="C40" s="2285" t="s">
        <v>404</v>
      </c>
      <c r="D40" s="548" t="s">
        <v>401</v>
      </c>
      <c r="E40" s="2285">
        <v>2.2999999999999998</v>
      </c>
      <c r="F40" s="862"/>
      <c r="G40" s="547">
        <f>E40*F40</f>
        <v>0</v>
      </c>
    </row>
    <row r="41" spans="1:10" ht="39.6">
      <c r="A41" s="2281">
        <v>7</v>
      </c>
      <c r="B41" s="2285" t="s">
        <v>407</v>
      </c>
      <c r="C41" s="2285" t="s">
        <v>404</v>
      </c>
      <c r="D41" s="548" t="s">
        <v>401</v>
      </c>
      <c r="E41" s="2285">
        <v>26</v>
      </c>
      <c r="F41" s="861"/>
      <c r="G41" s="2285"/>
    </row>
    <row r="42" spans="1:10" ht="26.4">
      <c r="A42" s="2281">
        <v>8</v>
      </c>
      <c r="B42" s="2285" t="s">
        <v>408</v>
      </c>
      <c r="C42" s="2285" t="s">
        <v>404</v>
      </c>
      <c r="D42" s="548" t="s">
        <v>401</v>
      </c>
      <c r="E42" s="2285">
        <v>48</v>
      </c>
      <c r="F42" s="861"/>
      <c r="G42" s="2285"/>
    </row>
    <row r="43" spans="1:10" ht="12.75" customHeight="1">
      <c r="A43" s="4312">
        <v>9</v>
      </c>
      <c r="B43" s="4313" t="s">
        <v>409</v>
      </c>
      <c r="C43" s="4313" t="s">
        <v>410</v>
      </c>
      <c r="D43" s="2285">
        <v>35</v>
      </c>
      <c r="E43" s="2285">
        <v>2.4</v>
      </c>
      <c r="F43" s="861"/>
      <c r="G43" s="2285"/>
    </row>
    <row r="44" spans="1:10">
      <c r="A44" s="4312"/>
      <c r="B44" s="4313"/>
      <c r="C44" s="4313"/>
      <c r="D44" s="548" t="s">
        <v>401</v>
      </c>
      <c r="E44" s="2285">
        <v>2.4</v>
      </c>
      <c r="F44" s="861"/>
      <c r="G44" s="544">
        <f>E44*F44</f>
        <v>0</v>
      </c>
    </row>
    <row r="45" spans="1:10" ht="26.4">
      <c r="A45" s="2281">
        <v>10</v>
      </c>
      <c r="B45" s="2285" t="s">
        <v>411</v>
      </c>
      <c r="C45" s="2285" t="s">
        <v>412</v>
      </c>
      <c r="D45" s="548" t="s">
        <v>401</v>
      </c>
      <c r="E45" s="2285">
        <v>2.5</v>
      </c>
      <c r="F45" s="862"/>
      <c r="G45" s="547">
        <f>E45*F45</f>
        <v>0</v>
      </c>
    </row>
    <row r="46" spans="1:10" ht="26.4">
      <c r="A46" s="2281">
        <v>11</v>
      </c>
      <c r="B46" s="2285" t="s">
        <v>413</v>
      </c>
      <c r="C46" s="2285" t="s">
        <v>414</v>
      </c>
      <c r="D46" s="548" t="s">
        <v>401</v>
      </c>
      <c r="E46" s="2285">
        <v>2.2999999999999998</v>
      </c>
      <c r="F46" s="2071"/>
      <c r="G46" s="547">
        <f>E46*F46</f>
        <v>0</v>
      </c>
    </row>
    <row r="47" spans="1:10" ht="26.4">
      <c r="A47" s="2281">
        <v>12</v>
      </c>
      <c r="B47" s="2285" t="s">
        <v>415</v>
      </c>
      <c r="C47" s="2285" t="s">
        <v>414</v>
      </c>
      <c r="D47" s="548" t="s">
        <v>401</v>
      </c>
      <c r="E47" s="2285">
        <v>3</v>
      </c>
      <c r="F47" s="864">
        <v>2</v>
      </c>
      <c r="G47" s="547">
        <f>E47*F47</f>
        <v>6</v>
      </c>
    </row>
    <row r="48" spans="1:10" ht="39.6">
      <c r="A48" s="2281">
        <v>13</v>
      </c>
      <c r="B48" s="2285" t="s">
        <v>1489</v>
      </c>
      <c r="C48" s="2285" t="s">
        <v>417</v>
      </c>
      <c r="D48" s="2285">
        <v>35</v>
      </c>
      <c r="E48" s="2285">
        <v>3.5</v>
      </c>
      <c r="F48" s="861"/>
      <c r="G48" s="2285"/>
      <c r="J48" s="10">
        <f>SUM(G8:G48)</f>
        <v>6</v>
      </c>
    </row>
    <row r="49" spans="1:11">
      <c r="A49" s="4312" t="s">
        <v>418</v>
      </c>
      <c r="B49" s="4313" t="s">
        <v>419</v>
      </c>
      <c r="C49" s="4313"/>
      <c r="D49" s="2285" t="s">
        <v>697</v>
      </c>
      <c r="E49" s="544">
        <v>0</v>
      </c>
      <c r="F49" s="544">
        <v>0</v>
      </c>
      <c r="G49" s="544">
        <f>G12+G19</f>
        <v>0</v>
      </c>
    </row>
    <row r="50" spans="1:11">
      <c r="A50" s="4312"/>
      <c r="B50" s="4313"/>
      <c r="C50" s="4313"/>
      <c r="D50" s="2285" t="s">
        <v>239</v>
      </c>
      <c r="E50" s="544">
        <v>0</v>
      </c>
      <c r="F50" s="544">
        <v>0</v>
      </c>
      <c r="G50" s="544">
        <f>G14+G21+G22+G29+G30+G33+G34+G39+G40+G41+G42+G43+G44+G45+G46+G47+G48</f>
        <v>6</v>
      </c>
    </row>
    <row r="51" spans="1:11">
      <c r="A51" s="4312"/>
      <c r="B51" s="4313"/>
      <c r="C51" s="4313"/>
      <c r="D51" s="2285" t="s">
        <v>681</v>
      </c>
      <c r="E51" s="544">
        <v>0</v>
      </c>
      <c r="F51" s="544">
        <v>0</v>
      </c>
      <c r="G51" s="549">
        <v>0</v>
      </c>
      <c r="J51" s="144">
        <f>G49+G50+G51</f>
        <v>6</v>
      </c>
      <c r="K51" s="515">
        <f>SUMIF($D$8:$D$48,$D$22,$G$8:$G$48)+G14+G21+G39+G12+G19</f>
        <v>6</v>
      </c>
    </row>
    <row r="52" spans="1:11">
      <c r="A52" s="49"/>
      <c r="B52" s="50"/>
      <c r="C52" s="50"/>
      <c r="D52" s="50"/>
      <c r="E52" s="49"/>
      <c r="F52" s="49"/>
      <c r="G52" s="50"/>
    </row>
    <row r="53" spans="1:11" hidden="1">
      <c r="A53" s="10" t="s">
        <v>663</v>
      </c>
    </row>
    <row r="54" spans="1:11" ht="21.75" hidden="1" customHeight="1">
      <c r="A54" s="4327" t="s">
        <v>1123</v>
      </c>
      <c r="B54" s="4327"/>
      <c r="C54" s="4327"/>
      <c r="D54" s="4327"/>
      <c r="E54" s="4327"/>
      <c r="F54" s="4327"/>
      <c r="G54" s="4327"/>
    </row>
    <row r="55" spans="1:11" ht="39.75" hidden="1" customHeight="1">
      <c r="A55" s="4327" t="s">
        <v>1124</v>
      </c>
      <c r="B55" s="4327"/>
      <c r="C55" s="4327"/>
      <c r="D55" s="4327"/>
      <c r="E55" s="4327"/>
      <c r="F55" s="4327"/>
      <c r="G55" s="4327"/>
    </row>
    <row r="56" spans="1:11" ht="31.5" hidden="1" customHeight="1">
      <c r="A56" s="4328" t="s">
        <v>1125</v>
      </c>
      <c r="B56" s="4328"/>
      <c r="C56" s="4328"/>
      <c r="D56" s="4328"/>
      <c r="E56" s="4328"/>
      <c r="F56" s="4328"/>
      <c r="G56" s="4328"/>
    </row>
    <row r="57" spans="1:11" ht="41.25" hidden="1" customHeight="1">
      <c r="A57" s="4327" t="s">
        <v>1126</v>
      </c>
      <c r="B57" s="4327"/>
      <c r="C57" s="4327"/>
      <c r="D57" s="4327"/>
      <c r="E57" s="4327"/>
      <c r="F57" s="4327"/>
      <c r="G57" s="4327"/>
    </row>
    <row r="58" spans="1:11" ht="46.5" hidden="1" customHeight="1">
      <c r="A58" s="4327" t="s">
        <v>1127</v>
      </c>
      <c r="B58" s="4327"/>
      <c r="C58" s="4327"/>
      <c r="D58" s="4327"/>
      <c r="E58" s="4327"/>
      <c r="F58" s="4327"/>
      <c r="G58" s="4327"/>
    </row>
    <row r="59" spans="1:11" ht="45.75" hidden="1" customHeight="1">
      <c r="A59" s="4327" t="s">
        <v>1128</v>
      </c>
      <c r="B59" s="4327"/>
      <c r="C59" s="4327"/>
      <c r="D59" s="4327"/>
      <c r="E59" s="4327"/>
      <c r="F59" s="4327"/>
      <c r="G59" s="4327"/>
    </row>
    <row r="60" spans="1:11" ht="27.75" hidden="1" customHeight="1">
      <c r="A60" s="4327" t="s">
        <v>1129</v>
      </c>
      <c r="B60" s="4327"/>
      <c r="C60" s="4327"/>
      <c r="D60" s="4327"/>
      <c r="E60" s="4327"/>
      <c r="F60" s="4327"/>
      <c r="G60" s="4327"/>
    </row>
    <row r="61" spans="1:11" ht="28.5" hidden="1" customHeight="1">
      <c r="A61" s="4327" t="s">
        <v>1130</v>
      </c>
      <c r="B61" s="4327"/>
      <c r="C61" s="4327"/>
      <c r="D61" s="4327"/>
      <c r="E61" s="4327"/>
      <c r="F61" s="4327"/>
      <c r="G61" s="4327"/>
    </row>
    <row r="62" spans="1:11" ht="33.75" hidden="1" customHeight="1">
      <c r="A62" s="4327" t="s">
        <v>1131</v>
      </c>
      <c r="B62" s="4327"/>
      <c r="C62" s="4327"/>
      <c r="D62" s="4327"/>
      <c r="E62" s="4327"/>
      <c r="F62" s="4327"/>
      <c r="G62" s="4327"/>
    </row>
    <row r="63" spans="1:11" s="776" customFormat="1" ht="23.25" customHeight="1">
      <c r="A63" s="839"/>
      <c r="B63" s="774"/>
      <c r="C63" s="775"/>
      <c r="H63" s="2068"/>
    </row>
    <row r="64" spans="1:11" s="776" customFormat="1" ht="15" customHeight="1">
      <c r="A64" s="839" t="str">
        <f>П.2.1.ЛОЦ!A53</f>
        <v>Директор ЛОЦ "Космос"</v>
      </c>
      <c r="B64" s="778"/>
      <c r="C64" s="775"/>
      <c r="G64" s="779" t="str">
        <f>П.2.1.ЛОЦ!G53</f>
        <v>С. С. Давидчук</v>
      </c>
    </row>
    <row r="65" spans="1:7" s="52" customFormat="1"/>
    <row r="66" spans="1:7" s="52" customFormat="1">
      <c r="A66" s="98"/>
    </row>
    <row r="67" spans="1:7" s="52" customFormat="1">
      <c r="A67" s="98"/>
    </row>
    <row r="68" spans="1:7" ht="58.5" customHeight="1">
      <c r="A68" s="4327"/>
      <c r="B68" s="4327"/>
      <c r="C68" s="4327"/>
      <c r="D68" s="4327"/>
      <c r="E68" s="4327"/>
      <c r="F68" s="4327"/>
      <c r="G68" s="4327"/>
    </row>
    <row r="69" spans="1:7" ht="53.25" customHeight="1">
      <c r="A69" s="4327"/>
      <c r="B69" s="4327"/>
      <c r="C69" s="4327"/>
      <c r="D69" s="4327"/>
      <c r="E69" s="4327"/>
      <c r="F69" s="4327"/>
      <c r="G69" s="4327"/>
    </row>
    <row r="70" spans="1:7" ht="31.5" customHeight="1">
      <c r="A70" s="4327"/>
      <c r="B70" s="4327"/>
      <c r="C70" s="4327"/>
      <c r="D70" s="4327"/>
      <c r="E70" s="4327"/>
      <c r="F70" s="4327"/>
      <c r="G70" s="4327"/>
    </row>
    <row r="71" spans="1:7" ht="27.75" customHeight="1">
      <c r="A71" s="4326"/>
      <c r="B71" s="4326"/>
      <c r="C71" s="4326"/>
      <c r="D71" s="4326"/>
      <c r="E71" s="4326"/>
      <c r="F71" s="4326"/>
      <c r="G71" s="4326"/>
    </row>
  </sheetData>
  <mergeCells count="37">
    <mergeCell ref="A5:A6"/>
    <mergeCell ref="B5:B6"/>
    <mergeCell ref="C5:C6"/>
    <mergeCell ref="D5:D6"/>
    <mergeCell ref="A8:A14"/>
    <mergeCell ref="B8:B14"/>
    <mergeCell ref="C8:C14"/>
    <mergeCell ref="A15:A22"/>
    <mergeCell ref="B15:B22"/>
    <mergeCell ref="C15:C22"/>
    <mergeCell ref="A23:A30"/>
    <mergeCell ref="B23:B30"/>
    <mergeCell ref="C23:C30"/>
    <mergeCell ref="A54:G54"/>
    <mergeCell ref="A31:A34"/>
    <mergeCell ref="B31:B34"/>
    <mergeCell ref="C31:C34"/>
    <mergeCell ref="A35:A39"/>
    <mergeCell ref="B35:B39"/>
    <mergeCell ref="C35:C39"/>
    <mergeCell ref="A43:A44"/>
    <mergeCell ref="B43:B44"/>
    <mergeCell ref="C43:C44"/>
    <mergeCell ref="A49:A51"/>
    <mergeCell ref="B49:C51"/>
    <mergeCell ref="A71:G71"/>
    <mergeCell ref="A55:G55"/>
    <mergeCell ref="A56:G56"/>
    <mergeCell ref="A57:G57"/>
    <mergeCell ref="A58:G58"/>
    <mergeCell ref="A59:G59"/>
    <mergeCell ref="A60:G60"/>
    <mergeCell ref="A61:G61"/>
    <mergeCell ref="A62:G62"/>
    <mergeCell ref="A68:G68"/>
    <mergeCell ref="A69:G69"/>
    <mergeCell ref="A70:G70"/>
  </mergeCells>
  <printOptions horizontalCentered="1"/>
  <pageMargins left="0.78740157480314965" right="0.78740157480314965" top="0.59055118110236227" bottom="0.11811023622047245" header="0.51181102362204722" footer="3.937007874015748E-2"/>
  <pageSetup paperSize="9" scale="87" orientation="portrait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0">
    <tabColor rgb="FFCCFFCC"/>
  </sheetPr>
  <dimension ref="A1:N78"/>
  <sheetViews>
    <sheetView zoomScale="85" zoomScaleNormal="85" zoomScaleSheetLayoutView="75" workbookViewId="0">
      <pane ySplit="6" topLeftCell="A49" activePane="bottomLeft" state="frozen"/>
      <selection sqref="A1:XFD1048576"/>
      <selection pane="bottomLeft" sqref="A1:XFD1048576"/>
    </sheetView>
  </sheetViews>
  <sheetFormatPr defaultRowHeight="13.2"/>
  <cols>
    <col min="1" max="1" width="60.6640625" style="1937" customWidth="1"/>
    <col min="2" max="2" width="24.33203125" style="1937" customWidth="1"/>
    <col min="3" max="6" width="17.6640625" style="1937" customWidth="1"/>
    <col min="7" max="12" width="0" style="1937" hidden="1" customWidth="1"/>
    <col min="13" max="256" width="9.109375" style="1937"/>
    <col min="257" max="257" width="60.6640625" style="1937" customWidth="1"/>
    <col min="258" max="258" width="24.33203125" style="1937" customWidth="1"/>
    <col min="259" max="262" width="17.6640625" style="1937" customWidth="1"/>
    <col min="263" max="268" width="0" style="1937" hidden="1" customWidth="1"/>
    <col min="269" max="512" width="9.109375" style="1937"/>
    <col min="513" max="513" width="60.6640625" style="1937" customWidth="1"/>
    <col min="514" max="514" width="24.33203125" style="1937" customWidth="1"/>
    <col min="515" max="518" width="17.6640625" style="1937" customWidth="1"/>
    <col min="519" max="524" width="0" style="1937" hidden="1" customWidth="1"/>
    <col min="525" max="768" width="9.109375" style="1937"/>
    <col min="769" max="769" width="60.6640625" style="1937" customWidth="1"/>
    <col min="770" max="770" width="24.33203125" style="1937" customWidth="1"/>
    <col min="771" max="774" width="17.6640625" style="1937" customWidth="1"/>
    <col min="775" max="780" width="0" style="1937" hidden="1" customWidth="1"/>
    <col min="781" max="1024" width="9.109375" style="1937"/>
    <col min="1025" max="1025" width="60.6640625" style="1937" customWidth="1"/>
    <col min="1026" max="1026" width="24.33203125" style="1937" customWidth="1"/>
    <col min="1027" max="1030" width="17.6640625" style="1937" customWidth="1"/>
    <col min="1031" max="1036" width="0" style="1937" hidden="1" customWidth="1"/>
    <col min="1037" max="1280" width="9.109375" style="1937"/>
    <col min="1281" max="1281" width="60.6640625" style="1937" customWidth="1"/>
    <col min="1282" max="1282" width="24.33203125" style="1937" customWidth="1"/>
    <col min="1283" max="1286" width="17.6640625" style="1937" customWidth="1"/>
    <col min="1287" max="1292" width="0" style="1937" hidden="1" customWidth="1"/>
    <col min="1293" max="1536" width="9.109375" style="1937"/>
    <col min="1537" max="1537" width="60.6640625" style="1937" customWidth="1"/>
    <col min="1538" max="1538" width="24.33203125" style="1937" customWidth="1"/>
    <col min="1539" max="1542" width="17.6640625" style="1937" customWidth="1"/>
    <col min="1543" max="1548" width="0" style="1937" hidden="1" customWidth="1"/>
    <col min="1549" max="1792" width="9.109375" style="1937"/>
    <col min="1793" max="1793" width="60.6640625" style="1937" customWidth="1"/>
    <col min="1794" max="1794" width="24.33203125" style="1937" customWidth="1"/>
    <col min="1795" max="1798" width="17.6640625" style="1937" customWidth="1"/>
    <col min="1799" max="1804" width="0" style="1937" hidden="1" customWidth="1"/>
    <col min="1805" max="2048" width="9.109375" style="1937"/>
    <col min="2049" max="2049" width="60.6640625" style="1937" customWidth="1"/>
    <col min="2050" max="2050" width="24.33203125" style="1937" customWidth="1"/>
    <col min="2051" max="2054" width="17.6640625" style="1937" customWidth="1"/>
    <col min="2055" max="2060" width="0" style="1937" hidden="1" customWidth="1"/>
    <col min="2061" max="2304" width="9.109375" style="1937"/>
    <col min="2305" max="2305" width="60.6640625" style="1937" customWidth="1"/>
    <col min="2306" max="2306" width="24.33203125" style="1937" customWidth="1"/>
    <col min="2307" max="2310" width="17.6640625" style="1937" customWidth="1"/>
    <col min="2311" max="2316" width="0" style="1937" hidden="1" customWidth="1"/>
    <col min="2317" max="2560" width="9.109375" style="1937"/>
    <col min="2561" max="2561" width="60.6640625" style="1937" customWidth="1"/>
    <col min="2562" max="2562" width="24.33203125" style="1937" customWidth="1"/>
    <col min="2563" max="2566" width="17.6640625" style="1937" customWidth="1"/>
    <col min="2567" max="2572" width="0" style="1937" hidden="1" customWidth="1"/>
    <col min="2573" max="2816" width="9.109375" style="1937"/>
    <col min="2817" max="2817" width="60.6640625" style="1937" customWidth="1"/>
    <col min="2818" max="2818" width="24.33203125" style="1937" customWidth="1"/>
    <col min="2819" max="2822" width="17.6640625" style="1937" customWidth="1"/>
    <col min="2823" max="2828" width="0" style="1937" hidden="1" customWidth="1"/>
    <col min="2829" max="3072" width="9.109375" style="1937"/>
    <col min="3073" max="3073" width="60.6640625" style="1937" customWidth="1"/>
    <col min="3074" max="3074" width="24.33203125" style="1937" customWidth="1"/>
    <col min="3075" max="3078" width="17.6640625" style="1937" customWidth="1"/>
    <col min="3079" max="3084" width="0" style="1937" hidden="1" customWidth="1"/>
    <col min="3085" max="3328" width="9.109375" style="1937"/>
    <col min="3329" max="3329" width="60.6640625" style="1937" customWidth="1"/>
    <col min="3330" max="3330" width="24.33203125" style="1937" customWidth="1"/>
    <col min="3331" max="3334" width="17.6640625" style="1937" customWidth="1"/>
    <col min="3335" max="3340" width="0" style="1937" hidden="1" customWidth="1"/>
    <col min="3341" max="3584" width="9.109375" style="1937"/>
    <col min="3585" max="3585" width="60.6640625" style="1937" customWidth="1"/>
    <col min="3586" max="3586" width="24.33203125" style="1937" customWidth="1"/>
    <col min="3587" max="3590" width="17.6640625" style="1937" customWidth="1"/>
    <col min="3591" max="3596" width="0" style="1937" hidden="1" customWidth="1"/>
    <col min="3597" max="3840" width="9.109375" style="1937"/>
    <col min="3841" max="3841" width="60.6640625" style="1937" customWidth="1"/>
    <col min="3842" max="3842" width="24.33203125" style="1937" customWidth="1"/>
    <col min="3843" max="3846" width="17.6640625" style="1937" customWidth="1"/>
    <col min="3847" max="3852" width="0" style="1937" hidden="1" customWidth="1"/>
    <col min="3853" max="4096" width="9.109375" style="1937"/>
    <col min="4097" max="4097" width="60.6640625" style="1937" customWidth="1"/>
    <col min="4098" max="4098" width="24.33203125" style="1937" customWidth="1"/>
    <col min="4099" max="4102" width="17.6640625" style="1937" customWidth="1"/>
    <col min="4103" max="4108" width="0" style="1937" hidden="1" customWidth="1"/>
    <col min="4109" max="4352" width="9.109375" style="1937"/>
    <col min="4353" max="4353" width="60.6640625" style="1937" customWidth="1"/>
    <col min="4354" max="4354" width="24.33203125" style="1937" customWidth="1"/>
    <col min="4355" max="4358" width="17.6640625" style="1937" customWidth="1"/>
    <col min="4359" max="4364" width="0" style="1937" hidden="1" customWidth="1"/>
    <col min="4365" max="4608" width="9.109375" style="1937"/>
    <col min="4609" max="4609" width="60.6640625" style="1937" customWidth="1"/>
    <col min="4610" max="4610" width="24.33203125" style="1937" customWidth="1"/>
    <col min="4611" max="4614" width="17.6640625" style="1937" customWidth="1"/>
    <col min="4615" max="4620" width="0" style="1937" hidden="1" customWidth="1"/>
    <col min="4621" max="4864" width="9.109375" style="1937"/>
    <col min="4865" max="4865" width="60.6640625" style="1937" customWidth="1"/>
    <col min="4866" max="4866" width="24.33203125" style="1937" customWidth="1"/>
    <col min="4867" max="4870" width="17.6640625" style="1937" customWidth="1"/>
    <col min="4871" max="4876" width="0" style="1937" hidden="1" customWidth="1"/>
    <col min="4877" max="5120" width="9.109375" style="1937"/>
    <col min="5121" max="5121" width="60.6640625" style="1937" customWidth="1"/>
    <col min="5122" max="5122" width="24.33203125" style="1937" customWidth="1"/>
    <col min="5123" max="5126" width="17.6640625" style="1937" customWidth="1"/>
    <col min="5127" max="5132" width="0" style="1937" hidden="1" customWidth="1"/>
    <col min="5133" max="5376" width="9.109375" style="1937"/>
    <col min="5377" max="5377" width="60.6640625" style="1937" customWidth="1"/>
    <col min="5378" max="5378" width="24.33203125" style="1937" customWidth="1"/>
    <col min="5379" max="5382" width="17.6640625" style="1937" customWidth="1"/>
    <col min="5383" max="5388" width="0" style="1937" hidden="1" customWidth="1"/>
    <col min="5389" max="5632" width="9.109375" style="1937"/>
    <col min="5633" max="5633" width="60.6640625" style="1937" customWidth="1"/>
    <col min="5634" max="5634" width="24.33203125" style="1937" customWidth="1"/>
    <col min="5635" max="5638" width="17.6640625" style="1937" customWidth="1"/>
    <col min="5639" max="5644" width="0" style="1937" hidden="1" customWidth="1"/>
    <col min="5645" max="5888" width="9.109375" style="1937"/>
    <col min="5889" max="5889" width="60.6640625" style="1937" customWidth="1"/>
    <col min="5890" max="5890" width="24.33203125" style="1937" customWidth="1"/>
    <col min="5891" max="5894" width="17.6640625" style="1937" customWidth="1"/>
    <col min="5895" max="5900" width="0" style="1937" hidden="1" customWidth="1"/>
    <col min="5901" max="6144" width="9.109375" style="1937"/>
    <col min="6145" max="6145" width="60.6640625" style="1937" customWidth="1"/>
    <col min="6146" max="6146" width="24.33203125" style="1937" customWidth="1"/>
    <col min="6147" max="6150" width="17.6640625" style="1937" customWidth="1"/>
    <col min="6151" max="6156" width="0" style="1937" hidden="1" customWidth="1"/>
    <col min="6157" max="6400" width="9.109375" style="1937"/>
    <col min="6401" max="6401" width="60.6640625" style="1937" customWidth="1"/>
    <col min="6402" max="6402" width="24.33203125" style="1937" customWidth="1"/>
    <col min="6403" max="6406" width="17.6640625" style="1937" customWidth="1"/>
    <col min="6407" max="6412" width="0" style="1937" hidden="1" customWidth="1"/>
    <col min="6413" max="6656" width="9.109375" style="1937"/>
    <col min="6657" max="6657" width="60.6640625" style="1937" customWidth="1"/>
    <col min="6658" max="6658" width="24.33203125" style="1937" customWidth="1"/>
    <col min="6659" max="6662" width="17.6640625" style="1937" customWidth="1"/>
    <col min="6663" max="6668" width="0" style="1937" hidden="1" customWidth="1"/>
    <col min="6669" max="6912" width="9.109375" style="1937"/>
    <col min="6913" max="6913" width="60.6640625" style="1937" customWidth="1"/>
    <col min="6914" max="6914" width="24.33203125" style="1937" customWidth="1"/>
    <col min="6915" max="6918" width="17.6640625" style="1937" customWidth="1"/>
    <col min="6919" max="6924" width="0" style="1937" hidden="1" customWidth="1"/>
    <col min="6925" max="7168" width="9.109375" style="1937"/>
    <col min="7169" max="7169" width="60.6640625" style="1937" customWidth="1"/>
    <col min="7170" max="7170" width="24.33203125" style="1937" customWidth="1"/>
    <col min="7171" max="7174" width="17.6640625" style="1937" customWidth="1"/>
    <col min="7175" max="7180" width="0" style="1937" hidden="1" customWidth="1"/>
    <col min="7181" max="7424" width="9.109375" style="1937"/>
    <col min="7425" max="7425" width="60.6640625" style="1937" customWidth="1"/>
    <col min="7426" max="7426" width="24.33203125" style="1937" customWidth="1"/>
    <col min="7427" max="7430" width="17.6640625" style="1937" customWidth="1"/>
    <col min="7431" max="7436" width="0" style="1937" hidden="1" customWidth="1"/>
    <col min="7437" max="7680" width="9.109375" style="1937"/>
    <col min="7681" max="7681" width="60.6640625" style="1937" customWidth="1"/>
    <col min="7682" max="7682" width="24.33203125" style="1937" customWidth="1"/>
    <col min="7683" max="7686" width="17.6640625" style="1937" customWidth="1"/>
    <col min="7687" max="7692" width="0" style="1937" hidden="1" customWidth="1"/>
    <col min="7693" max="7936" width="9.109375" style="1937"/>
    <col min="7937" max="7937" width="60.6640625" style="1937" customWidth="1"/>
    <col min="7938" max="7938" width="24.33203125" style="1937" customWidth="1"/>
    <col min="7939" max="7942" width="17.6640625" style="1937" customWidth="1"/>
    <col min="7943" max="7948" width="0" style="1937" hidden="1" customWidth="1"/>
    <col min="7949" max="8192" width="9.109375" style="1937"/>
    <col min="8193" max="8193" width="60.6640625" style="1937" customWidth="1"/>
    <col min="8194" max="8194" width="24.33203125" style="1937" customWidth="1"/>
    <col min="8195" max="8198" width="17.6640625" style="1937" customWidth="1"/>
    <col min="8199" max="8204" width="0" style="1937" hidden="1" customWidth="1"/>
    <col min="8205" max="8448" width="9.109375" style="1937"/>
    <col min="8449" max="8449" width="60.6640625" style="1937" customWidth="1"/>
    <col min="8450" max="8450" width="24.33203125" style="1937" customWidth="1"/>
    <col min="8451" max="8454" width="17.6640625" style="1937" customWidth="1"/>
    <col min="8455" max="8460" width="0" style="1937" hidden="1" customWidth="1"/>
    <col min="8461" max="8704" width="9.109375" style="1937"/>
    <col min="8705" max="8705" width="60.6640625" style="1937" customWidth="1"/>
    <col min="8706" max="8706" width="24.33203125" style="1937" customWidth="1"/>
    <col min="8707" max="8710" width="17.6640625" style="1937" customWidth="1"/>
    <col min="8711" max="8716" width="0" style="1937" hidden="1" customWidth="1"/>
    <col min="8717" max="8960" width="9.109375" style="1937"/>
    <col min="8961" max="8961" width="60.6640625" style="1937" customWidth="1"/>
    <col min="8962" max="8962" width="24.33203125" style="1937" customWidth="1"/>
    <col min="8963" max="8966" width="17.6640625" style="1937" customWidth="1"/>
    <col min="8967" max="8972" width="0" style="1937" hidden="1" customWidth="1"/>
    <col min="8973" max="9216" width="9.109375" style="1937"/>
    <col min="9217" max="9217" width="60.6640625" style="1937" customWidth="1"/>
    <col min="9218" max="9218" width="24.33203125" style="1937" customWidth="1"/>
    <col min="9219" max="9222" width="17.6640625" style="1937" customWidth="1"/>
    <col min="9223" max="9228" width="0" style="1937" hidden="1" customWidth="1"/>
    <col min="9229" max="9472" width="9.109375" style="1937"/>
    <col min="9473" max="9473" width="60.6640625" style="1937" customWidth="1"/>
    <col min="9474" max="9474" width="24.33203125" style="1937" customWidth="1"/>
    <col min="9475" max="9478" width="17.6640625" style="1937" customWidth="1"/>
    <col min="9479" max="9484" width="0" style="1937" hidden="1" customWidth="1"/>
    <col min="9485" max="9728" width="9.109375" style="1937"/>
    <col min="9729" max="9729" width="60.6640625" style="1937" customWidth="1"/>
    <col min="9730" max="9730" width="24.33203125" style="1937" customWidth="1"/>
    <col min="9731" max="9734" width="17.6640625" style="1937" customWidth="1"/>
    <col min="9735" max="9740" width="0" style="1937" hidden="1" customWidth="1"/>
    <col min="9741" max="9984" width="9.109375" style="1937"/>
    <col min="9985" max="9985" width="60.6640625" style="1937" customWidth="1"/>
    <col min="9986" max="9986" width="24.33203125" style="1937" customWidth="1"/>
    <col min="9987" max="9990" width="17.6640625" style="1937" customWidth="1"/>
    <col min="9991" max="9996" width="0" style="1937" hidden="1" customWidth="1"/>
    <col min="9997" max="10240" width="9.109375" style="1937"/>
    <col min="10241" max="10241" width="60.6640625" style="1937" customWidth="1"/>
    <col min="10242" max="10242" width="24.33203125" style="1937" customWidth="1"/>
    <col min="10243" max="10246" width="17.6640625" style="1937" customWidth="1"/>
    <col min="10247" max="10252" width="0" style="1937" hidden="1" customWidth="1"/>
    <col min="10253" max="10496" width="9.109375" style="1937"/>
    <col min="10497" max="10497" width="60.6640625" style="1937" customWidth="1"/>
    <col min="10498" max="10498" width="24.33203125" style="1937" customWidth="1"/>
    <col min="10499" max="10502" width="17.6640625" style="1937" customWidth="1"/>
    <col min="10503" max="10508" width="0" style="1937" hidden="1" customWidth="1"/>
    <col min="10509" max="10752" width="9.109375" style="1937"/>
    <col min="10753" max="10753" width="60.6640625" style="1937" customWidth="1"/>
    <col min="10754" max="10754" width="24.33203125" style="1937" customWidth="1"/>
    <col min="10755" max="10758" width="17.6640625" style="1937" customWidth="1"/>
    <col min="10759" max="10764" width="0" style="1937" hidden="1" customWidth="1"/>
    <col min="10765" max="11008" width="9.109375" style="1937"/>
    <col min="11009" max="11009" width="60.6640625" style="1937" customWidth="1"/>
    <col min="11010" max="11010" width="24.33203125" style="1937" customWidth="1"/>
    <col min="11011" max="11014" width="17.6640625" style="1937" customWidth="1"/>
    <col min="11015" max="11020" width="0" style="1937" hidden="1" customWidth="1"/>
    <col min="11021" max="11264" width="9.109375" style="1937"/>
    <col min="11265" max="11265" width="60.6640625" style="1937" customWidth="1"/>
    <col min="11266" max="11266" width="24.33203125" style="1937" customWidth="1"/>
    <col min="11267" max="11270" width="17.6640625" style="1937" customWidth="1"/>
    <col min="11271" max="11276" width="0" style="1937" hidden="1" customWidth="1"/>
    <col min="11277" max="11520" width="9.109375" style="1937"/>
    <col min="11521" max="11521" width="60.6640625" style="1937" customWidth="1"/>
    <col min="11522" max="11522" width="24.33203125" style="1937" customWidth="1"/>
    <col min="11523" max="11526" width="17.6640625" style="1937" customWidth="1"/>
    <col min="11527" max="11532" width="0" style="1937" hidden="1" customWidth="1"/>
    <col min="11533" max="11776" width="9.109375" style="1937"/>
    <col min="11777" max="11777" width="60.6640625" style="1937" customWidth="1"/>
    <col min="11778" max="11778" width="24.33203125" style="1937" customWidth="1"/>
    <col min="11779" max="11782" width="17.6640625" style="1937" customWidth="1"/>
    <col min="11783" max="11788" width="0" style="1937" hidden="1" customWidth="1"/>
    <col min="11789" max="12032" width="9.109375" style="1937"/>
    <col min="12033" max="12033" width="60.6640625" style="1937" customWidth="1"/>
    <col min="12034" max="12034" width="24.33203125" style="1937" customWidth="1"/>
    <col min="12035" max="12038" width="17.6640625" style="1937" customWidth="1"/>
    <col min="12039" max="12044" width="0" style="1937" hidden="1" customWidth="1"/>
    <col min="12045" max="12288" width="9.109375" style="1937"/>
    <col min="12289" max="12289" width="60.6640625" style="1937" customWidth="1"/>
    <col min="12290" max="12290" width="24.33203125" style="1937" customWidth="1"/>
    <col min="12291" max="12294" width="17.6640625" style="1937" customWidth="1"/>
    <col min="12295" max="12300" width="0" style="1937" hidden="1" customWidth="1"/>
    <col min="12301" max="12544" width="9.109375" style="1937"/>
    <col min="12545" max="12545" width="60.6640625" style="1937" customWidth="1"/>
    <col min="12546" max="12546" width="24.33203125" style="1937" customWidth="1"/>
    <col min="12547" max="12550" width="17.6640625" style="1937" customWidth="1"/>
    <col min="12551" max="12556" width="0" style="1937" hidden="1" customWidth="1"/>
    <col min="12557" max="12800" width="9.109375" style="1937"/>
    <col min="12801" max="12801" width="60.6640625" style="1937" customWidth="1"/>
    <col min="12802" max="12802" width="24.33203125" style="1937" customWidth="1"/>
    <col min="12803" max="12806" width="17.6640625" style="1937" customWidth="1"/>
    <col min="12807" max="12812" width="0" style="1937" hidden="1" customWidth="1"/>
    <col min="12813" max="13056" width="9.109375" style="1937"/>
    <col min="13057" max="13057" width="60.6640625" style="1937" customWidth="1"/>
    <col min="13058" max="13058" width="24.33203125" style="1937" customWidth="1"/>
    <col min="13059" max="13062" width="17.6640625" style="1937" customWidth="1"/>
    <col min="13063" max="13068" width="0" style="1937" hidden="1" customWidth="1"/>
    <col min="13069" max="13312" width="9.109375" style="1937"/>
    <col min="13313" max="13313" width="60.6640625" style="1937" customWidth="1"/>
    <col min="13314" max="13314" width="24.33203125" style="1937" customWidth="1"/>
    <col min="13315" max="13318" width="17.6640625" style="1937" customWidth="1"/>
    <col min="13319" max="13324" width="0" style="1937" hidden="1" customWidth="1"/>
    <col min="13325" max="13568" width="9.109375" style="1937"/>
    <col min="13569" max="13569" width="60.6640625" style="1937" customWidth="1"/>
    <col min="13570" max="13570" width="24.33203125" style="1937" customWidth="1"/>
    <col min="13571" max="13574" width="17.6640625" style="1937" customWidth="1"/>
    <col min="13575" max="13580" width="0" style="1937" hidden="1" customWidth="1"/>
    <col min="13581" max="13824" width="9.109375" style="1937"/>
    <col min="13825" max="13825" width="60.6640625" style="1937" customWidth="1"/>
    <col min="13826" max="13826" width="24.33203125" style="1937" customWidth="1"/>
    <col min="13827" max="13830" width="17.6640625" style="1937" customWidth="1"/>
    <col min="13831" max="13836" width="0" style="1937" hidden="1" customWidth="1"/>
    <col min="13837" max="14080" width="9.109375" style="1937"/>
    <col min="14081" max="14081" width="60.6640625" style="1937" customWidth="1"/>
    <col min="14082" max="14082" width="24.33203125" style="1937" customWidth="1"/>
    <col min="14083" max="14086" width="17.6640625" style="1937" customWidth="1"/>
    <col min="14087" max="14092" width="0" style="1937" hidden="1" customWidth="1"/>
    <col min="14093" max="14336" width="9.109375" style="1937"/>
    <col min="14337" max="14337" width="60.6640625" style="1937" customWidth="1"/>
    <col min="14338" max="14338" width="24.33203125" style="1937" customWidth="1"/>
    <col min="14339" max="14342" width="17.6640625" style="1937" customWidth="1"/>
    <col min="14343" max="14348" width="0" style="1937" hidden="1" customWidth="1"/>
    <col min="14349" max="14592" width="9.109375" style="1937"/>
    <col min="14593" max="14593" width="60.6640625" style="1937" customWidth="1"/>
    <col min="14594" max="14594" width="24.33203125" style="1937" customWidth="1"/>
    <col min="14595" max="14598" width="17.6640625" style="1937" customWidth="1"/>
    <col min="14599" max="14604" width="0" style="1937" hidden="1" customWidth="1"/>
    <col min="14605" max="14848" width="9.109375" style="1937"/>
    <col min="14849" max="14849" width="60.6640625" style="1937" customWidth="1"/>
    <col min="14850" max="14850" width="24.33203125" style="1937" customWidth="1"/>
    <col min="14851" max="14854" width="17.6640625" style="1937" customWidth="1"/>
    <col min="14855" max="14860" width="0" style="1937" hidden="1" customWidth="1"/>
    <col min="14861" max="15104" width="9.109375" style="1937"/>
    <col min="15105" max="15105" width="60.6640625" style="1937" customWidth="1"/>
    <col min="15106" max="15106" width="24.33203125" style="1937" customWidth="1"/>
    <col min="15107" max="15110" width="17.6640625" style="1937" customWidth="1"/>
    <col min="15111" max="15116" width="0" style="1937" hidden="1" customWidth="1"/>
    <col min="15117" max="15360" width="9.109375" style="1937"/>
    <col min="15361" max="15361" width="60.6640625" style="1937" customWidth="1"/>
    <col min="15362" max="15362" width="24.33203125" style="1937" customWidth="1"/>
    <col min="15363" max="15366" width="17.6640625" style="1937" customWidth="1"/>
    <col min="15367" max="15372" width="0" style="1937" hidden="1" customWidth="1"/>
    <col min="15373" max="15616" width="9.109375" style="1937"/>
    <col min="15617" max="15617" width="60.6640625" style="1937" customWidth="1"/>
    <col min="15618" max="15618" width="24.33203125" style="1937" customWidth="1"/>
    <col min="15619" max="15622" width="17.6640625" style="1937" customWidth="1"/>
    <col min="15623" max="15628" width="0" style="1937" hidden="1" customWidth="1"/>
    <col min="15629" max="15872" width="9.109375" style="1937"/>
    <col min="15873" max="15873" width="60.6640625" style="1937" customWidth="1"/>
    <col min="15874" max="15874" width="24.33203125" style="1937" customWidth="1"/>
    <col min="15875" max="15878" width="17.6640625" style="1937" customWidth="1"/>
    <col min="15879" max="15884" width="0" style="1937" hidden="1" customWidth="1"/>
    <col min="15885" max="16128" width="9.109375" style="1937"/>
    <col min="16129" max="16129" width="60.6640625" style="1937" customWidth="1"/>
    <col min="16130" max="16130" width="24.33203125" style="1937" customWidth="1"/>
    <col min="16131" max="16134" width="17.6640625" style="1937" customWidth="1"/>
    <col min="16135" max="16140" width="0" style="1937" hidden="1" customWidth="1"/>
    <col min="16141" max="16384" width="9.109375" style="1937"/>
  </cols>
  <sheetData>
    <row r="1" spans="1:11" ht="23.25" customHeight="1">
      <c r="A1" s="4357" t="s">
        <v>2490</v>
      </c>
      <c r="B1" s="4357"/>
      <c r="C1" s="4357"/>
      <c r="D1" s="4357"/>
      <c r="E1" s="4357"/>
      <c r="F1" s="4357"/>
      <c r="G1" s="1936"/>
    </row>
    <row r="2" spans="1:11" ht="24" customHeight="1">
      <c r="A2" s="4358" t="s">
        <v>2491</v>
      </c>
      <c r="B2" s="4358"/>
      <c r="C2" s="4358"/>
      <c r="D2" s="4358"/>
      <c r="E2" s="4358"/>
      <c r="F2" s="4358"/>
      <c r="G2" s="1936"/>
    </row>
    <row r="3" spans="1:11" ht="16.5" customHeight="1">
      <c r="A3" s="4359" t="s">
        <v>971</v>
      </c>
      <c r="B3" s="4359"/>
      <c r="C3" s="4359"/>
      <c r="D3" s="4359"/>
      <c r="E3" s="4359"/>
      <c r="F3" s="4359"/>
      <c r="G3" s="1936"/>
    </row>
    <row r="4" spans="1:11" ht="9.75" customHeight="1" thickBot="1">
      <c r="A4" s="1938"/>
      <c r="B4" s="1938"/>
      <c r="C4" s="1938"/>
      <c r="D4" s="1938"/>
      <c r="E4" s="1938"/>
      <c r="F4" s="1938"/>
      <c r="G4" s="1936"/>
    </row>
    <row r="5" spans="1:11" ht="24" customHeight="1" thickBot="1">
      <c r="A5" s="4360" t="s">
        <v>972</v>
      </c>
      <c r="B5" s="4361" t="s">
        <v>679</v>
      </c>
      <c r="C5" s="4362" t="s">
        <v>974</v>
      </c>
      <c r="D5" s="4362"/>
      <c r="E5" s="4362"/>
      <c r="F5" s="4362"/>
      <c r="G5" s="1939"/>
    </row>
    <row r="6" spans="1:11" ht="33.75" customHeight="1" thickBot="1">
      <c r="A6" s="4360"/>
      <c r="B6" s="4361"/>
      <c r="C6" s="1940" t="s">
        <v>697</v>
      </c>
      <c r="D6" s="1940" t="s">
        <v>548</v>
      </c>
      <c r="E6" s="1940" t="s">
        <v>549</v>
      </c>
      <c r="F6" s="1941" t="s">
        <v>681</v>
      </c>
      <c r="G6" s="1939"/>
    </row>
    <row r="7" spans="1:11" ht="23.25" customHeight="1">
      <c r="A7" s="4342" t="s">
        <v>2091</v>
      </c>
      <c r="B7" s="4342"/>
      <c r="C7" s="4342"/>
      <c r="D7" s="4342"/>
      <c r="E7" s="4342"/>
      <c r="F7" s="4342"/>
      <c r="G7" s="1942"/>
      <c r="H7" s="1943"/>
    </row>
    <row r="8" spans="1:11" ht="16.5" customHeight="1" thickBot="1">
      <c r="A8" s="4343" t="s">
        <v>980</v>
      </c>
      <c r="B8" s="4343"/>
      <c r="C8" s="4343"/>
      <c r="D8" s="4343"/>
      <c r="E8" s="4343"/>
      <c r="F8" s="4343"/>
      <c r="G8" s="1942"/>
      <c r="H8" s="1943"/>
      <c r="J8" s="1937" t="s">
        <v>2092</v>
      </c>
    </row>
    <row r="9" spans="1:11" ht="24.75" customHeight="1">
      <c r="A9" s="1944" t="s">
        <v>1496</v>
      </c>
      <c r="B9" s="1945">
        <f>SUM(C9:F9)</f>
        <v>4624</v>
      </c>
      <c r="C9" s="1946">
        <f>C20+C13</f>
        <v>1450</v>
      </c>
      <c r="D9" s="1947"/>
      <c r="E9" s="1946">
        <f>E20+E13</f>
        <v>2990</v>
      </c>
      <c r="F9" s="1948">
        <f>F20+F13</f>
        <v>184</v>
      </c>
      <c r="G9" s="1942"/>
      <c r="H9" s="1943"/>
      <c r="J9" s="1949">
        <v>3507.2</v>
      </c>
    </row>
    <row r="10" spans="1:11" ht="24.75" customHeight="1" thickBot="1">
      <c r="A10" s="1950" t="s">
        <v>977</v>
      </c>
      <c r="B10" s="2639">
        <f>SUM(C10:F10)</f>
        <v>1.8169</v>
      </c>
      <c r="C10" s="2640">
        <f>C14+C21</f>
        <v>0.39600000000000002</v>
      </c>
      <c r="D10" s="2641"/>
      <c r="E10" s="2640">
        <f>E14+E21</f>
        <v>1.3636999999999999</v>
      </c>
      <c r="F10" s="2642">
        <f>F14+F21</f>
        <v>5.7200000000000001E-2</v>
      </c>
      <c r="G10" s="1942"/>
      <c r="H10" s="1943"/>
    </row>
    <row r="11" spans="1:11" ht="20.25" customHeight="1">
      <c r="A11" s="4344" t="s">
        <v>1497</v>
      </c>
      <c r="B11" s="4345"/>
      <c r="C11" s="4345"/>
      <c r="D11" s="4345"/>
      <c r="E11" s="4345"/>
      <c r="F11" s="4346"/>
      <c r="G11" s="1942"/>
      <c r="H11" s="1943"/>
    </row>
    <row r="12" spans="1:11" ht="18.75" customHeight="1" thickBot="1">
      <c r="A12" s="4347" t="s">
        <v>2093</v>
      </c>
      <c r="B12" s="4348"/>
      <c r="C12" s="4348"/>
      <c r="D12" s="4348"/>
      <c r="E12" s="4348"/>
      <c r="F12" s="4349"/>
      <c r="G12" s="1942"/>
      <c r="H12" s="1943"/>
      <c r="J12" s="1949" t="s">
        <v>2094</v>
      </c>
    </row>
    <row r="13" spans="1:11" ht="25.5" customHeight="1">
      <c r="A13" s="1952" t="s">
        <v>1496</v>
      </c>
      <c r="B13" s="1953">
        <f>SUM(C13:F13)</f>
        <v>4277.5</v>
      </c>
      <c r="C13" s="2580">
        <f>2900/2</f>
        <v>1450</v>
      </c>
      <c r="D13" s="2147"/>
      <c r="E13" s="2580">
        <f>5600/2</f>
        <v>2800</v>
      </c>
      <c r="F13" s="2581">
        <f>55/2</f>
        <v>27.5</v>
      </c>
      <c r="G13" s="1956"/>
      <c r="H13" s="1943"/>
      <c r="J13" s="1949">
        <v>1583.49</v>
      </c>
    </row>
    <row r="14" spans="1:11" ht="25.5" customHeight="1" thickBot="1">
      <c r="A14" s="1957" t="s">
        <v>977</v>
      </c>
      <c r="B14" s="2639">
        <f>SUM(C14:F14)</f>
        <v>1.7101999999999999</v>
      </c>
      <c r="C14" s="2643">
        <v>0.39600000000000002</v>
      </c>
      <c r="D14" s="2644"/>
      <c r="E14" s="2643">
        <v>1.3051999999999999</v>
      </c>
      <c r="F14" s="2645">
        <f>0.009</f>
        <v>8.9999999999999993E-3</v>
      </c>
      <c r="G14" s="1960">
        <f>F13/F14</f>
        <v>3055.5555555555557</v>
      </c>
      <c r="H14" s="1943"/>
      <c r="J14" s="1961">
        <v>0.44500000000000001</v>
      </c>
      <c r="K14" s="1962">
        <f>J13/J14</f>
        <v>3558.4044943820222</v>
      </c>
    </row>
    <row r="15" spans="1:11" ht="20.25" customHeight="1">
      <c r="A15" s="4350" t="s">
        <v>1497</v>
      </c>
      <c r="B15" s="4351"/>
      <c r="C15" s="4351"/>
      <c r="D15" s="4351"/>
      <c r="E15" s="4351"/>
      <c r="F15" s="4352"/>
      <c r="G15" s="1942"/>
      <c r="H15" s="1943"/>
    </row>
    <row r="16" spans="1:11" ht="24" customHeight="1" thickBot="1">
      <c r="A16" s="4353" t="s">
        <v>2095</v>
      </c>
      <c r="B16" s="4353"/>
      <c r="C16" s="4353"/>
      <c r="D16" s="4353"/>
      <c r="E16" s="4353"/>
      <c r="F16" s="4353"/>
      <c r="G16" s="1942"/>
      <c r="H16" s="1943"/>
      <c r="J16" s="1949" t="s">
        <v>2094</v>
      </c>
    </row>
    <row r="17" spans="1:11" ht="24" customHeight="1">
      <c r="A17" s="1952" t="s">
        <v>1496</v>
      </c>
      <c r="B17" s="1963"/>
      <c r="C17" s="1964"/>
      <c r="D17" s="1964"/>
      <c r="E17" s="1965"/>
      <c r="F17" s="1966"/>
      <c r="G17" s="1956"/>
      <c r="H17" s="1943"/>
      <c r="J17" s="1949">
        <v>1583.49</v>
      </c>
    </row>
    <row r="18" spans="1:11" ht="24" customHeight="1" thickBot="1">
      <c r="A18" s="1957" t="s">
        <v>977</v>
      </c>
      <c r="B18" s="1967"/>
      <c r="C18" s="1968"/>
      <c r="D18" s="1968"/>
      <c r="E18" s="1969"/>
      <c r="F18" s="1970"/>
      <c r="G18" s="1960" t="e">
        <f>F17/F18</f>
        <v>#DIV/0!</v>
      </c>
      <c r="H18" s="1943"/>
      <c r="J18" s="1961">
        <v>0.44500000000000001</v>
      </c>
      <c r="K18" s="1962">
        <f>J17/J18</f>
        <v>3558.4044943820222</v>
      </c>
    </row>
    <row r="19" spans="1:11" ht="22.5" customHeight="1" thickBot="1">
      <c r="A19" s="4343" t="s">
        <v>2096</v>
      </c>
      <c r="B19" s="4343"/>
      <c r="C19" s="4343"/>
      <c r="D19" s="4343"/>
      <c r="E19" s="4343"/>
      <c r="F19" s="4343"/>
      <c r="G19" s="1971">
        <f>F24+F40</f>
        <v>139.52500000000001</v>
      </c>
      <c r="H19" s="1972" t="s">
        <v>2097</v>
      </c>
      <c r="I19" s="1949"/>
      <c r="J19" s="1949">
        <f>J20+J40</f>
        <v>1183.21</v>
      </c>
    </row>
    <row r="20" spans="1:11" ht="22.5" customHeight="1">
      <c r="A20" s="1944" t="s">
        <v>1496</v>
      </c>
      <c r="B20" s="1953">
        <f>SUM(C20:F20)</f>
        <v>346.5</v>
      </c>
      <c r="C20" s="1953"/>
      <c r="D20" s="1953"/>
      <c r="E20" s="1953">
        <f>E24+E27</f>
        <v>190</v>
      </c>
      <c r="F20" s="1973">
        <f>F24+F27</f>
        <v>156.5</v>
      </c>
      <c r="G20" s="1943"/>
      <c r="H20" s="1943"/>
      <c r="J20" s="1937">
        <v>1183.21</v>
      </c>
    </row>
    <row r="21" spans="1:11" ht="22.5" customHeight="1" thickBot="1">
      <c r="A21" s="1957" t="s">
        <v>977</v>
      </c>
      <c r="B21" s="2639">
        <f>SUM(C21:F21)</f>
        <v>0.1067</v>
      </c>
      <c r="C21" s="2639"/>
      <c r="D21" s="2639"/>
      <c r="E21" s="2639">
        <f>E25+E28</f>
        <v>5.8500000000000003E-2</v>
      </c>
      <c r="F21" s="2646">
        <f>F25+F28</f>
        <v>4.82E-2</v>
      </c>
      <c r="G21" s="1960">
        <f>F20/F21</f>
        <v>3246.8879668049794</v>
      </c>
      <c r="H21" s="1943"/>
      <c r="J21" s="1937">
        <v>0.34200000000000003</v>
      </c>
      <c r="K21" s="1962">
        <f>J20/J21</f>
        <v>3459.6783625730991</v>
      </c>
    </row>
    <row r="22" spans="1:11" ht="20.25" customHeight="1">
      <c r="A22" s="4340" t="s">
        <v>1497</v>
      </c>
      <c r="B22" s="4340"/>
      <c r="C22" s="4340"/>
      <c r="D22" s="4340"/>
      <c r="E22" s="4340"/>
      <c r="F22" s="4340"/>
      <c r="G22" s="1943"/>
      <c r="H22" s="1943"/>
    </row>
    <row r="23" spans="1:11" ht="21.75" customHeight="1" thickBot="1">
      <c r="A23" s="4337" t="s">
        <v>2098</v>
      </c>
      <c r="B23" s="4337"/>
      <c r="C23" s="4337"/>
      <c r="D23" s="4337"/>
      <c r="E23" s="4337"/>
      <c r="F23" s="4337"/>
      <c r="G23" s="1943"/>
      <c r="H23" s="1943"/>
    </row>
    <row r="24" spans="1:11" ht="22.5" customHeight="1">
      <c r="A24" s="1944" t="s">
        <v>1496</v>
      </c>
      <c r="B24" s="1953">
        <f>SUM(C24:F24)</f>
        <v>294.52499999999998</v>
      </c>
      <c r="C24" s="1953"/>
      <c r="D24" s="1953"/>
      <c r="E24" s="1953">
        <f>E34+E44+E54</f>
        <v>161.5</v>
      </c>
      <c r="F24" s="1973">
        <f>F34+F44+F54</f>
        <v>133.02500000000001</v>
      </c>
      <c r="G24" s="1943"/>
      <c r="H24" s="1943"/>
    </row>
    <row r="25" spans="1:11" ht="22.5" customHeight="1" thickBot="1">
      <c r="A25" s="1957" t="s">
        <v>977</v>
      </c>
      <c r="B25" s="2639">
        <f>SUM(C25:F25)</f>
        <v>9.0700000000000003E-2</v>
      </c>
      <c r="C25" s="2639"/>
      <c r="D25" s="2639"/>
      <c r="E25" s="2639">
        <f>E35+E45+E55</f>
        <v>4.9700000000000001E-2</v>
      </c>
      <c r="F25" s="2646">
        <f>F35+F45+F55</f>
        <v>4.1000000000000002E-2</v>
      </c>
      <c r="G25" s="1943"/>
      <c r="H25" s="1943"/>
    </row>
    <row r="26" spans="1:11" ht="24.75" customHeight="1" thickBot="1">
      <c r="A26" s="4338" t="s">
        <v>2099</v>
      </c>
      <c r="B26" s="4338"/>
      <c r="C26" s="4338"/>
      <c r="D26" s="4338"/>
      <c r="E26" s="4338"/>
      <c r="F26" s="4338"/>
      <c r="G26" s="1943"/>
      <c r="H26" s="1943"/>
    </row>
    <row r="27" spans="1:11" ht="24.75" customHeight="1">
      <c r="A27" s="1944" t="s">
        <v>1496</v>
      </c>
      <c r="B27" s="1945">
        <f>SUM(C27:F27)</f>
        <v>51.975000000000001</v>
      </c>
      <c r="C27" s="1975"/>
      <c r="D27" s="1975"/>
      <c r="E27" s="1945">
        <f>E37+E47+E57</f>
        <v>28.5</v>
      </c>
      <c r="F27" s="1973">
        <f>F37+F47+F57</f>
        <v>23.475000000000001</v>
      </c>
      <c r="G27" s="1943"/>
      <c r="H27" s="1943"/>
    </row>
    <row r="28" spans="1:11" ht="24.75" customHeight="1" thickBot="1">
      <c r="A28" s="1957" t="s">
        <v>977</v>
      </c>
      <c r="B28" s="2639">
        <f>SUM(C28:F28)</f>
        <v>1.6E-2</v>
      </c>
      <c r="C28" s="2647"/>
      <c r="D28" s="2647"/>
      <c r="E28" s="2639">
        <f>E38+E48+E58</f>
        <v>8.8000000000000005E-3</v>
      </c>
      <c r="F28" s="2646">
        <f>F38+F48+F58</f>
        <v>7.1999999999999998E-3</v>
      </c>
      <c r="G28" s="1943"/>
      <c r="H28" s="1943"/>
    </row>
    <row r="29" spans="1:11" ht="39.75" customHeight="1" thickBot="1">
      <c r="A29" s="4354" t="s">
        <v>2100</v>
      </c>
      <c r="B29" s="4355"/>
      <c r="C29" s="4355"/>
      <c r="D29" s="4355"/>
      <c r="E29" s="4355"/>
      <c r="F29" s="4356"/>
      <c r="G29" s="1971">
        <f>F34+F50</f>
        <v>150</v>
      </c>
      <c r="H29" s="1972" t="s">
        <v>2097</v>
      </c>
      <c r="I29" s="1949"/>
      <c r="J29" s="1949">
        <f>J30+J50</f>
        <v>1923.71</v>
      </c>
    </row>
    <row r="30" spans="1:11" ht="25.5" customHeight="1">
      <c r="A30" s="1944" t="s">
        <v>1496</v>
      </c>
      <c r="B30" s="1979"/>
      <c r="C30" s="1975"/>
      <c r="D30" s="1975"/>
      <c r="E30" s="1992"/>
      <c r="F30" s="1993"/>
      <c r="G30" s="1943"/>
      <c r="H30" s="1943"/>
      <c r="J30" s="1937">
        <v>1183.21</v>
      </c>
    </row>
    <row r="31" spans="1:11" ht="25.5" customHeight="1" thickBot="1">
      <c r="A31" s="1957" t="s">
        <v>977</v>
      </c>
      <c r="B31" s="1980"/>
      <c r="C31" s="1968"/>
      <c r="D31" s="1968"/>
      <c r="E31" s="1994"/>
      <c r="F31" s="1995"/>
      <c r="G31" s="1960" t="e">
        <f>F30/F31</f>
        <v>#DIV/0!</v>
      </c>
      <c r="H31" s="1943"/>
      <c r="J31" s="1937">
        <v>0.34200000000000003</v>
      </c>
      <c r="K31" s="1962">
        <f>J30/J31</f>
        <v>3459.6783625730991</v>
      </c>
    </row>
    <row r="32" spans="1:11" ht="19.5" customHeight="1">
      <c r="A32" s="4340" t="s">
        <v>1497</v>
      </c>
      <c r="B32" s="4340"/>
      <c r="C32" s="4340"/>
      <c r="D32" s="4340"/>
      <c r="E32" s="4340"/>
      <c r="F32" s="4340"/>
      <c r="G32" s="1943"/>
      <c r="H32" s="1943"/>
    </row>
    <row r="33" spans="1:8" ht="25.5" customHeight="1" thickBot="1">
      <c r="A33" s="4337" t="s">
        <v>2101</v>
      </c>
      <c r="B33" s="4337"/>
      <c r="C33" s="4337"/>
      <c r="D33" s="4337"/>
      <c r="E33" s="4337"/>
      <c r="F33" s="4337"/>
      <c r="G33" s="1943"/>
      <c r="H33" s="1943"/>
    </row>
    <row r="34" spans="1:8" ht="22.5" customHeight="1">
      <c r="A34" s="1944" t="s">
        <v>1496</v>
      </c>
      <c r="B34" s="1979"/>
      <c r="C34" s="1975"/>
      <c r="D34" s="1975"/>
      <c r="E34" s="1976"/>
      <c r="F34" s="1977"/>
      <c r="G34" s="1943"/>
      <c r="H34" s="1943"/>
    </row>
    <row r="35" spans="1:8" ht="22.5" customHeight="1" thickBot="1">
      <c r="A35" s="1957" t="s">
        <v>977</v>
      </c>
      <c r="B35" s="1980"/>
      <c r="C35" s="1968"/>
      <c r="D35" s="1968"/>
      <c r="E35" s="1969"/>
      <c r="F35" s="1981"/>
      <c r="G35" s="1943"/>
      <c r="H35" s="1943"/>
    </row>
    <row r="36" spans="1:8" ht="22.5" customHeight="1" thickBot="1">
      <c r="A36" s="4338" t="s">
        <v>2102</v>
      </c>
      <c r="B36" s="4338"/>
      <c r="C36" s="4338"/>
      <c r="D36" s="4338"/>
      <c r="E36" s="4338"/>
      <c r="F36" s="4338"/>
      <c r="G36" s="1943"/>
      <c r="H36" s="1943"/>
    </row>
    <row r="37" spans="1:8" ht="22.5" customHeight="1">
      <c r="A37" s="1944" t="s">
        <v>1496</v>
      </c>
      <c r="B37" s="1979"/>
      <c r="C37" s="1975"/>
      <c r="D37" s="1975"/>
      <c r="E37" s="1976"/>
      <c r="F37" s="1982"/>
      <c r="G37" s="1943"/>
      <c r="H37" s="1943"/>
    </row>
    <row r="38" spans="1:8" ht="22.5" customHeight="1" thickBot="1">
      <c r="A38" s="1957" t="s">
        <v>977</v>
      </c>
      <c r="B38" s="1980"/>
      <c r="C38" s="1968"/>
      <c r="D38" s="1968"/>
      <c r="E38" s="1969"/>
      <c r="F38" s="1981"/>
      <c r="G38" s="1943"/>
      <c r="H38" s="1943"/>
    </row>
    <row r="39" spans="1:8" ht="27" customHeight="1" thickBot="1">
      <c r="A39" s="4339" t="s">
        <v>2103</v>
      </c>
      <c r="B39" s="4339"/>
      <c r="C39" s="4339"/>
      <c r="D39" s="4339"/>
      <c r="E39" s="4339"/>
      <c r="F39" s="4339"/>
      <c r="G39" s="1943"/>
      <c r="H39" s="1943"/>
    </row>
    <row r="40" spans="1:8" ht="27" customHeight="1">
      <c r="A40" s="1944" t="s">
        <v>1496</v>
      </c>
      <c r="B40" s="1990">
        <f>SUM(C40:F40)</f>
        <v>6.5</v>
      </c>
      <c r="C40" s="1984"/>
      <c r="D40" s="1984"/>
      <c r="E40" s="1992"/>
      <c r="F40" s="2358">
        <f>F44+F47</f>
        <v>6.5</v>
      </c>
      <c r="G40" s="1943"/>
      <c r="H40" s="1943"/>
    </row>
    <row r="41" spans="1:8" ht="27" customHeight="1" thickBot="1">
      <c r="A41" s="1957" t="s">
        <v>977</v>
      </c>
      <c r="B41" s="2648">
        <f>SUM(C41:F41)</f>
        <v>2E-3</v>
      </c>
      <c r="C41" s="2649"/>
      <c r="D41" s="2649"/>
      <c r="E41" s="2650"/>
      <c r="F41" s="1981">
        <f>F45+F48</f>
        <v>2E-3</v>
      </c>
      <c r="G41" s="1943"/>
      <c r="H41" s="1943"/>
    </row>
    <row r="42" spans="1:8" ht="20.25" customHeight="1">
      <c r="A42" s="4340" t="s">
        <v>1497</v>
      </c>
      <c r="B42" s="4340"/>
      <c r="C42" s="4340"/>
      <c r="D42" s="4340"/>
      <c r="E42" s="4340"/>
      <c r="F42" s="4340"/>
      <c r="G42" s="1943"/>
      <c r="H42" s="1943"/>
    </row>
    <row r="43" spans="1:8" ht="20.25" customHeight="1" thickBot="1">
      <c r="A43" s="4337" t="s">
        <v>2104</v>
      </c>
      <c r="B43" s="4337"/>
      <c r="C43" s="4337"/>
      <c r="D43" s="4337"/>
      <c r="E43" s="4337"/>
      <c r="F43" s="4337"/>
      <c r="G43" s="1943"/>
      <c r="H43" s="1943"/>
    </row>
    <row r="44" spans="1:8" ht="21.75" customHeight="1">
      <c r="A44" s="1944" t="s">
        <v>1496</v>
      </c>
      <c r="B44" s="1990">
        <f>SUM(C44:F44)</f>
        <v>5.5250000000000004</v>
      </c>
      <c r="C44" s="1984"/>
      <c r="D44" s="1984"/>
      <c r="E44" s="1992"/>
      <c r="F44" s="2651">
        <f>11.05/2</f>
        <v>5.5250000000000004</v>
      </c>
      <c r="G44" s="1943"/>
      <c r="H44" s="1943"/>
    </row>
    <row r="45" spans="1:8" ht="21.75" customHeight="1" thickBot="1">
      <c r="A45" s="1957" t="s">
        <v>977</v>
      </c>
      <c r="B45" s="2648">
        <f>SUM(C45:F45)</f>
        <v>1.6999999999999999E-3</v>
      </c>
      <c r="C45" s="2649"/>
      <c r="D45" s="2649"/>
      <c r="E45" s="2650"/>
      <c r="F45" s="2652">
        <v>1.6999999999999999E-3</v>
      </c>
      <c r="G45" s="1943"/>
      <c r="H45" s="1943"/>
    </row>
    <row r="46" spans="1:8" ht="25.5" customHeight="1" thickBot="1">
      <c r="A46" s="4338" t="s">
        <v>2105</v>
      </c>
      <c r="B46" s="4338"/>
      <c r="C46" s="4338"/>
      <c r="D46" s="4338"/>
      <c r="E46" s="4338"/>
      <c r="F46" s="4338"/>
      <c r="G46" s="1943"/>
      <c r="H46" s="1943"/>
    </row>
    <row r="47" spans="1:8" ht="22.5" customHeight="1">
      <c r="A47" s="1944" t="s">
        <v>1496</v>
      </c>
      <c r="B47" s="1990">
        <f>SUM(C47:F47)</f>
        <v>0.97499999999999998</v>
      </c>
      <c r="C47" s="1984"/>
      <c r="D47" s="1984"/>
      <c r="E47" s="1992"/>
      <c r="F47" s="2651">
        <f>1.95/2</f>
        <v>0.97499999999999998</v>
      </c>
      <c r="G47" s="1943"/>
      <c r="H47" s="1943"/>
    </row>
    <row r="48" spans="1:8" ht="22.5" customHeight="1" thickBot="1">
      <c r="A48" s="1957" t="s">
        <v>977</v>
      </c>
      <c r="B48" s="2648">
        <f>SUM(C48:F48)</f>
        <v>2.9999999999999997E-4</v>
      </c>
      <c r="C48" s="2649"/>
      <c r="D48" s="2649"/>
      <c r="E48" s="2650"/>
      <c r="F48" s="2652">
        <v>2.9999999999999997E-4</v>
      </c>
      <c r="G48" s="1943"/>
      <c r="H48" s="1943"/>
    </row>
    <row r="49" spans="1:14" ht="21" customHeight="1" thickBot="1">
      <c r="A49" s="4339" t="s">
        <v>2106</v>
      </c>
      <c r="B49" s="4339"/>
      <c r="C49" s="4339"/>
      <c r="D49" s="4339"/>
      <c r="E49" s="4339"/>
      <c r="F49" s="4339"/>
      <c r="G49" s="1943"/>
      <c r="H49" s="1943"/>
      <c r="N49" s="1937" t="s">
        <v>2256</v>
      </c>
    </row>
    <row r="50" spans="1:14" ht="21" customHeight="1">
      <c r="A50" s="1944" t="s">
        <v>1496</v>
      </c>
      <c r="B50" s="1990">
        <f>SUM(C50:F50)</f>
        <v>340</v>
      </c>
      <c r="C50" s="1991"/>
      <c r="D50" s="1991"/>
      <c r="E50" s="1992">
        <f>E54+E57</f>
        <v>190</v>
      </c>
      <c r="F50" s="1993">
        <f>F54+F57</f>
        <v>150</v>
      </c>
      <c r="G50" s="1943"/>
      <c r="H50" s="1943"/>
      <c r="J50" s="1937">
        <v>740.5</v>
      </c>
    </row>
    <row r="51" spans="1:14" ht="21" customHeight="1" thickBot="1">
      <c r="A51" s="1957" t="s">
        <v>977</v>
      </c>
      <c r="B51" s="2648">
        <f>SUM(C51:F51)</f>
        <v>0.10470000000000002</v>
      </c>
      <c r="C51" s="2649"/>
      <c r="D51" s="2649"/>
      <c r="E51" s="2650">
        <f>E55+E58</f>
        <v>5.8500000000000003E-2</v>
      </c>
      <c r="F51" s="2653">
        <f>F55+F58</f>
        <v>4.6200000000000005E-2</v>
      </c>
      <c r="G51" s="1960">
        <f>F50/F51</f>
        <v>3246.7532467532465</v>
      </c>
      <c r="H51" s="1943"/>
      <c r="J51" s="1961">
        <v>0.23300000000000001</v>
      </c>
      <c r="K51" s="1962">
        <f>J50/J51</f>
        <v>3178.1115879828326</v>
      </c>
    </row>
    <row r="52" spans="1:14" ht="15.75" customHeight="1">
      <c r="A52" s="4340" t="s">
        <v>1497</v>
      </c>
      <c r="B52" s="4340"/>
      <c r="C52" s="4340"/>
      <c r="D52" s="4340"/>
      <c r="E52" s="4340"/>
      <c r="F52" s="4340"/>
      <c r="G52" s="1943"/>
      <c r="H52" s="1943"/>
    </row>
    <row r="53" spans="1:14" ht="23.25" customHeight="1" thickBot="1">
      <c r="A53" s="4337" t="s">
        <v>2107</v>
      </c>
      <c r="B53" s="4337"/>
      <c r="C53" s="4337"/>
      <c r="D53" s="4337"/>
      <c r="E53" s="4337"/>
      <c r="F53" s="4337"/>
      <c r="G53" s="1943"/>
      <c r="H53" s="1943"/>
    </row>
    <row r="54" spans="1:14" ht="23.25" customHeight="1">
      <c r="A54" s="1944" t="s">
        <v>1496</v>
      </c>
      <c r="B54" s="1996">
        <f>SUM(C54:F54)</f>
        <v>289</v>
      </c>
      <c r="C54" s="1947"/>
      <c r="D54" s="1947"/>
      <c r="E54" s="2148">
        <f>323/2</f>
        <v>161.5</v>
      </c>
      <c r="F54" s="2582">
        <f>255/2</f>
        <v>127.5</v>
      </c>
      <c r="G54" s="1943"/>
      <c r="H54" s="1943"/>
    </row>
    <row r="55" spans="1:14" ht="23.25" customHeight="1" thickBot="1">
      <c r="A55" s="1957" t="s">
        <v>977</v>
      </c>
      <c r="B55" s="2648">
        <f>SUM(C55:F55)</f>
        <v>8.8999999999999996E-2</v>
      </c>
      <c r="C55" s="2647"/>
      <c r="D55" s="2647"/>
      <c r="E55" s="2654">
        <v>4.9700000000000001E-2</v>
      </c>
      <c r="F55" s="2655">
        <v>3.9300000000000002E-2</v>
      </c>
      <c r="G55" s="1943"/>
      <c r="H55" s="1943"/>
    </row>
    <row r="56" spans="1:14" ht="19.5" customHeight="1" thickBot="1">
      <c r="A56" s="4338" t="s">
        <v>2108</v>
      </c>
      <c r="B56" s="4338"/>
      <c r="C56" s="4338"/>
      <c r="D56" s="4338"/>
      <c r="E56" s="4338"/>
      <c r="F56" s="4338"/>
      <c r="G56" s="1943"/>
      <c r="H56" s="1943"/>
    </row>
    <row r="57" spans="1:14" ht="19.5" customHeight="1">
      <c r="A57" s="1944" t="s">
        <v>1496</v>
      </c>
      <c r="B57" s="1996">
        <f>SUM(C57:F57)</f>
        <v>51</v>
      </c>
      <c r="C57" s="1975"/>
      <c r="D57" s="1975"/>
      <c r="E57" s="2148">
        <f>57/2</f>
        <v>28.5</v>
      </c>
      <c r="F57" s="2582">
        <f>45/2</f>
        <v>22.5</v>
      </c>
      <c r="G57" s="1943"/>
      <c r="H57" s="1943"/>
    </row>
    <row r="58" spans="1:14" ht="19.5" customHeight="1" thickBot="1">
      <c r="A58" s="1957" t="s">
        <v>977</v>
      </c>
      <c r="B58" s="2648">
        <f>SUM(C58:F58)</f>
        <v>1.5699999999999999E-2</v>
      </c>
      <c r="C58" s="2647"/>
      <c r="D58" s="2647"/>
      <c r="E58" s="2654">
        <v>8.8000000000000005E-3</v>
      </c>
      <c r="F58" s="2655">
        <v>6.8999999999999999E-3</v>
      </c>
    </row>
    <row r="59" spans="1:14" ht="27.75" customHeight="1" thickBot="1">
      <c r="A59" s="4341" t="s">
        <v>2109</v>
      </c>
      <c r="B59" s="4341"/>
      <c r="C59" s="4341"/>
      <c r="D59" s="4341"/>
      <c r="E59" s="4341"/>
      <c r="F59" s="4341"/>
      <c r="G59" s="1998" t="s">
        <v>2110</v>
      </c>
    </row>
    <row r="60" spans="1:14" ht="26.25" customHeight="1">
      <c r="A60" s="1999" t="s">
        <v>1496</v>
      </c>
      <c r="B60" s="1945">
        <f>SUM(C60:F60)</f>
        <v>75378.010499999989</v>
      </c>
      <c r="C60" s="1954">
        <f>150484.197/2</f>
        <v>75242.098499999993</v>
      </c>
      <c r="D60" s="1954"/>
      <c r="E60" s="1954"/>
      <c r="F60" s="1955">
        <f>271.824/2</f>
        <v>135.91200000000001</v>
      </c>
      <c r="G60" s="1998" t="s">
        <v>2111</v>
      </c>
    </row>
    <row r="61" spans="1:14" ht="26.25" customHeight="1" thickBot="1">
      <c r="A61" s="2000" t="s">
        <v>977</v>
      </c>
      <c r="B61" s="1951">
        <f>SUM(C61:F61)</f>
        <v>32.386130000000001</v>
      </c>
      <c r="C61" s="1958">
        <v>32</v>
      </c>
      <c r="D61" s="1958"/>
      <c r="E61" s="1958"/>
      <c r="F61" s="1959">
        <v>0.38612999999999997</v>
      </c>
    </row>
    <row r="62" spans="1:14" ht="24" customHeight="1">
      <c r="A62" s="2001"/>
      <c r="B62" s="2002"/>
      <c r="C62" s="1942"/>
      <c r="D62" s="1942"/>
      <c r="E62" s="2631"/>
      <c r="F62" s="2631"/>
    </row>
    <row r="63" spans="1:14" s="2579" customFormat="1" ht="17.25" customHeight="1">
      <c r="A63" s="4332" t="s">
        <v>2112</v>
      </c>
      <c r="B63" s="4332"/>
      <c r="C63" s="4332"/>
      <c r="D63" s="4332"/>
      <c r="E63" s="4332"/>
      <c r="F63" s="4332"/>
    </row>
    <row r="64" spans="1:14" s="2579" customFormat="1" ht="17.25" customHeight="1">
      <c r="A64" s="4332" t="s">
        <v>2113</v>
      </c>
      <c r="B64" s="4332"/>
      <c r="C64" s="4332"/>
      <c r="D64" s="4332"/>
      <c r="E64" s="4332"/>
      <c r="F64" s="4332"/>
    </row>
    <row r="65" spans="1:6" ht="23.25" customHeight="1">
      <c r="A65" s="4333" t="s">
        <v>2114</v>
      </c>
      <c r="B65" s="4333"/>
      <c r="D65" s="4334" t="s">
        <v>2493</v>
      </c>
      <c r="E65" s="4334"/>
      <c r="F65" s="4334"/>
    </row>
    <row r="66" spans="1:6" hidden="1">
      <c r="A66" s="4333"/>
      <c r="B66" s="4333"/>
      <c r="D66" s="4334"/>
      <c r="E66" s="4334"/>
      <c r="F66" s="4334"/>
    </row>
    <row r="67" spans="1:6" hidden="1">
      <c r="A67" s="4333"/>
      <c r="B67" s="4333"/>
      <c r="D67" s="4334"/>
      <c r="E67" s="4334"/>
      <c r="F67" s="4334"/>
    </row>
    <row r="68" spans="1:6" hidden="1">
      <c r="A68" s="4333"/>
      <c r="B68" s="4333"/>
      <c r="D68" s="4334"/>
      <c r="E68" s="4334"/>
      <c r="F68" s="4334"/>
    </row>
    <row r="69" spans="1:6" hidden="1">
      <c r="A69" s="4333"/>
      <c r="B69" s="4333"/>
      <c r="D69" s="4334"/>
      <c r="E69" s="4334"/>
      <c r="F69" s="4334"/>
    </row>
    <row r="70" spans="1:6" s="2003" customFormat="1" ht="13.8">
      <c r="A70" s="4333"/>
      <c r="B70" s="4333"/>
      <c r="D70" s="4334"/>
      <c r="E70" s="4334"/>
      <c r="F70" s="4334"/>
    </row>
    <row r="71" spans="1:6" s="2003" customFormat="1" ht="32.25" customHeight="1">
      <c r="A71" s="4335" t="s">
        <v>2115</v>
      </c>
      <c r="B71" s="4335"/>
      <c r="D71" s="4336" t="s">
        <v>1268</v>
      </c>
      <c r="E71" s="4336"/>
      <c r="F71" s="4336"/>
    </row>
    <row r="72" spans="1:6" s="2003" customFormat="1" ht="13.8">
      <c r="A72" s="4335" t="s">
        <v>2116</v>
      </c>
      <c r="B72" s="4335"/>
      <c r="D72" s="4335" t="s">
        <v>2116</v>
      </c>
      <c r="E72" s="4335"/>
      <c r="F72" s="4335"/>
    </row>
    <row r="73" spans="1:6" s="2003" customFormat="1" ht="13.8">
      <c r="A73" s="4330" t="s">
        <v>1507</v>
      </c>
      <c r="B73" s="4330"/>
      <c r="D73" s="4330" t="s">
        <v>1507</v>
      </c>
      <c r="E73" s="4330"/>
      <c r="F73" s="4330"/>
    </row>
    <row r="75" spans="1:6" hidden="1"/>
    <row r="76" spans="1:6" hidden="1"/>
    <row r="77" spans="1:6" s="2004" customFormat="1" ht="21" customHeight="1">
      <c r="A77" s="4331" t="s">
        <v>2117</v>
      </c>
      <c r="B77" s="4331"/>
    </row>
    <row r="78" spans="1:6" hidden="1">
      <c r="D78" s="2005"/>
    </row>
  </sheetData>
  <sheetProtection selectLockedCells="1" selectUnlockedCells="1"/>
  <mergeCells count="40">
    <mergeCell ref="A1:F1"/>
    <mergeCell ref="A2:F2"/>
    <mergeCell ref="A3:F3"/>
    <mergeCell ref="A5:A6"/>
    <mergeCell ref="B5:B6"/>
    <mergeCell ref="C5:F5"/>
    <mergeCell ref="A32:F32"/>
    <mergeCell ref="A7:F7"/>
    <mergeCell ref="A8:F8"/>
    <mergeCell ref="A11:F11"/>
    <mergeCell ref="A12:F12"/>
    <mergeCell ref="A15:F15"/>
    <mergeCell ref="A16:F16"/>
    <mergeCell ref="A19:F19"/>
    <mergeCell ref="A22:F22"/>
    <mergeCell ref="A23:F23"/>
    <mergeCell ref="A26:F26"/>
    <mergeCell ref="A29:F29"/>
    <mergeCell ref="A63:F63"/>
    <mergeCell ref="A33:F33"/>
    <mergeCell ref="A36:F36"/>
    <mergeCell ref="A39:F39"/>
    <mergeCell ref="A42:F42"/>
    <mergeCell ref="A43:F43"/>
    <mergeCell ref="A46:F46"/>
    <mergeCell ref="A49:F49"/>
    <mergeCell ref="A52:F52"/>
    <mergeCell ref="A53:F53"/>
    <mergeCell ref="A56:F56"/>
    <mergeCell ref="A59:F59"/>
    <mergeCell ref="A73:B73"/>
    <mergeCell ref="D73:F73"/>
    <mergeCell ref="A77:B77"/>
    <mergeCell ref="A64:F64"/>
    <mergeCell ref="A65:B70"/>
    <mergeCell ref="D65:F70"/>
    <mergeCell ref="A71:B71"/>
    <mergeCell ref="D71:F71"/>
    <mergeCell ref="A72:B72"/>
    <mergeCell ref="D72:F72"/>
  </mergeCells>
  <printOptions horizontalCentered="1"/>
  <pageMargins left="0.78740157480314965" right="0.19685039370078741" top="0.59055118110236227" bottom="0.19685039370078741" header="0.51181102362204722" footer="0.51181102362204722"/>
  <pageSetup paperSize="9" scale="51" firstPageNumber="0" orientation="portrait" horizontalDpi="300" verticalDpi="300" r:id="rId1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1">
    <tabColor rgb="FFCCFFCC"/>
  </sheetPr>
  <dimension ref="A1:N78"/>
  <sheetViews>
    <sheetView zoomScale="85" zoomScaleNormal="85" zoomScaleSheetLayoutView="75" workbookViewId="0">
      <pane ySplit="6" topLeftCell="A14" activePane="bottomLeft" state="frozen"/>
      <selection sqref="A1:XFD1048576"/>
      <selection pane="bottomLeft" sqref="A1:XFD1048576"/>
    </sheetView>
  </sheetViews>
  <sheetFormatPr defaultRowHeight="13.2"/>
  <cols>
    <col min="1" max="1" width="60.6640625" style="1937" customWidth="1"/>
    <col min="2" max="2" width="24.33203125" style="1937" customWidth="1"/>
    <col min="3" max="6" width="17.6640625" style="1937" customWidth="1"/>
    <col min="7" max="12" width="0" style="1937" hidden="1" customWidth="1"/>
    <col min="13" max="256" width="9.109375" style="1937"/>
    <col min="257" max="257" width="60.6640625" style="1937" customWidth="1"/>
    <col min="258" max="258" width="24.33203125" style="1937" customWidth="1"/>
    <col min="259" max="262" width="17.6640625" style="1937" customWidth="1"/>
    <col min="263" max="268" width="0" style="1937" hidden="1" customWidth="1"/>
    <col min="269" max="512" width="9.109375" style="1937"/>
    <col min="513" max="513" width="60.6640625" style="1937" customWidth="1"/>
    <col min="514" max="514" width="24.33203125" style="1937" customWidth="1"/>
    <col min="515" max="518" width="17.6640625" style="1937" customWidth="1"/>
    <col min="519" max="524" width="0" style="1937" hidden="1" customWidth="1"/>
    <col min="525" max="768" width="9.109375" style="1937"/>
    <col min="769" max="769" width="60.6640625" style="1937" customWidth="1"/>
    <col min="770" max="770" width="24.33203125" style="1937" customWidth="1"/>
    <col min="771" max="774" width="17.6640625" style="1937" customWidth="1"/>
    <col min="775" max="780" width="0" style="1937" hidden="1" customWidth="1"/>
    <col min="781" max="1024" width="9.109375" style="1937"/>
    <col min="1025" max="1025" width="60.6640625" style="1937" customWidth="1"/>
    <col min="1026" max="1026" width="24.33203125" style="1937" customWidth="1"/>
    <col min="1027" max="1030" width="17.6640625" style="1937" customWidth="1"/>
    <col min="1031" max="1036" width="0" style="1937" hidden="1" customWidth="1"/>
    <col min="1037" max="1280" width="9.109375" style="1937"/>
    <col min="1281" max="1281" width="60.6640625" style="1937" customWidth="1"/>
    <col min="1282" max="1282" width="24.33203125" style="1937" customWidth="1"/>
    <col min="1283" max="1286" width="17.6640625" style="1937" customWidth="1"/>
    <col min="1287" max="1292" width="0" style="1937" hidden="1" customWidth="1"/>
    <col min="1293" max="1536" width="9.109375" style="1937"/>
    <col min="1537" max="1537" width="60.6640625" style="1937" customWidth="1"/>
    <col min="1538" max="1538" width="24.33203125" style="1937" customWidth="1"/>
    <col min="1539" max="1542" width="17.6640625" style="1937" customWidth="1"/>
    <col min="1543" max="1548" width="0" style="1937" hidden="1" customWidth="1"/>
    <col min="1549" max="1792" width="9.109375" style="1937"/>
    <col min="1793" max="1793" width="60.6640625" style="1937" customWidth="1"/>
    <col min="1794" max="1794" width="24.33203125" style="1937" customWidth="1"/>
    <col min="1795" max="1798" width="17.6640625" style="1937" customWidth="1"/>
    <col min="1799" max="1804" width="0" style="1937" hidden="1" customWidth="1"/>
    <col min="1805" max="2048" width="9.109375" style="1937"/>
    <col min="2049" max="2049" width="60.6640625" style="1937" customWidth="1"/>
    <col min="2050" max="2050" width="24.33203125" style="1937" customWidth="1"/>
    <col min="2051" max="2054" width="17.6640625" style="1937" customWidth="1"/>
    <col min="2055" max="2060" width="0" style="1937" hidden="1" customWidth="1"/>
    <col min="2061" max="2304" width="9.109375" style="1937"/>
    <col min="2305" max="2305" width="60.6640625" style="1937" customWidth="1"/>
    <col min="2306" max="2306" width="24.33203125" style="1937" customWidth="1"/>
    <col min="2307" max="2310" width="17.6640625" style="1937" customWidth="1"/>
    <col min="2311" max="2316" width="0" style="1937" hidden="1" customWidth="1"/>
    <col min="2317" max="2560" width="9.109375" style="1937"/>
    <col min="2561" max="2561" width="60.6640625" style="1937" customWidth="1"/>
    <col min="2562" max="2562" width="24.33203125" style="1937" customWidth="1"/>
    <col min="2563" max="2566" width="17.6640625" style="1937" customWidth="1"/>
    <col min="2567" max="2572" width="0" style="1937" hidden="1" customWidth="1"/>
    <col min="2573" max="2816" width="9.109375" style="1937"/>
    <col min="2817" max="2817" width="60.6640625" style="1937" customWidth="1"/>
    <col min="2818" max="2818" width="24.33203125" style="1937" customWidth="1"/>
    <col min="2819" max="2822" width="17.6640625" style="1937" customWidth="1"/>
    <col min="2823" max="2828" width="0" style="1937" hidden="1" customWidth="1"/>
    <col min="2829" max="3072" width="9.109375" style="1937"/>
    <col min="3073" max="3073" width="60.6640625" style="1937" customWidth="1"/>
    <col min="3074" max="3074" width="24.33203125" style="1937" customWidth="1"/>
    <col min="3075" max="3078" width="17.6640625" style="1937" customWidth="1"/>
    <col min="3079" max="3084" width="0" style="1937" hidden="1" customWidth="1"/>
    <col min="3085" max="3328" width="9.109375" style="1937"/>
    <col min="3329" max="3329" width="60.6640625" style="1937" customWidth="1"/>
    <col min="3330" max="3330" width="24.33203125" style="1937" customWidth="1"/>
    <col min="3331" max="3334" width="17.6640625" style="1937" customWidth="1"/>
    <col min="3335" max="3340" width="0" style="1937" hidden="1" customWidth="1"/>
    <col min="3341" max="3584" width="9.109375" style="1937"/>
    <col min="3585" max="3585" width="60.6640625" style="1937" customWidth="1"/>
    <col min="3586" max="3586" width="24.33203125" style="1937" customWidth="1"/>
    <col min="3587" max="3590" width="17.6640625" style="1937" customWidth="1"/>
    <col min="3591" max="3596" width="0" style="1937" hidden="1" customWidth="1"/>
    <col min="3597" max="3840" width="9.109375" style="1937"/>
    <col min="3841" max="3841" width="60.6640625" style="1937" customWidth="1"/>
    <col min="3842" max="3842" width="24.33203125" style="1937" customWidth="1"/>
    <col min="3843" max="3846" width="17.6640625" style="1937" customWidth="1"/>
    <col min="3847" max="3852" width="0" style="1937" hidden="1" customWidth="1"/>
    <col min="3853" max="4096" width="9.109375" style="1937"/>
    <col min="4097" max="4097" width="60.6640625" style="1937" customWidth="1"/>
    <col min="4098" max="4098" width="24.33203125" style="1937" customWidth="1"/>
    <col min="4099" max="4102" width="17.6640625" style="1937" customWidth="1"/>
    <col min="4103" max="4108" width="0" style="1937" hidden="1" customWidth="1"/>
    <col min="4109" max="4352" width="9.109375" style="1937"/>
    <col min="4353" max="4353" width="60.6640625" style="1937" customWidth="1"/>
    <col min="4354" max="4354" width="24.33203125" style="1937" customWidth="1"/>
    <col min="4355" max="4358" width="17.6640625" style="1937" customWidth="1"/>
    <col min="4359" max="4364" width="0" style="1937" hidden="1" customWidth="1"/>
    <col min="4365" max="4608" width="9.109375" style="1937"/>
    <col min="4609" max="4609" width="60.6640625" style="1937" customWidth="1"/>
    <col min="4610" max="4610" width="24.33203125" style="1937" customWidth="1"/>
    <col min="4611" max="4614" width="17.6640625" style="1937" customWidth="1"/>
    <col min="4615" max="4620" width="0" style="1937" hidden="1" customWidth="1"/>
    <col min="4621" max="4864" width="9.109375" style="1937"/>
    <col min="4865" max="4865" width="60.6640625" style="1937" customWidth="1"/>
    <col min="4866" max="4866" width="24.33203125" style="1937" customWidth="1"/>
    <col min="4867" max="4870" width="17.6640625" style="1937" customWidth="1"/>
    <col min="4871" max="4876" width="0" style="1937" hidden="1" customWidth="1"/>
    <col min="4877" max="5120" width="9.109375" style="1937"/>
    <col min="5121" max="5121" width="60.6640625" style="1937" customWidth="1"/>
    <col min="5122" max="5122" width="24.33203125" style="1937" customWidth="1"/>
    <col min="5123" max="5126" width="17.6640625" style="1937" customWidth="1"/>
    <col min="5127" max="5132" width="0" style="1937" hidden="1" customWidth="1"/>
    <col min="5133" max="5376" width="9.109375" style="1937"/>
    <col min="5377" max="5377" width="60.6640625" style="1937" customWidth="1"/>
    <col min="5378" max="5378" width="24.33203125" style="1937" customWidth="1"/>
    <col min="5379" max="5382" width="17.6640625" style="1937" customWidth="1"/>
    <col min="5383" max="5388" width="0" style="1937" hidden="1" customWidth="1"/>
    <col min="5389" max="5632" width="9.109375" style="1937"/>
    <col min="5633" max="5633" width="60.6640625" style="1937" customWidth="1"/>
    <col min="5634" max="5634" width="24.33203125" style="1937" customWidth="1"/>
    <col min="5635" max="5638" width="17.6640625" style="1937" customWidth="1"/>
    <col min="5639" max="5644" width="0" style="1937" hidden="1" customWidth="1"/>
    <col min="5645" max="5888" width="9.109375" style="1937"/>
    <col min="5889" max="5889" width="60.6640625" style="1937" customWidth="1"/>
    <col min="5890" max="5890" width="24.33203125" style="1937" customWidth="1"/>
    <col min="5891" max="5894" width="17.6640625" style="1937" customWidth="1"/>
    <col min="5895" max="5900" width="0" style="1937" hidden="1" customWidth="1"/>
    <col min="5901" max="6144" width="9.109375" style="1937"/>
    <col min="6145" max="6145" width="60.6640625" style="1937" customWidth="1"/>
    <col min="6146" max="6146" width="24.33203125" style="1937" customWidth="1"/>
    <col min="6147" max="6150" width="17.6640625" style="1937" customWidth="1"/>
    <col min="6151" max="6156" width="0" style="1937" hidden="1" customWidth="1"/>
    <col min="6157" max="6400" width="9.109375" style="1937"/>
    <col min="6401" max="6401" width="60.6640625" style="1937" customWidth="1"/>
    <col min="6402" max="6402" width="24.33203125" style="1937" customWidth="1"/>
    <col min="6403" max="6406" width="17.6640625" style="1937" customWidth="1"/>
    <col min="6407" max="6412" width="0" style="1937" hidden="1" customWidth="1"/>
    <col min="6413" max="6656" width="9.109375" style="1937"/>
    <col min="6657" max="6657" width="60.6640625" style="1937" customWidth="1"/>
    <col min="6658" max="6658" width="24.33203125" style="1937" customWidth="1"/>
    <col min="6659" max="6662" width="17.6640625" style="1937" customWidth="1"/>
    <col min="6663" max="6668" width="0" style="1937" hidden="1" customWidth="1"/>
    <col min="6669" max="6912" width="9.109375" style="1937"/>
    <col min="6913" max="6913" width="60.6640625" style="1937" customWidth="1"/>
    <col min="6914" max="6914" width="24.33203125" style="1937" customWidth="1"/>
    <col min="6915" max="6918" width="17.6640625" style="1937" customWidth="1"/>
    <col min="6919" max="6924" width="0" style="1937" hidden="1" customWidth="1"/>
    <col min="6925" max="7168" width="9.109375" style="1937"/>
    <col min="7169" max="7169" width="60.6640625" style="1937" customWidth="1"/>
    <col min="7170" max="7170" width="24.33203125" style="1937" customWidth="1"/>
    <col min="7171" max="7174" width="17.6640625" style="1937" customWidth="1"/>
    <col min="7175" max="7180" width="0" style="1937" hidden="1" customWidth="1"/>
    <col min="7181" max="7424" width="9.109375" style="1937"/>
    <col min="7425" max="7425" width="60.6640625" style="1937" customWidth="1"/>
    <col min="7426" max="7426" width="24.33203125" style="1937" customWidth="1"/>
    <col min="7427" max="7430" width="17.6640625" style="1937" customWidth="1"/>
    <col min="7431" max="7436" width="0" style="1937" hidden="1" customWidth="1"/>
    <col min="7437" max="7680" width="9.109375" style="1937"/>
    <col min="7681" max="7681" width="60.6640625" style="1937" customWidth="1"/>
    <col min="7682" max="7682" width="24.33203125" style="1937" customWidth="1"/>
    <col min="7683" max="7686" width="17.6640625" style="1937" customWidth="1"/>
    <col min="7687" max="7692" width="0" style="1937" hidden="1" customWidth="1"/>
    <col min="7693" max="7936" width="9.109375" style="1937"/>
    <col min="7937" max="7937" width="60.6640625" style="1937" customWidth="1"/>
    <col min="7938" max="7938" width="24.33203125" style="1937" customWidth="1"/>
    <col min="7939" max="7942" width="17.6640625" style="1937" customWidth="1"/>
    <col min="7943" max="7948" width="0" style="1937" hidden="1" customWidth="1"/>
    <col min="7949" max="8192" width="9.109375" style="1937"/>
    <col min="8193" max="8193" width="60.6640625" style="1937" customWidth="1"/>
    <col min="8194" max="8194" width="24.33203125" style="1937" customWidth="1"/>
    <col min="8195" max="8198" width="17.6640625" style="1937" customWidth="1"/>
    <col min="8199" max="8204" width="0" style="1937" hidden="1" customWidth="1"/>
    <col min="8205" max="8448" width="9.109375" style="1937"/>
    <col min="8449" max="8449" width="60.6640625" style="1937" customWidth="1"/>
    <col min="8450" max="8450" width="24.33203125" style="1937" customWidth="1"/>
    <col min="8451" max="8454" width="17.6640625" style="1937" customWidth="1"/>
    <col min="8455" max="8460" width="0" style="1937" hidden="1" customWidth="1"/>
    <col min="8461" max="8704" width="9.109375" style="1937"/>
    <col min="8705" max="8705" width="60.6640625" style="1937" customWidth="1"/>
    <col min="8706" max="8706" width="24.33203125" style="1937" customWidth="1"/>
    <col min="8707" max="8710" width="17.6640625" style="1937" customWidth="1"/>
    <col min="8711" max="8716" width="0" style="1937" hidden="1" customWidth="1"/>
    <col min="8717" max="8960" width="9.109375" style="1937"/>
    <col min="8961" max="8961" width="60.6640625" style="1937" customWidth="1"/>
    <col min="8962" max="8962" width="24.33203125" style="1937" customWidth="1"/>
    <col min="8963" max="8966" width="17.6640625" style="1937" customWidth="1"/>
    <col min="8967" max="8972" width="0" style="1937" hidden="1" customWidth="1"/>
    <col min="8973" max="9216" width="9.109375" style="1937"/>
    <col min="9217" max="9217" width="60.6640625" style="1937" customWidth="1"/>
    <col min="9218" max="9218" width="24.33203125" style="1937" customWidth="1"/>
    <col min="9219" max="9222" width="17.6640625" style="1937" customWidth="1"/>
    <col min="9223" max="9228" width="0" style="1937" hidden="1" customWidth="1"/>
    <col min="9229" max="9472" width="9.109375" style="1937"/>
    <col min="9473" max="9473" width="60.6640625" style="1937" customWidth="1"/>
    <col min="9474" max="9474" width="24.33203125" style="1937" customWidth="1"/>
    <col min="9475" max="9478" width="17.6640625" style="1937" customWidth="1"/>
    <col min="9479" max="9484" width="0" style="1937" hidden="1" customWidth="1"/>
    <col min="9485" max="9728" width="9.109375" style="1937"/>
    <col min="9729" max="9729" width="60.6640625" style="1937" customWidth="1"/>
    <col min="9730" max="9730" width="24.33203125" style="1937" customWidth="1"/>
    <col min="9731" max="9734" width="17.6640625" style="1937" customWidth="1"/>
    <col min="9735" max="9740" width="0" style="1937" hidden="1" customWidth="1"/>
    <col min="9741" max="9984" width="9.109375" style="1937"/>
    <col min="9985" max="9985" width="60.6640625" style="1937" customWidth="1"/>
    <col min="9986" max="9986" width="24.33203125" style="1937" customWidth="1"/>
    <col min="9987" max="9990" width="17.6640625" style="1937" customWidth="1"/>
    <col min="9991" max="9996" width="0" style="1937" hidden="1" customWidth="1"/>
    <col min="9997" max="10240" width="9.109375" style="1937"/>
    <col min="10241" max="10241" width="60.6640625" style="1937" customWidth="1"/>
    <col min="10242" max="10242" width="24.33203125" style="1937" customWidth="1"/>
    <col min="10243" max="10246" width="17.6640625" style="1937" customWidth="1"/>
    <col min="10247" max="10252" width="0" style="1937" hidden="1" customWidth="1"/>
    <col min="10253" max="10496" width="9.109375" style="1937"/>
    <col min="10497" max="10497" width="60.6640625" style="1937" customWidth="1"/>
    <col min="10498" max="10498" width="24.33203125" style="1937" customWidth="1"/>
    <col min="10499" max="10502" width="17.6640625" style="1937" customWidth="1"/>
    <col min="10503" max="10508" width="0" style="1937" hidden="1" customWidth="1"/>
    <col min="10509" max="10752" width="9.109375" style="1937"/>
    <col min="10753" max="10753" width="60.6640625" style="1937" customWidth="1"/>
    <col min="10754" max="10754" width="24.33203125" style="1937" customWidth="1"/>
    <col min="10755" max="10758" width="17.6640625" style="1937" customWidth="1"/>
    <col min="10759" max="10764" width="0" style="1937" hidden="1" customWidth="1"/>
    <col min="10765" max="11008" width="9.109375" style="1937"/>
    <col min="11009" max="11009" width="60.6640625" style="1937" customWidth="1"/>
    <col min="11010" max="11010" width="24.33203125" style="1937" customWidth="1"/>
    <col min="11011" max="11014" width="17.6640625" style="1937" customWidth="1"/>
    <col min="11015" max="11020" width="0" style="1937" hidden="1" customWidth="1"/>
    <col min="11021" max="11264" width="9.109375" style="1937"/>
    <col min="11265" max="11265" width="60.6640625" style="1937" customWidth="1"/>
    <col min="11266" max="11266" width="24.33203125" style="1937" customWidth="1"/>
    <col min="11267" max="11270" width="17.6640625" style="1937" customWidth="1"/>
    <col min="11271" max="11276" width="0" style="1937" hidden="1" customWidth="1"/>
    <col min="11277" max="11520" width="9.109375" style="1937"/>
    <col min="11521" max="11521" width="60.6640625" style="1937" customWidth="1"/>
    <col min="11522" max="11522" width="24.33203125" style="1937" customWidth="1"/>
    <col min="11523" max="11526" width="17.6640625" style="1937" customWidth="1"/>
    <col min="11527" max="11532" width="0" style="1937" hidden="1" customWidth="1"/>
    <col min="11533" max="11776" width="9.109375" style="1937"/>
    <col min="11777" max="11777" width="60.6640625" style="1937" customWidth="1"/>
    <col min="11778" max="11778" width="24.33203125" style="1937" customWidth="1"/>
    <col min="11779" max="11782" width="17.6640625" style="1937" customWidth="1"/>
    <col min="11783" max="11788" width="0" style="1937" hidden="1" customWidth="1"/>
    <col min="11789" max="12032" width="9.109375" style="1937"/>
    <col min="12033" max="12033" width="60.6640625" style="1937" customWidth="1"/>
    <col min="12034" max="12034" width="24.33203125" style="1937" customWidth="1"/>
    <col min="12035" max="12038" width="17.6640625" style="1937" customWidth="1"/>
    <col min="12039" max="12044" width="0" style="1937" hidden="1" customWidth="1"/>
    <col min="12045" max="12288" width="9.109375" style="1937"/>
    <col min="12289" max="12289" width="60.6640625" style="1937" customWidth="1"/>
    <col min="12290" max="12290" width="24.33203125" style="1937" customWidth="1"/>
    <col min="12291" max="12294" width="17.6640625" style="1937" customWidth="1"/>
    <col min="12295" max="12300" width="0" style="1937" hidden="1" customWidth="1"/>
    <col min="12301" max="12544" width="9.109375" style="1937"/>
    <col min="12545" max="12545" width="60.6640625" style="1937" customWidth="1"/>
    <col min="12546" max="12546" width="24.33203125" style="1937" customWidth="1"/>
    <col min="12547" max="12550" width="17.6640625" style="1937" customWidth="1"/>
    <col min="12551" max="12556" width="0" style="1937" hidden="1" customWidth="1"/>
    <col min="12557" max="12800" width="9.109375" style="1937"/>
    <col min="12801" max="12801" width="60.6640625" style="1937" customWidth="1"/>
    <col min="12802" max="12802" width="24.33203125" style="1937" customWidth="1"/>
    <col min="12803" max="12806" width="17.6640625" style="1937" customWidth="1"/>
    <col min="12807" max="12812" width="0" style="1937" hidden="1" customWidth="1"/>
    <col min="12813" max="13056" width="9.109375" style="1937"/>
    <col min="13057" max="13057" width="60.6640625" style="1937" customWidth="1"/>
    <col min="13058" max="13058" width="24.33203125" style="1937" customWidth="1"/>
    <col min="13059" max="13062" width="17.6640625" style="1937" customWidth="1"/>
    <col min="13063" max="13068" width="0" style="1937" hidden="1" customWidth="1"/>
    <col min="13069" max="13312" width="9.109375" style="1937"/>
    <col min="13313" max="13313" width="60.6640625" style="1937" customWidth="1"/>
    <col min="13314" max="13314" width="24.33203125" style="1937" customWidth="1"/>
    <col min="13315" max="13318" width="17.6640625" style="1937" customWidth="1"/>
    <col min="13319" max="13324" width="0" style="1937" hidden="1" customWidth="1"/>
    <col min="13325" max="13568" width="9.109375" style="1937"/>
    <col min="13569" max="13569" width="60.6640625" style="1937" customWidth="1"/>
    <col min="13570" max="13570" width="24.33203125" style="1937" customWidth="1"/>
    <col min="13571" max="13574" width="17.6640625" style="1937" customWidth="1"/>
    <col min="13575" max="13580" width="0" style="1937" hidden="1" customWidth="1"/>
    <col min="13581" max="13824" width="9.109375" style="1937"/>
    <col min="13825" max="13825" width="60.6640625" style="1937" customWidth="1"/>
    <col min="13826" max="13826" width="24.33203125" style="1937" customWidth="1"/>
    <col min="13827" max="13830" width="17.6640625" style="1937" customWidth="1"/>
    <col min="13831" max="13836" width="0" style="1937" hidden="1" customWidth="1"/>
    <col min="13837" max="14080" width="9.109375" style="1937"/>
    <col min="14081" max="14081" width="60.6640625" style="1937" customWidth="1"/>
    <col min="14082" max="14082" width="24.33203125" style="1937" customWidth="1"/>
    <col min="14083" max="14086" width="17.6640625" style="1937" customWidth="1"/>
    <col min="14087" max="14092" width="0" style="1937" hidden="1" customWidth="1"/>
    <col min="14093" max="14336" width="9.109375" style="1937"/>
    <col min="14337" max="14337" width="60.6640625" style="1937" customWidth="1"/>
    <col min="14338" max="14338" width="24.33203125" style="1937" customWidth="1"/>
    <col min="14339" max="14342" width="17.6640625" style="1937" customWidth="1"/>
    <col min="14343" max="14348" width="0" style="1937" hidden="1" customWidth="1"/>
    <col min="14349" max="14592" width="9.109375" style="1937"/>
    <col min="14593" max="14593" width="60.6640625" style="1937" customWidth="1"/>
    <col min="14594" max="14594" width="24.33203125" style="1937" customWidth="1"/>
    <col min="14595" max="14598" width="17.6640625" style="1937" customWidth="1"/>
    <col min="14599" max="14604" width="0" style="1937" hidden="1" customWidth="1"/>
    <col min="14605" max="14848" width="9.109375" style="1937"/>
    <col min="14849" max="14849" width="60.6640625" style="1937" customWidth="1"/>
    <col min="14850" max="14850" width="24.33203125" style="1937" customWidth="1"/>
    <col min="14851" max="14854" width="17.6640625" style="1937" customWidth="1"/>
    <col min="14855" max="14860" width="0" style="1937" hidden="1" customWidth="1"/>
    <col min="14861" max="15104" width="9.109375" style="1937"/>
    <col min="15105" max="15105" width="60.6640625" style="1937" customWidth="1"/>
    <col min="15106" max="15106" width="24.33203125" style="1937" customWidth="1"/>
    <col min="15107" max="15110" width="17.6640625" style="1937" customWidth="1"/>
    <col min="15111" max="15116" width="0" style="1937" hidden="1" customWidth="1"/>
    <col min="15117" max="15360" width="9.109375" style="1937"/>
    <col min="15361" max="15361" width="60.6640625" style="1937" customWidth="1"/>
    <col min="15362" max="15362" width="24.33203125" style="1937" customWidth="1"/>
    <col min="15363" max="15366" width="17.6640625" style="1937" customWidth="1"/>
    <col min="15367" max="15372" width="0" style="1937" hidden="1" customWidth="1"/>
    <col min="15373" max="15616" width="9.109375" style="1937"/>
    <col min="15617" max="15617" width="60.6640625" style="1937" customWidth="1"/>
    <col min="15618" max="15618" width="24.33203125" style="1937" customWidth="1"/>
    <col min="15619" max="15622" width="17.6640625" style="1937" customWidth="1"/>
    <col min="15623" max="15628" width="0" style="1937" hidden="1" customWidth="1"/>
    <col min="15629" max="15872" width="9.109375" style="1937"/>
    <col min="15873" max="15873" width="60.6640625" style="1937" customWidth="1"/>
    <col min="15874" max="15874" width="24.33203125" style="1937" customWidth="1"/>
    <col min="15875" max="15878" width="17.6640625" style="1937" customWidth="1"/>
    <col min="15879" max="15884" width="0" style="1937" hidden="1" customWidth="1"/>
    <col min="15885" max="16128" width="9.109375" style="1937"/>
    <col min="16129" max="16129" width="60.6640625" style="1937" customWidth="1"/>
    <col min="16130" max="16130" width="24.33203125" style="1937" customWidth="1"/>
    <col min="16131" max="16134" width="17.6640625" style="1937" customWidth="1"/>
    <col min="16135" max="16140" width="0" style="1937" hidden="1" customWidth="1"/>
    <col min="16141" max="16384" width="9.109375" style="1937"/>
  </cols>
  <sheetData>
    <row r="1" spans="1:11" ht="23.25" customHeight="1">
      <c r="A1" s="4357" t="s">
        <v>2492</v>
      </c>
      <c r="B1" s="4357"/>
      <c r="C1" s="4357"/>
      <c r="D1" s="4357"/>
      <c r="E1" s="4357"/>
      <c r="F1" s="4357"/>
      <c r="G1" s="1936"/>
    </row>
    <row r="2" spans="1:11" ht="24" customHeight="1">
      <c r="A2" s="4358" t="str">
        <f>'[14]1тсо кроме мрск'!A2:F2</f>
        <v xml:space="preserve">АО "РКЦ "Прогресс" </v>
      </c>
      <c r="B2" s="4358"/>
      <c r="C2" s="4358"/>
      <c r="D2" s="4358"/>
      <c r="E2" s="4358"/>
      <c r="F2" s="4358"/>
      <c r="G2" s="1936"/>
    </row>
    <row r="3" spans="1:11" ht="16.5" customHeight="1">
      <c r="A3" s="4359" t="s">
        <v>971</v>
      </c>
      <c r="B3" s="4359"/>
      <c r="C3" s="4359"/>
      <c r="D3" s="4359"/>
      <c r="E3" s="4359"/>
      <c r="F3" s="4359"/>
      <c r="G3" s="1936"/>
    </row>
    <row r="4" spans="1:11" ht="9.75" customHeight="1" thickBot="1">
      <c r="A4" s="1938"/>
      <c r="B4" s="1938"/>
      <c r="C4" s="1938"/>
      <c r="D4" s="1938"/>
      <c r="E4" s="1938"/>
      <c r="F4" s="1938"/>
      <c r="G4" s="1936"/>
    </row>
    <row r="5" spans="1:11" ht="24" customHeight="1" thickBot="1">
      <c r="A5" s="4360" t="s">
        <v>972</v>
      </c>
      <c r="B5" s="4361" t="s">
        <v>679</v>
      </c>
      <c r="C5" s="4362" t="s">
        <v>974</v>
      </c>
      <c r="D5" s="4362"/>
      <c r="E5" s="4362"/>
      <c r="F5" s="4362"/>
      <c r="G5" s="1939"/>
    </row>
    <row r="6" spans="1:11" ht="33.75" customHeight="1" thickBot="1">
      <c r="A6" s="4360"/>
      <c r="B6" s="4361"/>
      <c r="C6" s="1940" t="s">
        <v>697</v>
      </c>
      <c r="D6" s="1940" t="s">
        <v>548</v>
      </c>
      <c r="E6" s="1940" t="s">
        <v>549</v>
      </c>
      <c r="F6" s="1941" t="s">
        <v>681</v>
      </c>
      <c r="G6" s="1939"/>
    </row>
    <row r="7" spans="1:11" ht="23.25" customHeight="1">
      <c r="A7" s="4342" t="s">
        <v>2091</v>
      </c>
      <c r="B7" s="4342"/>
      <c r="C7" s="4342"/>
      <c r="D7" s="4342"/>
      <c r="E7" s="4342"/>
      <c r="F7" s="4342"/>
      <c r="G7" s="1942"/>
      <c r="H7" s="1943"/>
    </row>
    <row r="8" spans="1:11" ht="16.5" customHeight="1" thickBot="1">
      <c r="A8" s="4343" t="s">
        <v>980</v>
      </c>
      <c r="B8" s="4343"/>
      <c r="C8" s="4343"/>
      <c r="D8" s="4343"/>
      <c r="E8" s="4343"/>
      <c r="F8" s="4343"/>
      <c r="G8" s="1942"/>
      <c r="H8" s="1943"/>
      <c r="J8" s="1937" t="s">
        <v>2092</v>
      </c>
    </row>
    <row r="9" spans="1:11" ht="24.75" customHeight="1">
      <c r="A9" s="1944" t="s">
        <v>1496</v>
      </c>
      <c r="B9" s="1945">
        <f>SUM(C9:F9)</f>
        <v>4624</v>
      </c>
      <c r="C9" s="1946">
        <f>C20+C13</f>
        <v>1450</v>
      </c>
      <c r="D9" s="1947"/>
      <c r="E9" s="1946">
        <f>E20+E13</f>
        <v>2990</v>
      </c>
      <c r="F9" s="1948">
        <f>F20+F13</f>
        <v>184</v>
      </c>
      <c r="G9" s="1942"/>
      <c r="H9" s="1943"/>
      <c r="J9" s="1949">
        <v>3507.2</v>
      </c>
    </row>
    <row r="10" spans="1:11" ht="24.75" customHeight="1" thickBot="1">
      <c r="A10" s="1950" t="s">
        <v>977</v>
      </c>
      <c r="B10" s="2639">
        <f>SUM(C10:F10)</f>
        <v>1.8169</v>
      </c>
      <c r="C10" s="2640">
        <f>C14+C21</f>
        <v>0.39600000000000002</v>
      </c>
      <c r="D10" s="2641"/>
      <c r="E10" s="2640">
        <f>E14+E21</f>
        <v>1.3636999999999999</v>
      </c>
      <c r="F10" s="2642">
        <f>F14+F21</f>
        <v>5.7200000000000001E-2</v>
      </c>
      <c r="G10" s="1942"/>
      <c r="H10" s="1943"/>
    </row>
    <row r="11" spans="1:11" ht="20.25" customHeight="1">
      <c r="A11" s="4344" t="s">
        <v>1497</v>
      </c>
      <c r="B11" s="4345"/>
      <c r="C11" s="4345"/>
      <c r="D11" s="4345"/>
      <c r="E11" s="4345"/>
      <c r="F11" s="4346"/>
      <c r="G11" s="1942"/>
      <c r="H11" s="1943"/>
    </row>
    <row r="12" spans="1:11" ht="18.75" customHeight="1" thickBot="1">
      <c r="A12" s="4347" t="s">
        <v>2093</v>
      </c>
      <c r="B12" s="4348"/>
      <c r="C12" s="4348"/>
      <c r="D12" s="4348"/>
      <c r="E12" s="4348"/>
      <c r="F12" s="4349"/>
      <c r="G12" s="1942"/>
      <c r="H12" s="1943"/>
      <c r="J12" s="1949" t="s">
        <v>2094</v>
      </c>
    </row>
    <row r="13" spans="1:11" ht="25.5" customHeight="1">
      <c r="A13" s="1952" t="s">
        <v>1496</v>
      </c>
      <c r="B13" s="1953">
        <f>SUM(C13:F13)</f>
        <v>4277.5</v>
      </c>
      <c r="C13" s="2580">
        <f>2900/2</f>
        <v>1450</v>
      </c>
      <c r="D13" s="2147"/>
      <c r="E13" s="2580">
        <f>5600/2</f>
        <v>2800</v>
      </c>
      <c r="F13" s="2581">
        <f>55/2</f>
        <v>27.5</v>
      </c>
      <c r="G13" s="1956"/>
      <c r="H13" s="1943"/>
      <c r="J13" s="1949">
        <v>1583.49</v>
      </c>
    </row>
    <row r="14" spans="1:11" ht="25.5" customHeight="1" thickBot="1">
      <c r="A14" s="1957" t="s">
        <v>977</v>
      </c>
      <c r="B14" s="1951">
        <f>SUM(C14:F14)</f>
        <v>1.7101999999999999</v>
      </c>
      <c r="C14" s="2643">
        <v>0.39600000000000002</v>
      </c>
      <c r="D14" s="2644"/>
      <c r="E14" s="2643">
        <v>1.3051999999999999</v>
      </c>
      <c r="F14" s="2645">
        <f>0.009</f>
        <v>8.9999999999999993E-3</v>
      </c>
      <c r="G14" s="1960">
        <f>F13/F14</f>
        <v>3055.5555555555557</v>
      </c>
      <c r="H14" s="1943"/>
      <c r="J14" s="1961">
        <v>0.44500000000000001</v>
      </c>
      <c r="K14" s="1962">
        <f>J13/J14</f>
        <v>3558.4044943820222</v>
      </c>
    </row>
    <row r="15" spans="1:11" ht="20.25" customHeight="1">
      <c r="A15" s="4350" t="s">
        <v>1497</v>
      </c>
      <c r="B15" s="4351"/>
      <c r="C15" s="4351"/>
      <c r="D15" s="4351"/>
      <c r="E15" s="4351"/>
      <c r="F15" s="4352"/>
      <c r="G15" s="1942"/>
      <c r="H15" s="1943"/>
    </row>
    <row r="16" spans="1:11" ht="24" customHeight="1" thickBot="1">
      <c r="A16" s="4353" t="s">
        <v>2095</v>
      </c>
      <c r="B16" s="4353"/>
      <c r="C16" s="4353"/>
      <c r="D16" s="4353"/>
      <c r="E16" s="4353"/>
      <c r="F16" s="4353"/>
      <c r="G16" s="1942"/>
      <c r="H16" s="1943"/>
      <c r="J16" s="1949" t="s">
        <v>2094</v>
      </c>
    </row>
    <row r="17" spans="1:11" ht="24" customHeight="1">
      <c r="A17" s="1952" t="s">
        <v>1496</v>
      </c>
      <c r="B17" s="1963"/>
      <c r="C17" s="1964"/>
      <c r="D17" s="1964"/>
      <c r="E17" s="1965"/>
      <c r="F17" s="1966"/>
      <c r="G17" s="1956"/>
      <c r="H17" s="1943"/>
      <c r="J17" s="1949">
        <v>1583.49</v>
      </c>
    </row>
    <row r="18" spans="1:11" ht="24" customHeight="1" thickBot="1">
      <c r="A18" s="1957" t="s">
        <v>977</v>
      </c>
      <c r="B18" s="1967"/>
      <c r="C18" s="1968"/>
      <c r="D18" s="1968"/>
      <c r="E18" s="1969"/>
      <c r="F18" s="1970"/>
      <c r="G18" s="1960" t="e">
        <f>F17/F18</f>
        <v>#DIV/0!</v>
      </c>
      <c r="H18" s="1943"/>
      <c r="J18" s="1961">
        <v>0.44500000000000001</v>
      </c>
      <c r="K18" s="1962">
        <f>J17/J18</f>
        <v>3558.4044943820222</v>
      </c>
    </row>
    <row r="19" spans="1:11" ht="22.5" customHeight="1" thickBot="1">
      <c r="A19" s="4343" t="s">
        <v>2096</v>
      </c>
      <c r="B19" s="4343"/>
      <c r="C19" s="4343"/>
      <c r="D19" s="4343"/>
      <c r="E19" s="4343"/>
      <c r="F19" s="4343"/>
      <c r="G19" s="1971">
        <f>F24+F40</f>
        <v>139.52500000000001</v>
      </c>
      <c r="H19" s="1972" t="s">
        <v>2097</v>
      </c>
      <c r="I19" s="1949"/>
      <c r="J19" s="1949">
        <f>J20+J40</f>
        <v>1183.21</v>
      </c>
    </row>
    <row r="20" spans="1:11" ht="22.5" customHeight="1">
      <c r="A20" s="1944" t="s">
        <v>1496</v>
      </c>
      <c r="B20" s="1953">
        <f>SUM(C20:F20)</f>
        <v>346.5</v>
      </c>
      <c r="C20" s="1953"/>
      <c r="D20" s="1953"/>
      <c r="E20" s="1953">
        <f>E24+E27</f>
        <v>190</v>
      </c>
      <c r="F20" s="1973">
        <f>F24+F27</f>
        <v>156.5</v>
      </c>
      <c r="G20" s="1943"/>
      <c r="H20" s="1943"/>
      <c r="J20" s="1937">
        <v>1183.21</v>
      </c>
    </row>
    <row r="21" spans="1:11" ht="22.5" customHeight="1" thickBot="1">
      <c r="A21" s="1957" t="s">
        <v>977</v>
      </c>
      <c r="B21" s="2639">
        <f>SUM(C21:F21)</f>
        <v>0.1067</v>
      </c>
      <c r="C21" s="2639"/>
      <c r="D21" s="2639"/>
      <c r="E21" s="2639">
        <f>E25+E28</f>
        <v>5.8500000000000003E-2</v>
      </c>
      <c r="F21" s="2646">
        <f>F25+F28</f>
        <v>4.82E-2</v>
      </c>
      <c r="G21" s="1960">
        <f>F20/F21</f>
        <v>3246.8879668049794</v>
      </c>
      <c r="H21" s="1943"/>
      <c r="J21" s="1937">
        <v>0.34200000000000003</v>
      </c>
      <c r="K21" s="1962">
        <f>J20/J21</f>
        <v>3459.6783625730991</v>
      </c>
    </row>
    <row r="22" spans="1:11" ht="20.25" customHeight="1">
      <c r="A22" s="4340" t="s">
        <v>1497</v>
      </c>
      <c r="B22" s="4340"/>
      <c r="C22" s="4340"/>
      <c r="D22" s="4340"/>
      <c r="E22" s="4340"/>
      <c r="F22" s="4340"/>
      <c r="G22" s="1943"/>
      <c r="H22" s="1943"/>
    </row>
    <row r="23" spans="1:11" ht="21.75" customHeight="1" thickBot="1">
      <c r="A23" s="4337" t="s">
        <v>2098</v>
      </c>
      <c r="B23" s="4337"/>
      <c r="C23" s="4337"/>
      <c r="D23" s="4337"/>
      <c r="E23" s="4337"/>
      <c r="F23" s="4337"/>
      <c r="G23" s="1943"/>
      <c r="H23" s="1943"/>
    </row>
    <row r="24" spans="1:11" ht="22.5" customHeight="1">
      <c r="A24" s="1944" t="s">
        <v>1496</v>
      </c>
      <c r="B24" s="1953">
        <f>SUM(C24:F24)</f>
        <v>294.52499999999998</v>
      </c>
      <c r="C24" s="1953"/>
      <c r="D24" s="1953"/>
      <c r="E24" s="1953">
        <f>E34+E44+E54</f>
        <v>161.5</v>
      </c>
      <c r="F24" s="1973">
        <f>F34+F44+F54</f>
        <v>133.02500000000001</v>
      </c>
      <c r="G24" s="1943"/>
      <c r="H24" s="1943"/>
    </row>
    <row r="25" spans="1:11" ht="22.5" customHeight="1" thickBot="1">
      <c r="A25" s="1957" t="s">
        <v>977</v>
      </c>
      <c r="B25" s="2639">
        <f>SUM(C25:F25)</f>
        <v>9.0700000000000003E-2</v>
      </c>
      <c r="C25" s="2639"/>
      <c r="D25" s="2639"/>
      <c r="E25" s="2639">
        <f>E35+E45+E55</f>
        <v>4.9700000000000001E-2</v>
      </c>
      <c r="F25" s="2646">
        <f>F35+F45+F55</f>
        <v>4.1000000000000002E-2</v>
      </c>
      <c r="G25" s="1943"/>
      <c r="H25" s="1943"/>
    </row>
    <row r="26" spans="1:11" ht="24.75" customHeight="1" thickBot="1">
      <c r="A26" s="4338" t="s">
        <v>2099</v>
      </c>
      <c r="B26" s="4338"/>
      <c r="C26" s="4338"/>
      <c r="D26" s="4338"/>
      <c r="E26" s="4338"/>
      <c r="F26" s="4338"/>
      <c r="G26" s="1943"/>
      <c r="H26" s="1943"/>
    </row>
    <row r="27" spans="1:11" ht="24.75" customHeight="1">
      <c r="A27" s="1944" t="s">
        <v>1496</v>
      </c>
      <c r="B27" s="1945">
        <f>SUM(C27:F27)</f>
        <v>51.975000000000001</v>
      </c>
      <c r="C27" s="1975"/>
      <c r="D27" s="1975"/>
      <c r="E27" s="1945">
        <f>E37+E47+E57</f>
        <v>28.5</v>
      </c>
      <c r="F27" s="1973">
        <f>F37+F47+F57</f>
        <v>23.475000000000001</v>
      </c>
      <c r="G27" s="1943"/>
      <c r="H27" s="1943"/>
    </row>
    <row r="28" spans="1:11" ht="24.75" customHeight="1" thickBot="1">
      <c r="A28" s="1957" t="s">
        <v>977</v>
      </c>
      <c r="B28" s="2639">
        <f>SUM(C28:F28)</f>
        <v>1.6E-2</v>
      </c>
      <c r="C28" s="2647"/>
      <c r="D28" s="2647"/>
      <c r="E28" s="2639">
        <f>E38+E48+E58</f>
        <v>8.8000000000000005E-3</v>
      </c>
      <c r="F28" s="2646">
        <f>F38+F48+F58</f>
        <v>7.1999999999999998E-3</v>
      </c>
      <c r="G28" s="1943"/>
      <c r="H28" s="1943"/>
    </row>
    <row r="29" spans="1:11" ht="39.75" customHeight="1" thickBot="1">
      <c r="A29" s="4354" t="s">
        <v>2100</v>
      </c>
      <c r="B29" s="4355"/>
      <c r="C29" s="4355"/>
      <c r="D29" s="4355"/>
      <c r="E29" s="4355"/>
      <c r="F29" s="4356"/>
      <c r="G29" s="1971">
        <f>F34+F50</f>
        <v>150</v>
      </c>
      <c r="H29" s="1972" t="s">
        <v>2097</v>
      </c>
      <c r="I29" s="1949"/>
      <c r="J29" s="1949">
        <f>J30+J50</f>
        <v>1923.71</v>
      </c>
    </row>
    <row r="30" spans="1:11" ht="25.5" customHeight="1">
      <c r="A30" s="1944" t="s">
        <v>1496</v>
      </c>
      <c r="B30" s="1979"/>
      <c r="C30" s="1975"/>
      <c r="D30" s="1975"/>
      <c r="E30" s="1992"/>
      <c r="F30" s="1993"/>
      <c r="G30" s="1943"/>
      <c r="H30" s="1943"/>
      <c r="J30" s="1937">
        <v>1183.21</v>
      </c>
    </row>
    <row r="31" spans="1:11" ht="25.5" customHeight="1" thickBot="1">
      <c r="A31" s="1957" t="s">
        <v>977</v>
      </c>
      <c r="B31" s="1980"/>
      <c r="C31" s="1968"/>
      <c r="D31" s="1968"/>
      <c r="E31" s="1994"/>
      <c r="F31" s="1995"/>
      <c r="G31" s="1960" t="e">
        <f>F30/F31</f>
        <v>#DIV/0!</v>
      </c>
      <c r="H31" s="1943"/>
      <c r="J31" s="1937">
        <v>0.34200000000000003</v>
      </c>
      <c r="K31" s="1962">
        <f>J30/J31</f>
        <v>3459.6783625730991</v>
      </c>
    </row>
    <row r="32" spans="1:11" ht="19.5" customHeight="1">
      <c r="A32" s="4340" t="s">
        <v>1497</v>
      </c>
      <c r="B32" s="4340"/>
      <c r="C32" s="4340"/>
      <c r="D32" s="4340"/>
      <c r="E32" s="4340"/>
      <c r="F32" s="4340"/>
      <c r="G32" s="1943"/>
      <c r="H32" s="1943"/>
    </row>
    <row r="33" spans="1:8" ht="25.5" customHeight="1" thickBot="1">
      <c r="A33" s="4337" t="s">
        <v>2101</v>
      </c>
      <c r="B33" s="4337"/>
      <c r="C33" s="4337"/>
      <c r="D33" s="4337"/>
      <c r="E33" s="4337"/>
      <c r="F33" s="4337"/>
      <c r="G33" s="1943"/>
      <c r="H33" s="1943"/>
    </row>
    <row r="34" spans="1:8" ht="22.5" customHeight="1">
      <c r="A34" s="1944" t="s">
        <v>1496</v>
      </c>
      <c r="B34" s="1979"/>
      <c r="C34" s="1975"/>
      <c r="D34" s="1975"/>
      <c r="E34" s="1976"/>
      <c r="F34" s="1977"/>
      <c r="G34" s="1943"/>
      <c r="H34" s="1943"/>
    </row>
    <row r="35" spans="1:8" ht="22.5" customHeight="1" thickBot="1">
      <c r="A35" s="1957" t="s">
        <v>977</v>
      </c>
      <c r="B35" s="1980"/>
      <c r="C35" s="1968"/>
      <c r="D35" s="1968"/>
      <c r="E35" s="1969"/>
      <c r="F35" s="1981"/>
      <c r="G35" s="1943"/>
      <c r="H35" s="1943"/>
    </row>
    <row r="36" spans="1:8" ht="22.5" customHeight="1" thickBot="1">
      <c r="A36" s="4338" t="s">
        <v>2102</v>
      </c>
      <c r="B36" s="4338"/>
      <c r="C36" s="4338"/>
      <c r="D36" s="4338"/>
      <c r="E36" s="4338"/>
      <c r="F36" s="4338"/>
      <c r="G36" s="1943"/>
      <c r="H36" s="1943"/>
    </row>
    <row r="37" spans="1:8" ht="22.5" customHeight="1">
      <c r="A37" s="1944" t="s">
        <v>1496</v>
      </c>
      <c r="B37" s="1979"/>
      <c r="C37" s="1975"/>
      <c r="D37" s="1975"/>
      <c r="E37" s="1976"/>
      <c r="F37" s="1982"/>
      <c r="G37" s="1943"/>
      <c r="H37" s="1943"/>
    </row>
    <row r="38" spans="1:8" ht="22.5" customHeight="1" thickBot="1">
      <c r="A38" s="1957" t="s">
        <v>977</v>
      </c>
      <c r="B38" s="1980"/>
      <c r="C38" s="1968"/>
      <c r="D38" s="1968"/>
      <c r="E38" s="1969"/>
      <c r="F38" s="1981"/>
      <c r="G38" s="1943"/>
      <c r="H38" s="1943"/>
    </row>
    <row r="39" spans="1:8" ht="27" customHeight="1" thickBot="1">
      <c r="A39" s="4339" t="s">
        <v>2103</v>
      </c>
      <c r="B39" s="4339"/>
      <c r="C39" s="4339"/>
      <c r="D39" s="4339"/>
      <c r="E39" s="4339"/>
      <c r="F39" s="4339"/>
      <c r="G39" s="1943"/>
      <c r="H39" s="1943"/>
    </row>
    <row r="40" spans="1:8" ht="27" customHeight="1">
      <c r="A40" s="1944" t="s">
        <v>1496</v>
      </c>
      <c r="B40" s="1990">
        <f>SUM(C40:F40)</f>
        <v>6.5</v>
      </c>
      <c r="C40" s="1984"/>
      <c r="D40" s="1984"/>
      <c r="E40" s="1992"/>
      <c r="F40" s="2358">
        <f>F44+F47</f>
        <v>6.5</v>
      </c>
      <c r="G40" s="1943"/>
      <c r="H40" s="1943"/>
    </row>
    <row r="41" spans="1:8" ht="27" customHeight="1" thickBot="1">
      <c r="A41" s="1957" t="s">
        <v>977</v>
      </c>
      <c r="B41" s="2648">
        <f>SUM(C41:F41)</f>
        <v>2E-3</v>
      </c>
      <c r="C41" s="2649"/>
      <c r="D41" s="2649"/>
      <c r="E41" s="2650"/>
      <c r="F41" s="1981">
        <f>F45+F48</f>
        <v>2E-3</v>
      </c>
      <c r="G41" s="1943"/>
      <c r="H41" s="1943"/>
    </row>
    <row r="42" spans="1:8" ht="20.25" customHeight="1">
      <c r="A42" s="4340" t="s">
        <v>1497</v>
      </c>
      <c r="B42" s="4340"/>
      <c r="C42" s="4340"/>
      <c r="D42" s="4340"/>
      <c r="E42" s="4340"/>
      <c r="F42" s="4340"/>
      <c r="G42" s="1943"/>
      <c r="H42" s="1943"/>
    </row>
    <row r="43" spans="1:8" ht="20.25" customHeight="1" thickBot="1">
      <c r="A43" s="4337" t="s">
        <v>2104</v>
      </c>
      <c r="B43" s="4337"/>
      <c r="C43" s="4337"/>
      <c r="D43" s="4337"/>
      <c r="E43" s="4337"/>
      <c r="F43" s="4337"/>
      <c r="G43" s="1943"/>
      <c r="H43" s="1943"/>
    </row>
    <row r="44" spans="1:8" ht="21.75" customHeight="1">
      <c r="A44" s="1944" t="s">
        <v>1496</v>
      </c>
      <c r="B44" s="1990">
        <f>SUM(C44:F44)</f>
        <v>5.5250000000000004</v>
      </c>
      <c r="C44" s="1984"/>
      <c r="D44" s="1984"/>
      <c r="E44" s="1984"/>
      <c r="F44" s="2651">
        <f>11.05/2</f>
        <v>5.5250000000000004</v>
      </c>
      <c r="G44" s="1943"/>
      <c r="H44" s="1943"/>
    </row>
    <row r="45" spans="1:8" ht="21.75" customHeight="1" thickBot="1">
      <c r="A45" s="1957" t="s">
        <v>977</v>
      </c>
      <c r="B45" s="2648">
        <f>SUM(C45:F45)</f>
        <v>1.6999999999999999E-3</v>
      </c>
      <c r="C45" s="2649"/>
      <c r="D45" s="2649"/>
      <c r="E45" s="2649"/>
      <c r="F45" s="2652">
        <v>1.6999999999999999E-3</v>
      </c>
      <c r="G45" s="1943"/>
      <c r="H45" s="1943"/>
    </row>
    <row r="46" spans="1:8" ht="25.5" customHeight="1" thickBot="1">
      <c r="A46" s="4338" t="s">
        <v>2105</v>
      </c>
      <c r="B46" s="4338"/>
      <c r="C46" s="4338"/>
      <c r="D46" s="4338"/>
      <c r="E46" s="4338"/>
      <c r="F46" s="4338"/>
      <c r="G46" s="1943"/>
      <c r="H46" s="1943"/>
    </row>
    <row r="47" spans="1:8" ht="22.5" customHeight="1">
      <c r="A47" s="1944" t="s">
        <v>1496</v>
      </c>
      <c r="B47" s="1990">
        <f>SUM(C47:F47)</f>
        <v>0.97499999999999998</v>
      </c>
      <c r="C47" s="1984"/>
      <c r="D47" s="1984"/>
      <c r="E47" s="1984"/>
      <c r="F47" s="2651">
        <f>1.95/2</f>
        <v>0.97499999999999998</v>
      </c>
      <c r="G47" s="1943"/>
      <c r="H47" s="1943"/>
    </row>
    <row r="48" spans="1:8" ht="22.5" customHeight="1" thickBot="1">
      <c r="A48" s="1957" t="s">
        <v>977</v>
      </c>
      <c r="B48" s="2648">
        <f>SUM(C48:F48)</f>
        <v>2.9999999999999997E-4</v>
      </c>
      <c r="C48" s="2649"/>
      <c r="D48" s="2649"/>
      <c r="E48" s="2649"/>
      <c r="F48" s="2652">
        <v>2.9999999999999997E-4</v>
      </c>
      <c r="G48" s="1943"/>
      <c r="H48" s="1943"/>
    </row>
    <row r="49" spans="1:14" ht="21" customHeight="1" thickBot="1">
      <c r="A49" s="4339" t="s">
        <v>2106</v>
      </c>
      <c r="B49" s="4339"/>
      <c r="C49" s="4339"/>
      <c r="D49" s="4339"/>
      <c r="E49" s="4339"/>
      <c r="F49" s="4339"/>
      <c r="G49" s="1943"/>
      <c r="H49" s="1943"/>
      <c r="N49" s="1937" t="s">
        <v>2256</v>
      </c>
    </row>
    <row r="50" spans="1:14" ht="21" customHeight="1">
      <c r="A50" s="1944" t="s">
        <v>1496</v>
      </c>
      <c r="B50" s="1990">
        <f>SUM(C50:F50)</f>
        <v>340</v>
      </c>
      <c r="C50" s="1991"/>
      <c r="D50" s="1991"/>
      <c r="E50" s="1992">
        <f>E54+E57</f>
        <v>190</v>
      </c>
      <c r="F50" s="1993">
        <f>F54+F57</f>
        <v>150</v>
      </c>
      <c r="G50" s="1943"/>
      <c r="H50" s="1943"/>
      <c r="J50" s="1937">
        <v>740.5</v>
      </c>
    </row>
    <row r="51" spans="1:14" ht="21" customHeight="1" thickBot="1">
      <c r="A51" s="1957" t="s">
        <v>977</v>
      </c>
      <c r="B51" s="2648">
        <f>SUM(C51:F51)</f>
        <v>0.10470000000000002</v>
      </c>
      <c r="C51" s="2649"/>
      <c r="D51" s="2649"/>
      <c r="E51" s="2650">
        <f>E55+E58</f>
        <v>5.8500000000000003E-2</v>
      </c>
      <c r="F51" s="2653">
        <f>F55+F58</f>
        <v>4.6200000000000005E-2</v>
      </c>
      <c r="G51" s="1960">
        <f>F50/F51</f>
        <v>3246.7532467532465</v>
      </c>
      <c r="H51" s="1943"/>
      <c r="J51" s="1961">
        <v>0.23300000000000001</v>
      </c>
      <c r="K51" s="1962">
        <f>J50/J51</f>
        <v>3178.1115879828326</v>
      </c>
    </row>
    <row r="52" spans="1:14" ht="15.75" customHeight="1">
      <c r="A52" s="4340" t="s">
        <v>1497</v>
      </c>
      <c r="B52" s="4340"/>
      <c r="C52" s="4340"/>
      <c r="D52" s="4340"/>
      <c r="E52" s="4340"/>
      <c r="F52" s="4340"/>
      <c r="G52" s="1943"/>
      <c r="H52" s="1943"/>
    </row>
    <row r="53" spans="1:14" ht="23.25" customHeight="1" thickBot="1">
      <c r="A53" s="4337" t="s">
        <v>2107</v>
      </c>
      <c r="B53" s="4337"/>
      <c r="C53" s="4337"/>
      <c r="D53" s="4337"/>
      <c r="E53" s="4337"/>
      <c r="F53" s="4337"/>
      <c r="G53" s="1943"/>
      <c r="H53" s="1943"/>
    </row>
    <row r="54" spans="1:14" ht="23.25" customHeight="1">
      <c r="A54" s="1944" t="s">
        <v>1496</v>
      </c>
      <c r="B54" s="1996">
        <f>SUM(C54:F54)</f>
        <v>289</v>
      </c>
      <c r="C54" s="1947"/>
      <c r="D54" s="1947"/>
      <c r="E54" s="2148">
        <f>323/2</f>
        <v>161.5</v>
      </c>
      <c r="F54" s="2582">
        <f>255/2</f>
        <v>127.5</v>
      </c>
      <c r="G54" s="1943"/>
      <c r="H54" s="1943"/>
    </row>
    <row r="55" spans="1:14" ht="23.25" customHeight="1" thickBot="1">
      <c r="A55" s="1957" t="s">
        <v>977</v>
      </c>
      <c r="B55" s="2648">
        <f>SUM(C55:F55)</f>
        <v>8.8999999999999996E-2</v>
      </c>
      <c r="C55" s="2647"/>
      <c r="D55" s="2647"/>
      <c r="E55" s="2654">
        <v>4.9700000000000001E-2</v>
      </c>
      <c r="F55" s="2655">
        <v>3.9300000000000002E-2</v>
      </c>
      <c r="G55" s="1943"/>
      <c r="H55" s="1943"/>
    </row>
    <row r="56" spans="1:14" ht="19.5" customHeight="1" thickBot="1">
      <c r="A56" s="4338" t="s">
        <v>2108</v>
      </c>
      <c r="B56" s="4338"/>
      <c r="C56" s="4338"/>
      <c r="D56" s="4338"/>
      <c r="E56" s="4338"/>
      <c r="F56" s="4338"/>
      <c r="G56" s="1943"/>
      <c r="H56" s="1943"/>
    </row>
    <row r="57" spans="1:14" ht="19.5" customHeight="1">
      <c r="A57" s="1944" t="s">
        <v>1496</v>
      </c>
      <c r="B57" s="1996">
        <f>SUM(C57:F57)</f>
        <v>51</v>
      </c>
      <c r="C57" s="1975"/>
      <c r="D57" s="1975"/>
      <c r="E57" s="2148">
        <f>57/2</f>
        <v>28.5</v>
      </c>
      <c r="F57" s="2582">
        <f>45/2</f>
        <v>22.5</v>
      </c>
      <c r="G57" s="1943"/>
      <c r="H57" s="1943"/>
    </row>
    <row r="58" spans="1:14" ht="19.5" customHeight="1" thickBot="1">
      <c r="A58" s="1957" t="s">
        <v>977</v>
      </c>
      <c r="B58" s="2648">
        <f>SUM(C58:F58)</f>
        <v>1.5699999999999999E-2</v>
      </c>
      <c r="C58" s="2647"/>
      <c r="D58" s="2647"/>
      <c r="E58" s="2654">
        <v>8.8000000000000005E-3</v>
      </c>
      <c r="F58" s="2655">
        <v>6.8999999999999999E-3</v>
      </c>
    </row>
    <row r="59" spans="1:14" ht="27.75" customHeight="1" thickBot="1">
      <c r="A59" s="4341" t="s">
        <v>2109</v>
      </c>
      <c r="B59" s="4341"/>
      <c r="C59" s="4341"/>
      <c r="D59" s="4341"/>
      <c r="E59" s="4341"/>
      <c r="F59" s="4341"/>
      <c r="G59" s="1998" t="s">
        <v>2110</v>
      </c>
    </row>
    <row r="60" spans="1:14" ht="26.25" customHeight="1">
      <c r="A60" s="1999" t="s">
        <v>1496</v>
      </c>
      <c r="B60" s="1945">
        <f>SUM(C60:F60)</f>
        <v>75378.010499999989</v>
      </c>
      <c r="C60" s="1954">
        <f>150484.197/2</f>
        <v>75242.098499999993</v>
      </c>
      <c r="D60" s="1954"/>
      <c r="E60" s="1954"/>
      <c r="F60" s="1955">
        <f>271.824/2</f>
        <v>135.91200000000001</v>
      </c>
      <c r="G60" s="1998" t="s">
        <v>2111</v>
      </c>
    </row>
    <row r="61" spans="1:14" ht="26.25" customHeight="1" thickBot="1">
      <c r="A61" s="2000" t="s">
        <v>977</v>
      </c>
      <c r="B61" s="2639">
        <f>SUM(C61:F61)</f>
        <v>32.386130000000001</v>
      </c>
      <c r="C61" s="2644">
        <v>32</v>
      </c>
      <c r="D61" s="2644"/>
      <c r="E61" s="2644"/>
      <c r="F61" s="2656">
        <v>0.38612999999999997</v>
      </c>
    </row>
    <row r="62" spans="1:14" ht="24" customHeight="1">
      <c r="A62" s="2001"/>
      <c r="B62" s="2002"/>
      <c r="C62" s="1942"/>
      <c r="D62" s="1942"/>
      <c r="E62" s="2631"/>
      <c r="F62" s="2631"/>
    </row>
    <row r="63" spans="1:14" ht="17.25" customHeight="1">
      <c r="A63" s="4363" t="str">
        <f>'[14]1тсо кроме мрск'!A63:F63</f>
        <v>Примечание: * -  действующий договор оказания услуг по передаче электрической энергии № 3 от 01.01.2011г.;</v>
      </c>
      <c r="B63" s="4363"/>
      <c r="C63" s="4363"/>
      <c r="D63" s="4363"/>
      <c r="E63" s="4363"/>
      <c r="F63" s="4363"/>
    </row>
    <row r="64" spans="1:14" ht="17.25" customHeight="1">
      <c r="A64" s="4363" t="str">
        <f>'[14]1тсо кроме мрск'!A64:F64</f>
        <v xml:space="preserve">                        ** -   действующие договора энергоснабжения № 20-1001э от 01.01.2013г. , № 20-1001к от 01.01.2013г..</v>
      </c>
      <c r="B64" s="4363"/>
      <c r="C64" s="4363"/>
      <c r="D64" s="4363"/>
      <c r="E64" s="4363"/>
      <c r="F64" s="4363"/>
    </row>
    <row r="65" spans="1:6" ht="23.25" customHeight="1">
      <c r="A65" s="4333" t="s">
        <v>2114</v>
      </c>
      <c r="B65" s="4333"/>
      <c r="D65" s="4364" t="str">
        <f>'[14]1тсо кроме мрск'!D65:F70</f>
        <v>Руководитель сетевой организации АО "РКЦ "Прогресс"</v>
      </c>
      <c r="E65" s="4364"/>
      <c r="F65" s="4364"/>
    </row>
    <row r="66" spans="1:6" hidden="1">
      <c r="A66" s="4333"/>
      <c r="B66" s="4333"/>
      <c r="D66" s="4364"/>
      <c r="E66" s="4364"/>
      <c r="F66" s="4364"/>
    </row>
    <row r="67" spans="1:6" hidden="1">
      <c r="A67" s="4333"/>
      <c r="B67" s="4333"/>
      <c r="D67" s="4364"/>
      <c r="E67" s="4364"/>
      <c r="F67" s="4364"/>
    </row>
    <row r="68" spans="1:6" hidden="1">
      <c r="A68" s="4333"/>
      <c r="B68" s="4333"/>
      <c r="D68" s="4364"/>
      <c r="E68" s="4364"/>
      <c r="F68" s="4364"/>
    </row>
    <row r="69" spans="1:6" hidden="1">
      <c r="A69" s="4333"/>
      <c r="B69" s="4333"/>
      <c r="D69" s="4364"/>
      <c r="E69" s="4364"/>
      <c r="F69" s="4364"/>
    </row>
    <row r="70" spans="1:6" s="2003" customFormat="1" ht="13.8">
      <c r="A70" s="4333"/>
      <c r="B70" s="4333"/>
      <c r="D70" s="4364"/>
      <c r="E70" s="4364"/>
      <c r="F70" s="4364"/>
    </row>
    <row r="71" spans="1:6" s="2003" customFormat="1" ht="32.25" customHeight="1">
      <c r="A71" s="4335" t="s">
        <v>2115</v>
      </c>
      <c r="B71" s="4335"/>
      <c r="D71" s="4336" t="s">
        <v>1268</v>
      </c>
      <c r="E71" s="4336"/>
      <c r="F71" s="4336"/>
    </row>
    <row r="72" spans="1:6" s="2003" customFormat="1" ht="13.8">
      <c r="A72" s="4335" t="s">
        <v>2116</v>
      </c>
      <c r="B72" s="4335"/>
      <c r="D72" s="4335" t="s">
        <v>2116</v>
      </c>
      <c r="E72" s="4335"/>
      <c r="F72" s="4335"/>
    </row>
    <row r="73" spans="1:6" s="2003" customFormat="1" ht="13.8">
      <c r="A73" s="4330" t="s">
        <v>1507</v>
      </c>
      <c r="B73" s="4330"/>
      <c r="D73" s="4330" t="s">
        <v>1507</v>
      </c>
      <c r="E73" s="4330"/>
      <c r="F73" s="4330"/>
    </row>
    <row r="75" spans="1:6" hidden="1"/>
    <row r="76" spans="1:6" hidden="1"/>
    <row r="77" spans="1:6" s="2004" customFormat="1" ht="21" customHeight="1">
      <c r="A77" s="4331" t="s">
        <v>2117</v>
      </c>
      <c r="B77" s="4331"/>
    </row>
    <row r="78" spans="1:6" hidden="1">
      <c r="D78" s="2005"/>
    </row>
  </sheetData>
  <sheetProtection selectLockedCells="1" selectUnlockedCells="1"/>
  <mergeCells count="40">
    <mergeCell ref="A1:F1"/>
    <mergeCell ref="A2:F2"/>
    <mergeCell ref="A3:F3"/>
    <mergeCell ref="A5:A6"/>
    <mergeCell ref="B5:B6"/>
    <mergeCell ref="C5:F5"/>
    <mergeCell ref="A32:F32"/>
    <mergeCell ref="A7:F7"/>
    <mergeCell ref="A8:F8"/>
    <mergeCell ref="A11:F11"/>
    <mergeCell ref="A12:F12"/>
    <mergeCell ref="A15:F15"/>
    <mergeCell ref="A16:F16"/>
    <mergeCell ref="A19:F19"/>
    <mergeCell ref="A22:F22"/>
    <mergeCell ref="A23:F23"/>
    <mergeCell ref="A26:F26"/>
    <mergeCell ref="A29:F29"/>
    <mergeCell ref="A63:F63"/>
    <mergeCell ref="A33:F33"/>
    <mergeCell ref="A36:F36"/>
    <mergeCell ref="A39:F39"/>
    <mergeCell ref="A42:F42"/>
    <mergeCell ref="A43:F43"/>
    <mergeCell ref="A46:F46"/>
    <mergeCell ref="A49:F49"/>
    <mergeCell ref="A52:F52"/>
    <mergeCell ref="A53:F53"/>
    <mergeCell ref="A56:F56"/>
    <mergeCell ref="A59:F59"/>
    <mergeCell ref="A73:B73"/>
    <mergeCell ref="D73:F73"/>
    <mergeCell ref="A77:B77"/>
    <mergeCell ref="A64:F64"/>
    <mergeCell ref="A65:B70"/>
    <mergeCell ref="D65:F70"/>
    <mergeCell ref="A71:B71"/>
    <mergeCell ref="D71:F71"/>
    <mergeCell ref="A72:B72"/>
    <mergeCell ref="D72:F72"/>
  </mergeCells>
  <printOptions horizontalCentered="1"/>
  <pageMargins left="0.78740157480314965" right="0.19685039370078741" top="0.59055118110236227" bottom="0.19685039370078741" header="0.51181102362204722" footer="0.51181102362204722"/>
  <pageSetup paperSize="9" scale="51" firstPageNumber="0" orientation="portrait" horizontalDpi="300" verticalDpi="300" r:id="rId1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2"/>
  <dimension ref="A1"/>
  <sheetViews>
    <sheetView workbookViewId="0">
      <selection sqref="A1:XFD1048576"/>
    </sheetView>
  </sheetViews>
  <sheetFormatPr defaultRowHeight="13.2"/>
  <sheetData/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3">
    <tabColor theme="9" tint="0.59999389629810485"/>
  </sheetPr>
  <dimension ref="A1:V78"/>
  <sheetViews>
    <sheetView zoomScale="85" zoomScaleNormal="85" zoomScaleSheetLayoutView="75" workbookViewId="0">
      <pane ySplit="6" topLeftCell="A46" activePane="bottomLeft" state="frozen"/>
      <selection sqref="A1:XFD1048576"/>
      <selection pane="bottomLeft" sqref="A1:XFD1048576"/>
    </sheetView>
  </sheetViews>
  <sheetFormatPr defaultRowHeight="13.2"/>
  <cols>
    <col min="1" max="1" width="60.6640625" style="1937" customWidth="1"/>
    <col min="2" max="2" width="24.33203125" style="1937" customWidth="1"/>
    <col min="3" max="6" width="17.6640625" style="1937" customWidth="1"/>
    <col min="7" max="14" width="0" style="1937" hidden="1" customWidth="1"/>
    <col min="15" max="15" width="8.109375" style="1937" hidden="1" customWidth="1"/>
    <col min="16" max="18" width="0" style="1937" hidden="1" customWidth="1"/>
    <col min="19" max="256" width="9.109375" style="1937"/>
    <col min="257" max="257" width="60.6640625" style="1937" customWidth="1"/>
    <col min="258" max="258" width="24.33203125" style="1937" customWidth="1"/>
    <col min="259" max="262" width="17.6640625" style="1937" customWidth="1"/>
    <col min="263" max="274" width="0" style="1937" hidden="1" customWidth="1"/>
    <col min="275" max="512" width="9.109375" style="1937"/>
    <col min="513" max="513" width="60.6640625" style="1937" customWidth="1"/>
    <col min="514" max="514" width="24.33203125" style="1937" customWidth="1"/>
    <col min="515" max="518" width="17.6640625" style="1937" customWidth="1"/>
    <col min="519" max="530" width="0" style="1937" hidden="1" customWidth="1"/>
    <col min="531" max="768" width="9.109375" style="1937"/>
    <col min="769" max="769" width="60.6640625" style="1937" customWidth="1"/>
    <col min="770" max="770" width="24.33203125" style="1937" customWidth="1"/>
    <col min="771" max="774" width="17.6640625" style="1937" customWidth="1"/>
    <col min="775" max="786" width="0" style="1937" hidden="1" customWidth="1"/>
    <col min="787" max="1024" width="9.109375" style="1937"/>
    <col min="1025" max="1025" width="60.6640625" style="1937" customWidth="1"/>
    <col min="1026" max="1026" width="24.33203125" style="1937" customWidth="1"/>
    <col min="1027" max="1030" width="17.6640625" style="1937" customWidth="1"/>
    <col min="1031" max="1042" width="0" style="1937" hidden="1" customWidth="1"/>
    <col min="1043" max="1280" width="9.109375" style="1937"/>
    <col min="1281" max="1281" width="60.6640625" style="1937" customWidth="1"/>
    <col min="1282" max="1282" width="24.33203125" style="1937" customWidth="1"/>
    <col min="1283" max="1286" width="17.6640625" style="1937" customWidth="1"/>
    <col min="1287" max="1298" width="0" style="1937" hidden="1" customWidth="1"/>
    <col min="1299" max="1536" width="9.109375" style="1937"/>
    <col min="1537" max="1537" width="60.6640625" style="1937" customWidth="1"/>
    <col min="1538" max="1538" width="24.33203125" style="1937" customWidth="1"/>
    <col min="1539" max="1542" width="17.6640625" style="1937" customWidth="1"/>
    <col min="1543" max="1554" width="0" style="1937" hidden="1" customWidth="1"/>
    <col min="1555" max="1792" width="9.109375" style="1937"/>
    <col min="1793" max="1793" width="60.6640625" style="1937" customWidth="1"/>
    <col min="1794" max="1794" width="24.33203125" style="1937" customWidth="1"/>
    <col min="1795" max="1798" width="17.6640625" style="1937" customWidth="1"/>
    <col min="1799" max="1810" width="0" style="1937" hidden="1" customWidth="1"/>
    <col min="1811" max="2048" width="9.109375" style="1937"/>
    <col min="2049" max="2049" width="60.6640625" style="1937" customWidth="1"/>
    <col min="2050" max="2050" width="24.33203125" style="1937" customWidth="1"/>
    <col min="2051" max="2054" width="17.6640625" style="1937" customWidth="1"/>
    <col min="2055" max="2066" width="0" style="1937" hidden="1" customWidth="1"/>
    <col min="2067" max="2304" width="9.109375" style="1937"/>
    <col min="2305" max="2305" width="60.6640625" style="1937" customWidth="1"/>
    <col min="2306" max="2306" width="24.33203125" style="1937" customWidth="1"/>
    <col min="2307" max="2310" width="17.6640625" style="1937" customWidth="1"/>
    <col min="2311" max="2322" width="0" style="1937" hidden="1" customWidth="1"/>
    <col min="2323" max="2560" width="9.109375" style="1937"/>
    <col min="2561" max="2561" width="60.6640625" style="1937" customWidth="1"/>
    <col min="2562" max="2562" width="24.33203125" style="1937" customWidth="1"/>
    <col min="2563" max="2566" width="17.6640625" style="1937" customWidth="1"/>
    <col min="2567" max="2578" width="0" style="1937" hidden="1" customWidth="1"/>
    <col min="2579" max="2816" width="9.109375" style="1937"/>
    <col min="2817" max="2817" width="60.6640625" style="1937" customWidth="1"/>
    <col min="2818" max="2818" width="24.33203125" style="1937" customWidth="1"/>
    <col min="2819" max="2822" width="17.6640625" style="1937" customWidth="1"/>
    <col min="2823" max="2834" width="0" style="1937" hidden="1" customWidth="1"/>
    <col min="2835" max="3072" width="9.109375" style="1937"/>
    <col min="3073" max="3073" width="60.6640625" style="1937" customWidth="1"/>
    <col min="3074" max="3074" width="24.33203125" style="1937" customWidth="1"/>
    <col min="3075" max="3078" width="17.6640625" style="1937" customWidth="1"/>
    <col min="3079" max="3090" width="0" style="1937" hidden="1" customWidth="1"/>
    <col min="3091" max="3328" width="9.109375" style="1937"/>
    <col min="3329" max="3329" width="60.6640625" style="1937" customWidth="1"/>
    <col min="3330" max="3330" width="24.33203125" style="1937" customWidth="1"/>
    <col min="3331" max="3334" width="17.6640625" style="1937" customWidth="1"/>
    <col min="3335" max="3346" width="0" style="1937" hidden="1" customWidth="1"/>
    <col min="3347" max="3584" width="9.109375" style="1937"/>
    <col min="3585" max="3585" width="60.6640625" style="1937" customWidth="1"/>
    <col min="3586" max="3586" width="24.33203125" style="1937" customWidth="1"/>
    <col min="3587" max="3590" width="17.6640625" style="1937" customWidth="1"/>
    <col min="3591" max="3602" width="0" style="1937" hidden="1" customWidth="1"/>
    <col min="3603" max="3840" width="9.109375" style="1937"/>
    <col min="3841" max="3841" width="60.6640625" style="1937" customWidth="1"/>
    <col min="3842" max="3842" width="24.33203125" style="1937" customWidth="1"/>
    <col min="3843" max="3846" width="17.6640625" style="1937" customWidth="1"/>
    <col min="3847" max="3858" width="0" style="1937" hidden="1" customWidth="1"/>
    <col min="3859" max="4096" width="9.109375" style="1937"/>
    <col min="4097" max="4097" width="60.6640625" style="1937" customWidth="1"/>
    <col min="4098" max="4098" width="24.33203125" style="1937" customWidth="1"/>
    <col min="4099" max="4102" width="17.6640625" style="1937" customWidth="1"/>
    <col min="4103" max="4114" width="0" style="1937" hidden="1" customWidth="1"/>
    <col min="4115" max="4352" width="9.109375" style="1937"/>
    <col min="4353" max="4353" width="60.6640625" style="1937" customWidth="1"/>
    <col min="4354" max="4354" width="24.33203125" style="1937" customWidth="1"/>
    <col min="4355" max="4358" width="17.6640625" style="1937" customWidth="1"/>
    <col min="4359" max="4370" width="0" style="1937" hidden="1" customWidth="1"/>
    <col min="4371" max="4608" width="9.109375" style="1937"/>
    <col min="4609" max="4609" width="60.6640625" style="1937" customWidth="1"/>
    <col min="4610" max="4610" width="24.33203125" style="1937" customWidth="1"/>
    <col min="4611" max="4614" width="17.6640625" style="1937" customWidth="1"/>
    <col min="4615" max="4626" width="0" style="1937" hidden="1" customWidth="1"/>
    <col min="4627" max="4864" width="9.109375" style="1937"/>
    <col min="4865" max="4865" width="60.6640625" style="1937" customWidth="1"/>
    <col min="4866" max="4866" width="24.33203125" style="1937" customWidth="1"/>
    <col min="4867" max="4870" width="17.6640625" style="1937" customWidth="1"/>
    <col min="4871" max="4882" width="0" style="1937" hidden="1" customWidth="1"/>
    <col min="4883" max="5120" width="9.109375" style="1937"/>
    <col min="5121" max="5121" width="60.6640625" style="1937" customWidth="1"/>
    <col min="5122" max="5122" width="24.33203125" style="1937" customWidth="1"/>
    <col min="5123" max="5126" width="17.6640625" style="1937" customWidth="1"/>
    <col min="5127" max="5138" width="0" style="1937" hidden="1" customWidth="1"/>
    <col min="5139" max="5376" width="9.109375" style="1937"/>
    <col min="5377" max="5377" width="60.6640625" style="1937" customWidth="1"/>
    <col min="5378" max="5378" width="24.33203125" style="1937" customWidth="1"/>
    <col min="5379" max="5382" width="17.6640625" style="1937" customWidth="1"/>
    <col min="5383" max="5394" width="0" style="1937" hidden="1" customWidth="1"/>
    <col min="5395" max="5632" width="9.109375" style="1937"/>
    <col min="5633" max="5633" width="60.6640625" style="1937" customWidth="1"/>
    <col min="5634" max="5634" width="24.33203125" style="1937" customWidth="1"/>
    <col min="5635" max="5638" width="17.6640625" style="1937" customWidth="1"/>
    <col min="5639" max="5650" width="0" style="1937" hidden="1" customWidth="1"/>
    <col min="5651" max="5888" width="9.109375" style="1937"/>
    <col min="5889" max="5889" width="60.6640625" style="1937" customWidth="1"/>
    <col min="5890" max="5890" width="24.33203125" style="1937" customWidth="1"/>
    <col min="5891" max="5894" width="17.6640625" style="1937" customWidth="1"/>
    <col min="5895" max="5906" width="0" style="1937" hidden="1" customWidth="1"/>
    <col min="5907" max="6144" width="9.109375" style="1937"/>
    <col min="6145" max="6145" width="60.6640625" style="1937" customWidth="1"/>
    <col min="6146" max="6146" width="24.33203125" style="1937" customWidth="1"/>
    <col min="6147" max="6150" width="17.6640625" style="1937" customWidth="1"/>
    <col min="6151" max="6162" width="0" style="1937" hidden="1" customWidth="1"/>
    <col min="6163" max="6400" width="9.109375" style="1937"/>
    <col min="6401" max="6401" width="60.6640625" style="1937" customWidth="1"/>
    <col min="6402" max="6402" width="24.33203125" style="1937" customWidth="1"/>
    <col min="6403" max="6406" width="17.6640625" style="1937" customWidth="1"/>
    <col min="6407" max="6418" width="0" style="1937" hidden="1" customWidth="1"/>
    <col min="6419" max="6656" width="9.109375" style="1937"/>
    <col min="6657" max="6657" width="60.6640625" style="1937" customWidth="1"/>
    <col min="6658" max="6658" width="24.33203125" style="1937" customWidth="1"/>
    <col min="6659" max="6662" width="17.6640625" style="1937" customWidth="1"/>
    <col min="6663" max="6674" width="0" style="1937" hidden="1" customWidth="1"/>
    <col min="6675" max="6912" width="9.109375" style="1937"/>
    <col min="6913" max="6913" width="60.6640625" style="1937" customWidth="1"/>
    <col min="6914" max="6914" width="24.33203125" style="1937" customWidth="1"/>
    <col min="6915" max="6918" width="17.6640625" style="1937" customWidth="1"/>
    <col min="6919" max="6930" width="0" style="1937" hidden="1" customWidth="1"/>
    <col min="6931" max="7168" width="9.109375" style="1937"/>
    <col min="7169" max="7169" width="60.6640625" style="1937" customWidth="1"/>
    <col min="7170" max="7170" width="24.33203125" style="1937" customWidth="1"/>
    <col min="7171" max="7174" width="17.6640625" style="1937" customWidth="1"/>
    <col min="7175" max="7186" width="0" style="1937" hidden="1" customWidth="1"/>
    <col min="7187" max="7424" width="9.109375" style="1937"/>
    <col min="7425" max="7425" width="60.6640625" style="1937" customWidth="1"/>
    <col min="7426" max="7426" width="24.33203125" style="1937" customWidth="1"/>
    <col min="7427" max="7430" width="17.6640625" style="1937" customWidth="1"/>
    <col min="7431" max="7442" width="0" style="1937" hidden="1" customWidth="1"/>
    <col min="7443" max="7680" width="9.109375" style="1937"/>
    <col min="7681" max="7681" width="60.6640625" style="1937" customWidth="1"/>
    <col min="7682" max="7682" width="24.33203125" style="1937" customWidth="1"/>
    <col min="7683" max="7686" width="17.6640625" style="1937" customWidth="1"/>
    <col min="7687" max="7698" width="0" style="1937" hidden="1" customWidth="1"/>
    <col min="7699" max="7936" width="9.109375" style="1937"/>
    <col min="7937" max="7937" width="60.6640625" style="1937" customWidth="1"/>
    <col min="7938" max="7938" width="24.33203125" style="1937" customWidth="1"/>
    <col min="7939" max="7942" width="17.6640625" style="1937" customWidth="1"/>
    <col min="7943" max="7954" width="0" style="1937" hidden="1" customWidth="1"/>
    <col min="7955" max="8192" width="9.109375" style="1937"/>
    <col min="8193" max="8193" width="60.6640625" style="1937" customWidth="1"/>
    <col min="8194" max="8194" width="24.33203125" style="1937" customWidth="1"/>
    <col min="8195" max="8198" width="17.6640625" style="1937" customWidth="1"/>
    <col min="8199" max="8210" width="0" style="1937" hidden="1" customWidth="1"/>
    <col min="8211" max="8448" width="9.109375" style="1937"/>
    <col min="8449" max="8449" width="60.6640625" style="1937" customWidth="1"/>
    <col min="8450" max="8450" width="24.33203125" style="1937" customWidth="1"/>
    <col min="8451" max="8454" width="17.6640625" style="1937" customWidth="1"/>
    <col min="8455" max="8466" width="0" style="1937" hidden="1" customWidth="1"/>
    <col min="8467" max="8704" width="9.109375" style="1937"/>
    <col min="8705" max="8705" width="60.6640625" style="1937" customWidth="1"/>
    <col min="8706" max="8706" width="24.33203125" style="1937" customWidth="1"/>
    <col min="8707" max="8710" width="17.6640625" style="1937" customWidth="1"/>
    <col min="8711" max="8722" width="0" style="1937" hidden="1" customWidth="1"/>
    <col min="8723" max="8960" width="9.109375" style="1937"/>
    <col min="8961" max="8961" width="60.6640625" style="1937" customWidth="1"/>
    <col min="8962" max="8962" width="24.33203125" style="1937" customWidth="1"/>
    <col min="8963" max="8966" width="17.6640625" style="1937" customWidth="1"/>
    <col min="8967" max="8978" width="0" style="1937" hidden="1" customWidth="1"/>
    <col min="8979" max="9216" width="9.109375" style="1937"/>
    <col min="9217" max="9217" width="60.6640625" style="1937" customWidth="1"/>
    <col min="9218" max="9218" width="24.33203125" style="1937" customWidth="1"/>
    <col min="9219" max="9222" width="17.6640625" style="1937" customWidth="1"/>
    <col min="9223" max="9234" width="0" style="1937" hidden="1" customWidth="1"/>
    <col min="9235" max="9472" width="9.109375" style="1937"/>
    <col min="9473" max="9473" width="60.6640625" style="1937" customWidth="1"/>
    <col min="9474" max="9474" width="24.33203125" style="1937" customWidth="1"/>
    <col min="9475" max="9478" width="17.6640625" style="1937" customWidth="1"/>
    <col min="9479" max="9490" width="0" style="1937" hidden="1" customWidth="1"/>
    <col min="9491" max="9728" width="9.109375" style="1937"/>
    <col min="9729" max="9729" width="60.6640625" style="1937" customWidth="1"/>
    <col min="9730" max="9730" width="24.33203125" style="1937" customWidth="1"/>
    <col min="9731" max="9734" width="17.6640625" style="1937" customWidth="1"/>
    <col min="9735" max="9746" width="0" style="1937" hidden="1" customWidth="1"/>
    <col min="9747" max="9984" width="9.109375" style="1937"/>
    <col min="9985" max="9985" width="60.6640625" style="1937" customWidth="1"/>
    <col min="9986" max="9986" width="24.33203125" style="1937" customWidth="1"/>
    <col min="9987" max="9990" width="17.6640625" style="1937" customWidth="1"/>
    <col min="9991" max="10002" width="0" style="1937" hidden="1" customWidth="1"/>
    <col min="10003" max="10240" width="9.109375" style="1937"/>
    <col min="10241" max="10241" width="60.6640625" style="1937" customWidth="1"/>
    <col min="10242" max="10242" width="24.33203125" style="1937" customWidth="1"/>
    <col min="10243" max="10246" width="17.6640625" style="1937" customWidth="1"/>
    <col min="10247" max="10258" width="0" style="1937" hidden="1" customWidth="1"/>
    <col min="10259" max="10496" width="9.109375" style="1937"/>
    <col min="10497" max="10497" width="60.6640625" style="1937" customWidth="1"/>
    <col min="10498" max="10498" width="24.33203125" style="1937" customWidth="1"/>
    <col min="10499" max="10502" width="17.6640625" style="1937" customWidth="1"/>
    <col min="10503" max="10514" width="0" style="1937" hidden="1" customWidth="1"/>
    <col min="10515" max="10752" width="9.109375" style="1937"/>
    <col min="10753" max="10753" width="60.6640625" style="1937" customWidth="1"/>
    <col min="10754" max="10754" width="24.33203125" style="1937" customWidth="1"/>
    <col min="10755" max="10758" width="17.6640625" style="1937" customWidth="1"/>
    <col min="10759" max="10770" width="0" style="1937" hidden="1" customWidth="1"/>
    <col min="10771" max="11008" width="9.109375" style="1937"/>
    <col min="11009" max="11009" width="60.6640625" style="1937" customWidth="1"/>
    <col min="11010" max="11010" width="24.33203125" style="1937" customWidth="1"/>
    <col min="11011" max="11014" width="17.6640625" style="1937" customWidth="1"/>
    <col min="11015" max="11026" width="0" style="1937" hidden="1" customWidth="1"/>
    <col min="11027" max="11264" width="9.109375" style="1937"/>
    <col min="11265" max="11265" width="60.6640625" style="1937" customWidth="1"/>
    <col min="11266" max="11266" width="24.33203125" style="1937" customWidth="1"/>
    <col min="11267" max="11270" width="17.6640625" style="1937" customWidth="1"/>
    <col min="11271" max="11282" width="0" style="1937" hidden="1" customWidth="1"/>
    <col min="11283" max="11520" width="9.109375" style="1937"/>
    <col min="11521" max="11521" width="60.6640625" style="1937" customWidth="1"/>
    <col min="11522" max="11522" width="24.33203125" style="1937" customWidth="1"/>
    <col min="11523" max="11526" width="17.6640625" style="1937" customWidth="1"/>
    <col min="11527" max="11538" width="0" style="1937" hidden="1" customWidth="1"/>
    <col min="11539" max="11776" width="9.109375" style="1937"/>
    <col min="11777" max="11777" width="60.6640625" style="1937" customWidth="1"/>
    <col min="11778" max="11778" width="24.33203125" style="1937" customWidth="1"/>
    <col min="11779" max="11782" width="17.6640625" style="1937" customWidth="1"/>
    <col min="11783" max="11794" width="0" style="1937" hidden="1" customWidth="1"/>
    <col min="11795" max="12032" width="9.109375" style="1937"/>
    <col min="12033" max="12033" width="60.6640625" style="1937" customWidth="1"/>
    <col min="12034" max="12034" width="24.33203125" style="1937" customWidth="1"/>
    <col min="12035" max="12038" width="17.6640625" style="1937" customWidth="1"/>
    <col min="12039" max="12050" width="0" style="1937" hidden="1" customWidth="1"/>
    <col min="12051" max="12288" width="9.109375" style="1937"/>
    <col min="12289" max="12289" width="60.6640625" style="1937" customWidth="1"/>
    <col min="12290" max="12290" width="24.33203125" style="1937" customWidth="1"/>
    <col min="12291" max="12294" width="17.6640625" style="1937" customWidth="1"/>
    <col min="12295" max="12306" width="0" style="1937" hidden="1" customWidth="1"/>
    <col min="12307" max="12544" width="9.109375" style="1937"/>
    <col min="12545" max="12545" width="60.6640625" style="1937" customWidth="1"/>
    <col min="12546" max="12546" width="24.33203125" style="1937" customWidth="1"/>
    <col min="12547" max="12550" width="17.6640625" style="1937" customWidth="1"/>
    <col min="12551" max="12562" width="0" style="1937" hidden="1" customWidth="1"/>
    <col min="12563" max="12800" width="9.109375" style="1937"/>
    <col min="12801" max="12801" width="60.6640625" style="1937" customWidth="1"/>
    <col min="12802" max="12802" width="24.33203125" style="1937" customWidth="1"/>
    <col min="12803" max="12806" width="17.6640625" style="1937" customWidth="1"/>
    <col min="12807" max="12818" width="0" style="1937" hidden="1" customWidth="1"/>
    <col min="12819" max="13056" width="9.109375" style="1937"/>
    <col min="13057" max="13057" width="60.6640625" style="1937" customWidth="1"/>
    <col min="13058" max="13058" width="24.33203125" style="1937" customWidth="1"/>
    <col min="13059" max="13062" width="17.6640625" style="1937" customWidth="1"/>
    <col min="13063" max="13074" width="0" style="1937" hidden="1" customWidth="1"/>
    <col min="13075" max="13312" width="9.109375" style="1937"/>
    <col min="13313" max="13313" width="60.6640625" style="1937" customWidth="1"/>
    <col min="13314" max="13314" width="24.33203125" style="1937" customWidth="1"/>
    <col min="13315" max="13318" width="17.6640625" style="1937" customWidth="1"/>
    <col min="13319" max="13330" width="0" style="1937" hidden="1" customWidth="1"/>
    <col min="13331" max="13568" width="9.109375" style="1937"/>
    <col min="13569" max="13569" width="60.6640625" style="1937" customWidth="1"/>
    <col min="13570" max="13570" width="24.33203125" style="1937" customWidth="1"/>
    <col min="13571" max="13574" width="17.6640625" style="1937" customWidth="1"/>
    <col min="13575" max="13586" width="0" style="1937" hidden="1" customWidth="1"/>
    <col min="13587" max="13824" width="9.109375" style="1937"/>
    <col min="13825" max="13825" width="60.6640625" style="1937" customWidth="1"/>
    <col min="13826" max="13826" width="24.33203125" style="1937" customWidth="1"/>
    <col min="13827" max="13830" width="17.6640625" style="1937" customWidth="1"/>
    <col min="13831" max="13842" width="0" style="1937" hidden="1" customWidth="1"/>
    <col min="13843" max="14080" width="9.109375" style="1937"/>
    <col min="14081" max="14081" width="60.6640625" style="1937" customWidth="1"/>
    <col min="14082" max="14082" width="24.33203125" style="1937" customWidth="1"/>
    <col min="14083" max="14086" width="17.6640625" style="1937" customWidth="1"/>
    <col min="14087" max="14098" width="0" style="1937" hidden="1" customWidth="1"/>
    <col min="14099" max="14336" width="9.109375" style="1937"/>
    <col min="14337" max="14337" width="60.6640625" style="1937" customWidth="1"/>
    <col min="14338" max="14338" width="24.33203125" style="1937" customWidth="1"/>
    <col min="14339" max="14342" width="17.6640625" style="1937" customWidth="1"/>
    <col min="14343" max="14354" width="0" style="1937" hidden="1" customWidth="1"/>
    <col min="14355" max="14592" width="9.109375" style="1937"/>
    <col min="14593" max="14593" width="60.6640625" style="1937" customWidth="1"/>
    <col min="14594" max="14594" width="24.33203125" style="1937" customWidth="1"/>
    <col min="14595" max="14598" width="17.6640625" style="1937" customWidth="1"/>
    <col min="14599" max="14610" width="0" style="1937" hidden="1" customWidth="1"/>
    <col min="14611" max="14848" width="9.109375" style="1937"/>
    <col min="14849" max="14849" width="60.6640625" style="1937" customWidth="1"/>
    <col min="14850" max="14850" width="24.33203125" style="1937" customWidth="1"/>
    <col min="14851" max="14854" width="17.6640625" style="1937" customWidth="1"/>
    <col min="14855" max="14866" width="0" style="1937" hidden="1" customWidth="1"/>
    <col min="14867" max="15104" width="9.109375" style="1937"/>
    <col min="15105" max="15105" width="60.6640625" style="1937" customWidth="1"/>
    <col min="15106" max="15106" width="24.33203125" style="1937" customWidth="1"/>
    <col min="15107" max="15110" width="17.6640625" style="1937" customWidth="1"/>
    <col min="15111" max="15122" width="0" style="1937" hidden="1" customWidth="1"/>
    <col min="15123" max="15360" width="9.109375" style="1937"/>
    <col min="15361" max="15361" width="60.6640625" style="1937" customWidth="1"/>
    <col min="15362" max="15362" width="24.33203125" style="1937" customWidth="1"/>
    <col min="15363" max="15366" width="17.6640625" style="1937" customWidth="1"/>
    <col min="15367" max="15378" width="0" style="1937" hidden="1" customWidth="1"/>
    <col min="15379" max="15616" width="9.109375" style="1937"/>
    <col min="15617" max="15617" width="60.6640625" style="1937" customWidth="1"/>
    <col min="15618" max="15618" width="24.33203125" style="1937" customWidth="1"/>
    <col min="15619" max="15622" width="17.6640625" style="1937" customWidth="1"/>
    <col min="15623" max="15634" width="0" style="1937" hidden="1" customWidth="1"/>
    <col min="15635" max="15872" width="9.109375" style="1937"/>
    <col min="15873" max="15873" width="60.6640625" style="1937" customWidth="1"/>
    <col min="15874" max="15874" width="24.33203125" style="1937" customWidth="1"/>
    <col min="15875" max="15878" width="17.6640625" style="1937" customWidth="1"/>
    <col min="15879" max="15890" width="0" style="1937" hidden="1" customWidth="1"/>
    <col min="15891" max="16128" width="9.109375" style="1937"/>
    <col min="16129" max="16129" width="60.6640625" style="1937" customWidth="1"/>
    <col min="16130" max="16130" width="24.33203125" style="1937" customWidth="1"/>
    <col min="16131" max="16134" width="17.6640625" style="1937" customWidth="1"/>
    <col min="16135" max="16146" width="0" style="1937" hidden="1" customWidth="1"/>
    <col min="16147" max="16384" width="9.109375" style="1937"/>
  </cols>
  <sheetData>
    <row r="1" spans="1:17" ht="23.25" customHeight="1">
      <c r="A1" s="4357" t="s">
        <v>2489</v>
      </c>
      <c r="B1" s="4357"/>
      <c r="C1" s="4357"/>
      <c r="D1" s="4357"/>
      <c r="E1" s="4357"/>
      <c r="F1" s="4357"/>
      <c r="G1" s="1936"/>
    </row>
    <row r="2" spans="1:17" ht="24" customHeight="1">
      <c r="A2" s="4358" t="str">
        <f>'[15]1тсо кроме мрск НК'!A2:F2</f>
        <v xml:space="preserve">АО "РКЦ "Прогресс" </v>
      </c>
      <c r="B2" s="4358"/>
      <c r="C2" s="4358"/>
      <c r="D2" s="4358"/>
      <c r="E2" s="4358"/>
      <c r="F2" s="4358"/>
      <c r="G2" s="1936"/>
    </row>
    <row r="3" spans="1:17" ht="16.5" customHeight="1">
      <c r="A3" s="4359" t="s">
        <v>971</v>
      </c>
      <c r="B3" s="4359"/>
      <c r="C3" s="4359"/>
      <c r="D3" s="4359"/>
      <c r="E3" s="4359"/>
      <c r="F3" s="4359"/>
      <c r="G3" s="1936"/>
    </row>
    <row r="4" spans="1:17" ht="9.75" customHeight="1" thickBot="1">
      <c r="A4" s="1938"/>
      <c r="B4" s="1938"/>
      <c r="C4" s="1938"/>
      <c r="D4" s="1938"/>
      <c r="E4" s="1938"/>
      <c r="F4" s="1938"/>
      <c r="G4" s="1936"/>
    </row>
    <row r="5" spans="1:17" ht="24" customHeight="1" thickBot="1">
      <c r="A5" s="4360" t="s">
        <v>972</v>
      </c>
      <c r="B5" s="4361" t="s">
        <v>679</v>
      </c>
      <c r="C5" s="4362" t="s">
        <v>974</v>
      </c>
      <c r="D5" s="4362"/>
      <c r="E5" s="4362"/>
      <c r="F5" s="4362"/>
      <c r="G5" s="1939"/>
    </row>
    <row r="6" spans="1:17" ht="33.75" customHeight="1" thickBot="1">
      <c r="A6" s="4360"/>
      <c r="B6" s="4361"/>
      <c r="C6" s="1940" t="s">
        <v>697</v>
      </c>
      <c r="D6" s="1940" t="s">
        <v>548</v>
      </c>
      <c r="E6" s="1940" t="s">
        <v>549</v>
      </c>
      <c r="F6" s="1941" t="s">
        <v>681</v>
      </c>
      <c r="G6" s="1939"/>
    </row>
    <row r="7" spans="1:17" ht="23.25" customHeight="1">
      <c r="A7" s="4342" t="s">
        <v>2403</v>
      </c>
      <c r="B7" s="4342"/>
      <c r="C7" s="4342"/>
      <c r="D7" s="4342"/>
      <c r="E7" s="4342"/>
      <c r="F7" s="4342"/>
      <c r="G7" s="1942"/>
      <c r="H7" s="1943"/>
    </row>
    <row r="8" spans="1:17" ht="16.5" customHeight="1" thickBot="1">
      <c r="A8" s="4343" t="s">
        <v>980</v>
      </c>
      <c r="B8" s="4343"/>
      <c r="C8" s="4343"/>
      <c r="D8" s="4343"/>
      <c r="E8" s="4343"/>
      <c r="F8" s="4343"/>
      <c r="G8" s="1942"/>
      <c r="H8" s="1943"/>
      <c r="J8" s="1937" t="s">
        <v>2092</v>
      </c>
    </row>
    <row r="9" spans="1:17" ht="24.75" customHeight="1">
      <c r="A9" s="1952" t="s">
        <v>1496</v>
      </c>
      <c r="B9" s="2349">
        <f>SUM(C9:F9)</f>
        <v>3.9770000000000003</v>
      </c>
      <c r="C9" s="1985"/>
      <c r="D9" s="1985"/>
      <c r="E9" s="1992">
        <f>E20+E13</f>
        <v>2.403</v>
      </c>
      <c r="F9" s="2350">
        <f>F20+F13</f>
        <v>1.5740000000000001</v>
      </c>
      <c r="G9" s="1942"/>
      <c r="H9" s="1943"/>
      <c r="J9" s="1949">
        <v>3507.2</v>
      </c>
    </row>
    <row r="10" spans="1:17" ht="24.75" customHeight="1" thickBot="1">
      <c r="A10" s="1950" t="s">
        <v>977</v>
      </c>
      <c r="B10" s="1951">
        <f>SUM(C10:F10)</f>
        <v>8.2122448979591841E-4</v>
      </c>
      <c r="C10" s="2351"/>
      <c r="D10" s="2351"/>
      <c r="E10" s="1994">
        <f>E14+E21</f>
        <v>5.0000000000000001E-4</v>
      </c>
      <c r="F10" s="2352">
        <f>F14+F21</f>
        <v>3.212244897959184E-4</v>
      </c>
      <c r="G10" s="1942"/>
      <c r="H10" s="1943"/>
      <c r="O10" s="1962">
        <f>B9/B10</f>
        <v>4842.7683896620283</v>
      </c>
      <c r="P10" s="1937">
        <f>E9/E10</f>
        <v>4806</v>
      </c>
      <c r="Q10" s="1937">
        <f>F9/F10</f>
        <v>4900</v>
      </c>
    </row>
    <row r="11" spans="1:17" ht="20.25" customHeight="1">
      <c r="A11" s="4340" t="s">
        <v>1497</v>
      </c>
      <c r="B11" s="4340"/>
      <c r="C11" s="4340"/>
      <c r="D11" s="4340"/>
      <c r="E11" s="4340"/>
      <c r="F11" s="4340"/>
      <c r="G11" s="1942"/>
      <c r="H11" s="1943"/>
    </row>
    <row r="12" spans="1:17" ht="18.75" customHeight="1" thickBot="1">
      <c r="A12" s="4343" t="s">
        <v>2093</v>
      </c>
      <c r="B12" s="4343"/>
      <c r="C12" s="4343"/>
      <c r="D12" s="4343"/>
      <c r="E12" s="4343"/>
      <c r="F12" s="4343"/>
      <c r="G12" s="1942"/>
      <c r="H12" s="1943"/>
      <c r="J12" s="1949" t="s">
        <v>2094</v>
      </c>
    </row>
    <row r="13" spans="1:17" ht="25.5" customHeight="1">
      <c r="A13" s="1952" t="s">
        <v>1496</v>
      </c>
      <c r="B13" s="1963"/>
      <c r="C13" s="1964"/>
      <c r="D13" s="1964"/>
      <c r="E13" s="1965"/>
      <c r="F13" s="1966"/>
      <c r="G13" s="1956"/>
      <c r="H13" s="1943"/>
      <c r="J13" s="1949">
        <v>1583.49</v>
      </c>
      <c r="O13" s="1937" t="e">
        <f>F13/F14</f>
        <v>#DIV/0!</v>
      </c>
    </row>
    <row r="14" spans="1:17" ht="25.5" customHeight="1" thickBot="1">
      <c r="A14" s="1957" t="s">
        <v>977</v>
      </c>
      <c r="B14" s="1967"/>
      <c r="C14" s="1968"/>
      <c r="D14" s="1968"/>
      <c r="E14" s="1969"/>
      <c r="F14" s="1970"/>
      <c r="G14" s="1960" t="e">
        <f>F13/F14</f>
        <v>#DIV/0!</v>
      </c>
      <c r="H14" s="1943"/>
      <c r="J14" s="1961">
        <v>0.44500000000000001</v>
      </c>
      <c r="K14" s="1962">
        <f>J13/J14</f>
        <v>3558.4044943820222</v>
      </c>
    </row>
    <row r="15" spans="1:17" ht="20.25" customHeight="1">
      <c r="A15" s="4340" t="s">
        <v>1497</v>
      </c>
      <c r="B15" s="4340"/>
      <c r="C15" s="4340"/>
      <c r="D15" s="4340"/>
      <c r="E15" s="4340"/>
      <c r="F15" s="4340"/>
      <c r="G15" s="1942"/>
      <c r="H15" s="1943"/>
    </row>
    <row r="16" spans="1:17" ht="24" customHeight="1" thickBot="1">
      <c r="A16" s="4353" t="s">
        <v>2095</v>
      </c>
      <c r="B16" s="4353"/>
      <c r="C16" s="4353"/>
      <c r="D16" s="4353"/>
      <c r="E16" s="4353"/>
      <c r="F16" s="4353"/>
      <c r="G16" s="1942"/>
      <c r="H16" s="1943"/>
      <c r="J16" s="1949" t="s">
        <v>2094</v>
      </c>
    </row>
    <row r="17" spans="1:22" ht="24" customHeight="1">
      <c r="A17" s="1952" t="s">
        <v>1496</v>
      </c>
      <c r="B17" s="1963"/>
      <c r="C17" s="1964"/>
      <c r="D17" s="1964"/>
      <c r="E17" s="1965"/>
      <c r="F17" s="1966"/>
      <c r="G17" s="1956"/>
      <c r="H17" s="1943"/>
      <c r="J17" s="1949">
        <v>1583.49</v>
      </c>
    </row>
    <row r="18" spans="1:22" ht="24" customHeight="1" thickBot="1">
      <c r="A18" s="1957" t="s">
        <v>977</v>
      </c>
      <c r="B18" s="1967"/>
      <c r="C18" s="1968"/>
      <c r="D18" s="1968"/>
      <c r="E18" s="1969"/>
      <c r="F18" s="1970"/>
      <c r="G18" s="1960" t="e">
        <f>F17/F18</f>
        <v>#DIV/0!</v>
      </c>
      <c r="H18" s="1943"/>
      <c r="J18" s="1961">
        <v>0.44500000000000001</v>
      </c>
      <c r="K18" s="1962">
        <f>J17/J18</f>
        <v>3558.4044943820222</v>
      </c>
    </row>
    <row r="19" spans="1:22" ht="22.5" customHeight="1" thickBot="1">
      <c r="A19" s="4343" t="s">
        <v>2096</v>
      </c>
      <c r="B19" s="4343"/>
      <c r="C19" s="4343"/>
      <c r="D19" s="4343"/>
      <c r="E19" s="4343"/>
      <c r="F19" s="4343"/>
      <c r="G19" s="1971">
        <f>F24+F40</f>
        <v>3.1480000000000001</v>
      </c>
      <c r="H19" s="1972" t="s">
        <v>2097</v>
      </c>
      <c r="I19" s="1949"/>
      <c r="J19" s="1949">
        <f>J20+J40</f>
        <v>1183.21</v>
      </c>
    </row>
    <row r="20" spans="1:22" ht="22.5" customHeight="1">
      <c r="A20" s="1944" t="s">
        <v>1496</v>
      </c>
      <c r="B20" s="2349">
        <f>SUM(C20:F20)</f>
        <v>3.9770000000000003</v>
      </c>
      <c r="C20" s="1985"/>
      <c r="D20" s="1985"/>
      <c r="E20" s="1985">
        <f>E24+E27</f>
        <v>2.403</v>
      </c>
      <c r="F20" s="2350">
        <f>F24+F27</f>
        <v>1.5740000000000001</v>
      </c>
      <c r="G20" s="1943"/>
      <c r="H20" s="1943"/>
      <c r="J20" s="1937">
        <v>1183.21</v>
      </c>
    </row>
    <row r="21" spans="1:22" ht="22.5" customHeight="1" thickBot="1">
      <c r="A21" s="1957" t="s">
        <v>977</v>
      </c>
      <c r="B21" s="1951">
        <f>SUM(C21:F21)</f>
        <v>8.2122448979591841E-4</v>
      </c>
      <c r="C21" s="2351"/>
      <c r="D21" s="2351"/>
      <c r="E21" s="2353">
        <f>E25+E28</f>
        <v>5.0000000000000001E-4</v>
      </c>
      <c r="F21" s="2352">
        <f>F25+F28</f>
        <v>3.212244897959184E-4</v>
      </c>
      <c r="G21" s="1960">
        <f>F20/F21</f>
        <v>4900</v>
      </c>
      <c r="H21" s="1943"/>
      <c r="J21" s="1937">
        <v>0.34200000000000003</v>
      </c>
      <c r="K21" s="1962">
        <f>J20/J21</f>
        <v>3459.6783625730991</v>
      </c>
      <c r="U21" s="1937">
        <f>E20/E21</f>
        <v>4806</v>
      </c>
      <c r="V21" s="1937">
        <f>F20/F21</f>
        <v>4900</v>
      </c>
    </row>
    <row r="22" spans="1:22" ht="20.25" customHeight="1">
      <c r="A22" s="4340" t="s">
        <v>1497</v>
      </c>
      <c r="B22" s="4340"/>
      <c r="C22" s="4340"/>
      <c r="D22" s="4340"/>
      <c r="E22" s="4340"/>
      <c r="F22" s="4340"/>
      <c r="G22" s="1943"/>
      <c r="H22" s="1943"/>
    </row>
    <row r="23" spans="1:22" ht="21.75" customHeight="1" thickBot="1">
      <c r="A23" s="4337" t="s">
        <v>2098</v>
      </c>
      <c r="B23" s="4337"/>
      <c r="C23" s="4337"/>
      <c r="D23" s="4337"/>
      <c r="E23" s="4337"/>
      <c r="F23" s="4337"/>
      <c r="G23" s="1943"/>
      <c r="H23" s="1943"/>
    </row>
    <row r="24" spans="1:22" ht="22.5" customHeight="1">
      <c r="A24" s="1944" t="s">
        <v>1496</v>
      </c>
      <c r="B24" s="2349">
        <f>SUM(C24:F24)</f>
        <v>3.9770000000000003</v>
      </c>
      <c r="C24" s="1985"/>
      <c r="D24" s="1985"/>
      <c r="E24" s="1985">
        <f>E40</f>
        <v>2.403</v>
      </c>
      <c r="F24" s="2350">
        <f>F40</f>
        <v>1.5740000000000001</v>
      </c>
      <c r="G24" s="1943"/>
      <c r="H24" s="1943"/>
    </row>
    <row r="25" spans="1:22" ht="22.5" customHeight="1" thickBot="1">
      <c r="A25" s="1957" t="s">
        <v>977</v>
      </c>
      <c r="B25" s="1951">
        <f>SUM(C25:F25)</f>
        <v>8.2122448979591841E-4</v>
      </c>
      <c r="C25" s="2351"/>
      <c r="D25" s="2351"/>
      <c r="E25" s="2353">
        <f>E41</f>
        <v>5.0000000000000001E-4</v>
      </c>
      <c r="F25" s="2354">
        <f>F41</f>
        <v>3.212244897959184E-4</v>
      </c>
      <c r="G25" s="1943"/>
      <c r="H25" s="1943"/>
    </row>
    <row r="26" spans="1:22" ht="24.75" customHeight="1" thickBot="1">
      <c r="A26" s="4338" t="s">
        <v>2099</v>
      </c>
      <c r="B26" s="4338"/>
      <c r="C26" s="4338"/>
      <c r="D26" s="4338"/>
      <c r="E26" s="4338"/>
      <c r="F26" s="4338"/>
      <c r="G26" s="1943"/>
      <c r="H26" s="1943"/>
    </row>
    <row r="27" spans="1:22" ht="24.75" customHeight="1">
      <c r="A27" s="1944" t="s">
        <v>1496</v>
      </c>
      <c r="B27" s="1974"/>
      <c r="C27" s="1975"/>
      <c r="D27" s="1975"/>
      <c r="E27" s="1976"/>
      <c r="F27" s="1977"/>
      <c r="G27" s="1943"/>
      <c r="H27" s="1943"/>
    </row>
    <row r="28" spans="1:22" ht="24.75" customHeight="1" thickBot="1">
      <c r="A28" s="1957" t="s">
        <v>977</v>
      </c>
      <c r="B28" s="1967"/>
      <c r="C28" s="1968"/>
      <c r="D28" s="1968"/>
      <c r="E28" s="1969"/>
      <c r="F28" s="1978"/>
      <c r="G28" s="1943"/>
      <c r="H28" s="1943"/>
    </row>
    <row r="29" spans="1:22" ht="39.75" customHeight="1" thickBot="1">
      <c r="A29" s="4354" t="s">
        <v>2100</v>
      </c>
      <c r="B29" s="4355"/>
      <c r="C29" s="4355"/>
      <c r="D29" s="4355"/>
      <c r="E29" s="4355"/>
      <c r="F29" s="4356"/>
      <c r="G29" s="1971">
        <f>F34+F50</f>
        <v>0</v>
      </c>
      <c r="H29" s="1972" t="s">
        <v>2097</v>
      </c>
      <c r="I29" s="1949"/>
      <c r="J29" s="1949">
        <f>J30+J50</f>
        <v>1923.71</v>
      </c>
    </row>
    <row r="30" spans="1:22" ht="25.5" customHeight="1">
      <c r="A30" s="1944" t="s">
        <v>1496</v>
      </c>
      <c r="B30" s="1979"/>
      <c r="C30" s="1975"/>
      <c r="D30" s="1975"/>
      <c r="E30" s="1976"/>
      <c r="F30" s="1977"/>
      <c r="G30" s="1943"/>
      <c r="H30" s="1943"/>
      <c r="J30" s="1937">
        <v>1183.21</v>
      </c>
    </row>
    <row r="31" spans="1:22" ht="25.5" customHeight="1" thickBot="1">
      <c r="A31" s="1957" t="s">
        <v>977</v>
      </c>
      <c r="B31" s="1980"/>
      <c r="C31" s="1968"/>
      <c r="D31" s="1968"/>
      <c r="E31" s="1969"/>
      <c r="F31" s="1981"/>
      <c r="G31" s="1960" t="e">
        <f>F30/F31</f>
        <v>#DIV/0!</v>
      </c>
      <c r="H31" s="1943"/>
      <c r="J31" s="1937">
        <v>0.34200000000000003</v>
      </c>
      <c r="K31" s="1962">
        <f>J30/J31</f>
        <v>3459.6783625730991</v>
      </c>
    </row>
    <row r="32" spans="1:22" ht="19.5" customHeight="1">
      <c r="A32" s="4340" t="s">
        <v>1497</v>
      </c>
      <c r="B32" s="4340"/>
      <c r="C32" s="4340"/>
      <c r="D32" s="4340"/>
      <c r="E32" s="4340"/>
      <c r="F32" s="4340"/>
      <c r="G32" s="1943"/>
      <c r="H32" s="1943"/>
    </row>
    <row r="33" spans="1:8" ht="25.5" customHeight="1" thickBot="1">
      <c r="A33" s="4337" t="s">
        <v>2101</v>
      </c>
      <c r="B33" s="4337"/>
      <c r="C33" s="4337"/>
      <c r="D33" s="4337"/>
      <c r="E33" s="4337"/>
      <c r="F33" s="4337"/>
      <c r="G33" s="1943"/>
      <c r="H33" s="1943"/>
    </row>
    <row r="34" spans="1:8" ht="22.5" customHeight="1">
      <c r="A34" s="1944" t="s">
        <v>1496</v>
      </c>
      <c r="B34" s="1979"/>
      <c r="C34" s="1975"/>
      <c r="D34" s="1975"/>
      <c r="E34" s="1976"/>
      <c r="F34" s="1977"/>
      <c r="G34" s="1943"/>
      <c r="H34" s="1943"/>
    </row>
    <row r="35" spans="1:8" ht="22.5" customHeight="1" thickBot="1">
      <c r="A35" s="1957" t="s">
        <v>977</v>
      </c>
      <c r="B35" s="1980"/>
      <c r="C35" s="1968"/>
      <c r="D35" s="1968"/>
      <c r="E35" s="1969"/>
      <c r="F35" s="1981"/>
      <c r="G35" s="1943"/>
      <c r="H35" s="1943"/>
    </row>
    <row r="36" spans="1:8" ht="22.5" customHeight="1" thickBot="1">
      <c r="A36" s="4338" t="s">
        <v>2102</v>
      </c>
      <c r="B36" s="4338"/>
      <c r="C36" s="4338"/>
      <c r="D36" s="4338"/>
      <c r="E36" s="4338"/>
      <c r="F36" s="4338"/>
      <c r="G36" s="1943"/>
      <c r="H36" s="1943"/>
    </row>
    <row r="37" spans="1:8" ht="22.5" customHeight="1">
      <c r="A37" s="1944" t="s">
        <v>1496</v>
      </c>
      <c r="B37" s="1979"/>
      <c r="C37" s="1975"/>
      <c r="D37" s="1975"/>
      <c r="E37" s="1976"/>
      <c r="F37" s="1982"/>
      <c r="G37" s="1943"/>
      <c r="H37" s="1943"/>
    </row>
    <row r="38" spans="1:8" ht="22.5" customHeight="1" thickBot="1">
      <c r="A38" s="1957" t="s">
        <v>977</v>
      </c>
      <c r="B38" s="1980"/>
      <c r="C38" s="1968"/>
      <c r="D38" s="1968"/>
      <c r="E38" s="1969"/>
      <c r="F38" s="1981"/>
      <c r="G38" s="1943"/>
      <c r="H38" s="1943"/>
    </row>
    <row r="39" spans="1:8" ht="27" customHeight="1" thickBot="1">
      <c r="A39" s="4339" t="s">
        <v>2103</v>
      </c>
      <c r="B39" s="4339"/>
      <c r="C39" s="4339"/>
      <c r="D39" s="4339"/>
      <c r="E39" s="4339"/>
      <c r="F39" s="4339"/>
      <c r="G39" s="1943"/>
      <c r="H39" s="1943"/>
    </row>
    <row r="40" spans="1:8" ht="27" customHeight="1">
      <c r="A40" s="1944" t="s">
        <v>1496</v>
      </c>
      <c r="B40" s="2349">
        <f>SUM(C40:F40)</f>
        <v>3.9770000000000003</v>
      </c>
      <c r="C40" s="1985"/>
      <c r="D40" s="1985"/>
      <c r="E40" s="1992">
        <f>E44</f>
        <v>2.403</v>
      </c>
      <c r="F40" s="2350">
        <f>F44</f>
        <v>1.5740000000000001</v>
      </c>
      <c r="G40" s="1943"/>
      <c r="H40" s="1943"/>
    </row>
    <row r="41" spans="1:8" ht="27" customHeight="1" thickBot="1">
      <c r="A41" s="1957" t="s">
        <v>977</v>
      </c>
      <c r="B41" s="1951">
        <f>SUM(C41:F41)</f>
        <v>8.2122448979591841E-4</v>
      </c>
      <c r="C41" s="2351"/>
      <c r="D41" s="2351"/>
      <c r="E41" s="2353">
        <f>E45</f>
        <v>5.0000000000000001E-4</v>
      </c>
      <c r="F41" s="2354">
        <f>F45</f>
        <v>3.212244897959184E-4</v>
      </c>
      <c r="G41" s="1943"/>
      <c r="H41" s="1943"/>
    </row>
    <row r="42" spans="1:8" ht="20.25" customHeight="1">
      <c r="A42" s="4340" t="s">
        <v>1497</v>
      </c>
      <c r="B42" s="4340"/>
      <c r="C42" s="4340"/>
      <c r="D42" s="4340"/>
      <c r="E42" s="4340"/>
      <c r="F42" s="4340"/>
      <c r="G42" s="1943"/>
      <c r="H42" s="1943"/>
    </row>
    <row r="43" spans="1:8" ht="20.25" customHeight="1" thickBot="1">
      <c r="A43" s="4337" t="s">
        <v>2104</v>
      </c>
      <c r="B43" s="4337"/>
      <c r="C43" s="4337"/>
      <c r="D43" s="4337"/>
      <c r="E43" s="4337"/>
      <c r="F43" s="4337"/>
      <c r="G43" s="1943"/>
      <c r="H43" s="1943"/>
    </row>
    <row r="44" spans="1:8" ht="21.75" customHeight="1">
      <c r="A44" s="1944" t="s">
        <v>1496</v>
      </c>
      <c r="B44" s="2349">
        <f>SUM(C44:F44)</f>
        <v>3.9770000000000003</v>
      </c>
      <c r="C44" s="1985"/>
      <c r="D44" s="1985"/>
      <c r="E44" s="1992">
        <f>'[15]1тсо кроме мрск НК'!E44+'[15]2тсо кроме мрск НК'!E44</f>
        <v>2.403</v>
      </c>
      <c r="F44" s="2358">
        <f>'[15]1тсо кроме мрск НК'!F44+'[15]2тсо кроме мрск НК'!F44</f>
        <v>1.5740000000000001</v>
      </c>
      <c r="G44" s="1943"/>
      <c r="H44" s="1943"/>
    </row>
    <row r="45" spans="1:8" ht="21.75" customHeight="1" thickBot="1">
      <c r="A45" s="1957" t="s">
        <v>977</v>
      </c>
      <c r="B45" s="1951">
        <f>SUM(C45:F45)</f>
        <v>8.2122448979591841E-4</v>
      </c>
      <c r="C45" s="2351"/>
      <c r="D45" s="2351"/>
      <c r="E45" s="2359">
        <f>('[15]1тсо кроме мрск НК'!E45+'[15]2тсо кроме мрск НК'!E45)/2</f>
        <v>5.0000000000000001E-4</v>
      </c>
      <c r="F45" s="2360">
        <f>('[15]1тсо кроме мрск НК'!F45+'[15]2тсо кроме мрск НК'!F45)/2</f>
        <v>3.212244897959184E-4</v>
      </c>
      <c r="G45" s="1943"/>
      <c r="H45" s="1943"/>
    </row>
    <row r="46" spans="1:8" ht="25.5" customHeight="1" thickBot="1">
      <c r="A46" s="4338" t="s">
        <v>2105</v>
      </c>
      <c r="B46" s="4338"/>
      <c r="C46" s="4338"/>
      <c r="D46" s="4338"/>
      <c r="E46" s="4338"/>
      <c r="F46" s="4338"/>
      <c r="G46" s="1943"/>
      <c r="H46" s="1943"/>
    </row>
    <row r="47" spans="1:8" ht="22.5" customHeight="1">
      <c r="A47" s="1944" t="s">
        <v>1496</v>
      </c>
      <c r="B47" s="1983"/>
      <c r="C47" s="1984"/>
      <c r="D47" s="1984"/>
      <c r="E47" s="1985"/>
      <c r="F47" s="1982"/>
      <c r="G47" s="1943"/>
      <c r="H47" s="1943"/>
    </row>
    <row r="48" spans="1:8" ht="22.5" customHeight="1" thickBot="1">
      <c r="A48" s="1957" t="s">
        <v>977</v>
      </c>
      <c r="B48" s="1986"/>
      <c r="C48" s="1987"/>
      <c r="D48" s="1987"/>
      <c r="E48" s="1988"/>
      <c r="F48" s="1989"/>
      <c r="G48" s="1943"/>
      <c r="H48" s="1943"/>
    </row>
    <row r="49" spans="1:17" ht="21" customHeight="1" thickBot="1">
      <c r="A49" s="4339" t="s">
        <v>2106</v>
      </c>
      <c r="B49" s="4339"/>
      <c r="C49" s="4339"/>
      <c r="D49" s="4339"/>
      <c r="E49" s="4339"/>
      <c r="F49" s="4339"/>
      <c r="G49" s="1943"/>
      <c r="H49" s="1943"/>
    </row>
    <row r="50" spans="1:17" ht="21" customHeight="1">
      <c r="A50" s="1944" t="s">
        <v>1496</v>
      </c>
      <c r="B50" s="1997"/>
      <c r="C50" s="1984"/>
      <c r="D50" s="1984"/>
      <c r="E50" s="1985"/>
      <c r="F50" s="1982"/>
      <c r="G50" s="1943"/>
      <c r="H50" s="1943"/>
      <c r="J50" s="1937">
        <v>740.5</v>
      </c>
    </row>
    <row r="51" spans="1:17" ht="21" customHeight="1" thickBot="1">
      <c r="A51" s="1957" t="s">
        <v>977</v>
      </c>
      <c r="B51" s="1980"/>
      <c r="C51" s="1987"/>
      <c r="D51" s="1987"/>
      <c r="E51" s="1988"/>
      <c r="F51" s="1970"/>
      <c r="G51" s="1960" t="e">
        <f>F50/F51</f>
        <v>#DIV/0!</v>
      </c>
      <c r="H51" s="1943"/>
      <c r="J51" s="1961">
        <v>0.23300000000000001</v>
      </c>
      <c r="K51" s="1962">
        <f>J50/J51</f>
        <v>3178.1115879828326</v>
      </c>
    </row>
    <row r="52" spans="1:17" ht="15.75" customHeight="1">
      <c r="A52" s="4340" t="s">
        <v>1497</v>
      </c>
      <c r="B52" s="4340"/>
      <c r="C52" s="4340"/>
      <c r="D52" s="4340"/>
      <c r="E52" s="4340"/>
      <c r="F52" s="4340"/>
      <c r="G52" s="1943"/>
      <c r="H52" s="1943"/>
    </row>
    <row r="53" spans="1:17" ht="23.25" customHeight="1" thickBot="1">
      <c r="A53" s="4337" t="s">
        <v>2107</v>
      </c>
      <c r="B53" s="4337"/>
      <c r="C53" s="4337"/>
      <c r="D53" s="4337"/>
      <c r="E53" s="4337"/>
      <c r="F53" s="4337"/>
      <c r="G53" s="1943"/>
      <c r="H53" s="1943"/>
    </row>
    <row r="54" spans="1:17" ht="23.25" customHeight="1">
      <c r="A54" s="1944" t="s">
        <v>1496</v>
      </c>
      <c r="B54" s="1997"/>
      <c r="C54" s="1975"/>
      <c r="D54" s="1975"/>
      <c r="E54" s="1976"/>
      <c r="F54" s="1982"/>
      <c r="G54" s="1943"/>
      <c r="H54" s="1943"/>
    </row>
    <row r="55" spans="1:17" ht="23.25" customHeight="1" thickBot="1">
      <c r="A55" s="1957" t="s">
        <v>977</v>
      </c>
      <c r="B55" s="1980"/>
      <c r="C55" s="1968"/>
      <c r="D55" s="1968"/>
      <c r="E55" s="1969"/>
      <c r="F55" s="1970"/>
      <c r="G55" s="1943"/>
      <c r="H55" s="1943"/>
    </row>
    <row r="56" spans="1:17" ht="19.5" customHeight="1" thickBot="1">
      <c r="A56" s="4338" t="s">
        <v>2108</v>
      </c>
      <c r="B56" s="4338"/>
      <c r="C56" s="4338"/>
      <c r="D56" s="4338"/>
      <c r="E56" s="4338"/>
      <c r="F56" s="4338"/>
      <c r="G56" s="1943"/>
      <c r="H56" s="1943"/>
    </row>
    <row r="57" spans="1:17" ht="19.5" customHeight="1">
      <c r="A57" s="1944" t="s">
        <v>1496</v>
      </c>
      <c r="B57" s="1997"/>
      <c r="C57" s="1975"/>
      <c r="D57" s="1975"/>
      <c r="E57" s="1976"/>
      <c r="F57" s="1982"/>
      <c r="G57" s="1943"/>
      <c r="H57" s="1943"/>
    </row>
    <row r="58" spans="1:17" ht="19.5" customHeight="1" thickBot="1">
      <c r="A58" s="1957" t="s">
        <v>977</v>
      </c>
      <c r="B58" s="1980"/>
      <c r="C58" s="1968"/>
      <c r="D58" s="1968"/>
      <c r="E58" s="1969"/>
      <c r="F58" s="1970"/>
    </row>
    <row r="59" spans="1:17" ht="27.75" customHeight="1" thickBot="1">
      <c r="A59" s="4341" t="str">
        <f>'[15]1тсо кроме мрск НК'!A59:F59</f>
        <v>2. СОБСТВЕННОЕ ПОТРЕБЛЕНИЕ (в целом по юридическому лицу) **</v>
      </c>
      <c r="B59" s="4341"/>
      <c r="C59" s="4341"/>
      <c r="D59" s="4341"/>
      <c r="E59" s="4341"/>
      <c r="F59" s="4341"/>
      <c r="G59" s="1998" t="s">
        <v>2110</v>
      </c>
    </row>
    <row r="60" spans="1:17" ht="26.25" customHeight="1">
      <c r="A60" s="1999" t="s">
        <v>1496</v>
      </c>
      <c r="B60" s="1945">
        <f>SUM(C60:F60)</f>
        <v>1416.13</v>
      </c>
      <c r="C60" s="2361"/>
      <c r="D60" s="2361"/>
      <c r="E60" s="1946">
        <f>'[15]1тсо кроме мрск НК'!E60+'[15]2тсо кроме мрск НК'!E60</f>
        <v>1416.13</v>
      </c>
      <c r="F60" s="2355"/>
      <c r="G60" s="1998" t="s">
        <v>2111</v>
      </c>
    </row>
    <row r="61" spans="1:17" ht="26.25" customHeight="1" thickBot="1">
      <c r="A61" s="2000" t="s">
        <v>977</v>
      </c>
      <c r="B61" s="2356">
        <f>SUM(C61:F61)</f>
        <v>0.16203000000000001</v>
      </c>
      <c r="C61" s="2353"/>
      <c r="D61" s="2353"/>
      <c r="E61" s="2353">
        <f>('[15]1тсо кроме мрск НК'!E61+'[15]2тсо кроме мрск НК'!E61)/2</f>
        <v>0.16203000000000001</v>
      </c>
      <c r="F61" s="2357"/>
      <c r="O61" s="2149">
        <f>E60/8740</f>
        <v>0.16202860411899314</v>
      </c>
      <c r="P61" s="1962">
        <f>E60/E61</f>
        <v>8739.9247053014878</v>
      </c>
      <c r="Q61" s="1937" t="s">
        <v>2406</v>
      </c>
    </row>
    <row r="62" spans="1:17" ht="28.5" customHeight="1">
      <c r="A62" s="2001"/>
      <c r="B62" s="2002"/>
      <c r="C62" s="1942"/>
      <c r="D62" s="1942"/>
      <c r="E62" s="2578"/>
      <c r="F62" s="2578"/>
    </row>
    <row r="63" spans="1:17" ht="17.25" customHeight="1">
      <c r="A63" s="4367" t="s">
        <v>2404</v>
      </c>
      <c r="B63" s="4367"/>
      <c r="C63" s="4367"/>
      <c r="D63" s="4367"/>
      <c r="E63" s="4367"/>
      <c r="F63" s="4367"/>
    </row>
    <row r="64" spans="1:17" ht="17.25" customHeight="1">
      <c r="A64" s="4363" t="s">
        <v>2405</v>
      </c>
      <c r="B64" s="4363"/>
      <c r="C64" s="4363"/>
      <c r="D64" s="4363"/>
      <c r="E64" s="4363"/>
      <c r="F64" s="4363"/>
    </row>
    <row r="65" spans="1:6">
      <c r="A65" s="4333" t="str">
        <f>'[15]1тсо кроме мрск НК'!A65:B70</f>
        <v>Руководитель энергосбытовой организации ООО "НК-Энергосбыт"</v>
      </c>
      <c r="B65" s="4333"/>
      <c r="D65" s="4364" t="str">
        <f>'[15]1тсо кроме мрск НК'!D65:F70</f>
        <v xml:space="preserve">Руководитель сетевой организации АО «РКЦ «Прогресс» </v>
      </c>
      <c r="E65" s="4364"/>
      <c r="F65" s="4364"/>
    </row>
    <row r="66" spans="1:6">
      <c r="A66" s="4333"/>
      <c r="B66" s="4333"/>
      <c r="D66" s="4364"/>
      <c r="E66" s="4364"/>
      <c r="F66" s="4364"/>
    </row>
    <row r="67" spans="1:6">
      <c r="A67" s="4333"/>
      <c r="B67" s="4333"/>
      <c r="D67" s="4364"/>
      <c r="E67" s="4364"/>
      <c r="F67" s="4364"/>
    </row>
    <row r="68" spans="1:6">
      <c r="A68" s="4333"/>
      <c r="B68" s="4333"/>
      <c r="D68" s="4364"/>
      <c r="E68" s="4364"/>
      <c r="F68" s="4364"/>
    </row>
    <row r="69" spans="1:6">
      <c r="A69" s="4333"/>
      <c r="B69" s="4333"/>
      <c r="D69" s="4364"/>
      <c r="E69" s="4364"/>
      <c r="F69" s="4364"/>
    </row>
    <row r="70" spans="1:6">
      <c r="A70" s="4333"/>
      <c r="B70" s="4333"/>
      <c r="D70" s="4364"/>
      <c r="E70" s="4364"/>
      <c r="F70" s="4364"/>
    </row>
    <row r="71" spans="1:6" ht="32.25" customHeight="1">
      <c r="A71" s="4333" t="s">
        <v>2115</v>
      </c>
      <c r="B71" s="4333"/>
      <c r="D71" s="4333" t="str">
        <f>'[15]1тсо кроме мрск НК'!D71:F71</f>
        <v xml:space="preserve"> _______________________________________________</v>
      </c>
      <c r="E71" s="4333"/>
      <c r="F71" s="4333"/>
    </row>
    <row r="72" spans="1:6">
      <c r="A72" s="4366" t="s">
        <v>2116</v>
      </c>
      <c r="B72" s="4366"/>
      <c r="D72" s="4366" t="s">
        <v>2116</v>
      </c>
      <c r="E72" s="4366"/>
      <c r="F72" s="4366"/>
    </row>
    <row r="73" spans="1:6">
      <c r="A73" s="4365" t="s">
        <v>1507</v>
      </c>
      <c r="B73" s="4365"/>
      <c r="D73" s="4365" t="s">
        <v>1507</v>
      </c>
      <c r="E73" s="4365"/>
      <c r="F73" s="4365"/>
    </row>
    <row r="75" spans="1:6" hidden="1"/>
    <row r="76" spans="1:6" hidden="1"/>
    <row r="77" spans="1:6" ht="41.25" customHeight="1">
      <c r="A77" s="4333" t="s">
        <v>2117</v>
      </c>
      <c r="B77" s="4333"/>
    </row>
    <row r="78" spans="1:6">
      <c r="D78" s="2005"/>
    </row>
  </sheetData>
  <sheetProtection selectLockedCells="1" selectUnlockedCells="1"/>
  <mergeCells count="40">
    <mergeCell ref="A1:F1"/>
    <mergeCell ref="A2:F2"/>
    <mergeCell ref="A3:F3"/>
    <mergeCell ref="A5:A6"/>
    <mergeCell ref="B5:B6"/>
    <mergeCell ref="C5:F5"/>
    <mergeCell ref="A32:F32"/>
    <mergeCell ref="A7:F7"/>
    <mergeCell ref="A8:F8"/>
    <mergeCell ref="A11:F11"/>
    <mergeCell ref="A12:F12"/>
    <mergeCell ref="A15:F15"/>
    <mergeCell ref="A16:F16"/>
    <mergeCell ref="A19:F19"/>
    <mergeCell ref="A22:F22"/>
    <mergeCell ref="A23:F23"/>
    <mergeCell ref="A26:F26"/>
    <mergeCell ref="A29:F29"/>
    <mergeCell ref="A63:F63"/>
    <mergeCell ref="A33:F33"/>
    <mergeCell ref="A36:F36"/>
    <mergeCell ref="A39:F39"/>
    <mergeCell ref="A42:F42"/>
    <mergeCell ref="A43:F43"/>
    <mergeCell ref="A46:F46"/>
    <mergeCell ref="A49:F49"/>
    <mergeCell ref="A52:F52"/>
    <mergeCell ref="A53:F53"/>
    <mergeCell ref="A56:F56"/>
    <mergeCell ref="A59:F59"/>
    <mergeCell ref="A73:B73"/>
    <mergeCell ref="D73:F73"/>
    <mergeCell ref="A77:B77"/>
    <mergeCell ref="A64:F64"/>
    <mergeCell ref="A65:B70"/>
    <mergeCell ref="D65:F70"/>
    <mergeCell ref="A71:B71"/>
    <mergeCell ref="D71:F71"/>
    <mergeCell ref="A72:B72"/>
    <mergeCell ref="D72:F72"/>
  </mergeCells>
  <printOptions horizontalCentered="1"/>
  <pageMargins left="0.78740157480314965" right="0.19685039370078741" top="0.51181102362204722" bottom="0.11811023622047245" header="0.51181102362204722" footer="3.937007874015748E-2"/>
  <pageSetup paperSize="9" scale="51" firstPageNumber="0" orientation="portrait" horizontalDpi="300" verticalDpi="300" r:id="rId1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4"/>
  <dimension ref="A1:K19"/>
  <sheetViews>
    <sheetView workbookViewId="0">
      <selection activeCell="L19" sqref="L19"/>
    </sheetView>
  </sheetViews>
  <sheetFormatPr defaultColWidth="9.109375" defaultRowHeight="13.2"/>
  <cols>
    <col min="1" max="1" width="50" style="10" customWidth="1"/>
    <col min="2" max="2" width="13.5546875" style="10" customWidth="1"/>
    <col min="3" max="3" width="13.6640625" style="10" customWidth="1"/>
    <col min="4" max="4" width="21.44140625" style="10" customWidth="1"/>
    <col min="5" max="16384" width="9.109375" style="10"/>
  </cols>
  <sheetData>
    <row r="1" spans="1:11" ht="15.6">
      <c r="A1" s="109" t="s">
        <v>1999</v>
      </c>
      <c r="B1" s="110"/>
      <c r="C1" s="110"/>
      <c r="D1" s="110"/>
    </row>
    <row r="2" spans="1:11" ht="15.6">
      <c r="A2" s="109" t="s">
        <v>1996</v>
      </c>
      <c r="B2" s="110"/>
      <c r="C2" s="110"/>
      <c r="D2" s="110"/>
    </row>
    <row r="3" spans="1:11" ht="28.5" customHeight="1">
      <c r="A3" s="1791" t="s">
        <v>2000</v>
      </c>
      <c r="B3" s="1791"/>
      <c r="C3" s="1791"/>
      <c r="D3" s="1791"/>
    </row>
    <row r="4" spans="1:11" ht="15.6">
      <c r="A4" s="1791" t="s">
        <v>1997</v>
      </c>
      <c r="B4" s="1791"/>
      <c r="C4" s="1791"/>
      <c r="D4" s="1791"/>
    </row>
    <row r="6" spans="1:11">
      <c r="D6" s="10" t="s">
        <v>238</v>
      </c>
    </row>
    <row r="7" spans="1:11" ht="93.6">
      <c r="A7" s="134" t="s">
        <v>902</v>
      </c>
      <c r="B7" s="134" t="s">
        <v>1998</v>
      </c>
      <c r="C7" s="134" t="s">
        <v>2001</v>
      </c>
      <c r="D7" s="134" t="s">
        <v>2011</v>
      </c>
    </row>
    <row r="8" spans="1:11" s="26" customFormat="1" ht="15.6">
      <c r="A8" s="1792" t="s">
        <v>2013</v>
      </c>
      <c r="B8" s="1790"/>
      <c r="C8" s="1790"/>
      <c r="D8" s="1790"/>
    </row>
    <row r="9" spans="1:11" s="26" customFormat="1" ht="24" customHeight="1">
      <c r="A9" s="1790" t="s">
        <v>1197</v>
      </c>
      <c r="B9" s="516">
        <f>'орг. Корр-ка НВВ 2014г.'!F24</f>
        <v>0</v>
      </c>
      <c r="C9" s="1793">
        <f>'Реестр всп.мат.2012пром.'!E27/1000</f>
        <v>476.51282000000003</v>
      </c>
      <c r="D9" s="1793">
        <f>C9-B9</f>
        <v>476.51282000000003</v>
      </c>
    </row>
    <row r="10" spans="1:11" s="26" customFormat="1" ht="63" customHeight="1">
      <c r="A10" s="1790" t="s">
        <v>2012</v>
      </c>
      <c r="B10" s="1790">
        <f>'орг. Корр-ка НВВ 2014г.'!E25</f>
        <v>334.8</v>
      </c>
      <c r="C10" s="1793">
        <f>'РСЭО факт за 2012г.'!F28</f>
        <v>1017.0608736362374</v>
      </c>
      <c r="D10" s="1793">
        <f>C10-B10</f>
        <v>682.26087363623742</v>
      </c>
    </row>
    <row r="11" spans="1:11" s="26" customFormat="1" ht="27.75" customHeight="1">
      <c r="A11" s="1790" t="s">
        <v>419</v>
      </c>
      <c r="B11" s="1790">
        <f>SUM(B9:B10)</f>
        <v>334.8</v>
      </c>
      <c r="C11" s="1793">
        <f>SUM(C9:C10)</f>
        <v>1493.5736936362373</v>
      </c>
      <c r="D11" s="1793">
        <f>SUM(D9:D10)</f>
        <v>1158.7736936362376</v>
      </c>
    </row>
    <row r="12" spans="1:11" s="26" customFormat="1" ht="15.6">
      <c r="G12" s="10"/>
    </row>
    <row r="13" spans="1:11" ht="29.25" customHeight="1">
      <c r="G13" s="48"/>
    </row>
    <row r="14" spans="1:11" s="778" customFormat="1" ht="23.25" customHeight="1">
      <c r="A14" s="839" t="s">
        <v>1266</v>
      </c>
      <c r="B14" s="839"/>
      <c r="C14" s="840"/>
      <c r="D14" s="840"/>
      <c r="E14" s="840"/>
      <c r="F14" s="840"/>
      <c r="G14" s="10"/>
      <c r="H14" s="840"/>
      <c r="I14" s="840"/>
      <c r="J14" s="840"/>
      <c r="K14" s="840"/>
    </row>
    <row r="15" spans="1:11" s="778" customFormat="1" ht="15" customHeight="1">
      <c r="A15" s="839" t="s">
        <v>1304</v>
      </c>
      <c r="B15" s="840"/>
      <c r="C15" s="840"/>
      <c r="D15" s="842" t="s">
        <v>1268</v>
      </c>
      <c r="E15" s="841"/>
      <c r="F15" s="840"/>
      <c r="H15" s="840"/>
      <c r="I15" s="840"/>
      <c r="J15" s="840"/>
      <c r="K15" s="840"/>
    </row>
    <row r="16" spans="1:11">
      <c r="G16" s="48"/>
    </row>
    <row r="17" spans="4:7">
      <c r="G17" s="48"/>
    </row>
    <row r="19" spans="4:7">
      <c r="D19" s="10" t="s">
        <v>496</v>
      </c>
    </row>
  </sheetData>
  <pageMargins left="0.70866141732283472" right="0.70866141732283472" top="0.74803149606299213" bottom="0.74803149606299213" header="0.31496062992125984" footer="0.31496062992125984"/>
  <pageSetup paperSize="9" scale="95" orientation="portrait" horizontalDpi="300" verticalDpi="300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5"/>
  <dimension ref="A1:K87"/>
  <sheetViews>
    <sheetView zoomScaleSheetLayoutView="85" workbookViewId="0">
      <selection activeCell="K8" sqref="K8"/>
    </sheetView>
  </sheetViews>
  <sheetFormatPr defaultColWidth="9.109375" defaultRowHeight="13.2"/>
  <cols>
    <col min="1" max="1" width="10.6640625" style="1832" customWidth="1"/>
    <col min="2" max="2" width="56.33203125" style="1832" customWidth="1"/>
    <col min="3" max="3" width="11" style="1832" customWidth="1"/>
    <col min="4" max="4" width="15.109375" style="1832" customWidth="1"/>
    <col min="5" max="6" width="14.5546875" style="1832" customWidth="1"/>
    <col min="7" max="7" width="15.5546875" style="1832" customWidth="1"/>
    <col min="8" max="16384" width="9.109375" style="1832"/>
  </cols>
  <sheetData>
    <row r="1" spans="1:11">
      <c r="E1" s="1833"/>
      <c r="F1" s="1833"/>
      <c r="G1" s="1833" t="s">
        <v>2016</v>
      </c>
    </row>
    <row r="2" spans="1:11" ht="74.25" customHeight="1">
      <c r="C2" t="s">
        <v>2017</v>
      </c>
      <c r="D2"/>
      <c r="E2" s="4370"/>
      <c r="F2" s="4370"/>
    </row>
    <row r="3" spans="1:11" ht="53.25" customHeight="1">
      <c r="A3" s="4371" t="s">
        <v>2064</v>
      </c>
      <c r="B3" s="4371"/>
      <c r="C3" s="4371"/>
      <c r="D3" s="4371"/>
      <c r="E3" s="4371"/>
      <c r="F3" s="4371"/>
      <c r="H3" s="4372"/>
      <c r="I3" s="4372"/>
      <c r="J3" s="4372"/>
      <c r="K3" s="4372"/>
    </row>
    <row r="4" spans="1:11" ht="17.399999999999999">
      <c r="A4" s="4368"/>
      <c r="B4" s="4368"/>
      <c r="C4" s="4368"/>
      <c r="D4" s="4368"/>
      <c r="E4" s="4368"/>
      <c r="F4" s="4368"/>
      <c r="H4" s="4373"/>
      <c r="I4" s="4373"/>
      <c r="J4" s="4373"/>
      <c r="K4" s="4373"/>
    </row>
    <row r="5" spans="1:11" ht="17.399999999999999">
      <c r="A5" s="4369" t="s">
        <v>2018</v>
      </c>
      <c r="B5" s="4369"/>
      <c r="C5" s="4369"/>
      <c r="D5" s="4369"/>
      <c r="E5" s="4369"/>
      <c r="F5" s="4369"/>
      <c r="H5" s="4373"/>
      <c r="I5" s="4124"/>
      <c r="J5" s="4124"/>
      <c r="K5" s="4124"/>
    </row>
    <row r="6" spans="1:11" ht="15" customHeight="1">
      <c r="A6" s="4374" t="s">
        <v>2019</v>
      </c>
      <c r="B6" s="4374"/>
      <c r="C6" s="4374"/>
      <c r="D6" s="4374"/>
      <c r="E6" s="4374"/>
      <c r="F6" s="4374"/>
      <c r="H6" s="1835"/>
      <c r="I6" s="1835"/>
      <c r="J6" s="1835"/>
      <c r="K6" s="1835"/>
    </row>
    <row r="7" spans="1:11" ht="14.4">
      <c r="A7" s="1837"/>
      <c r="B7" s="1838" t="s">
        <v>2020</v>
      </c>
      <c r="C7" s="1837"/>
      <c r="D7" s="1837"/>
      <c r="E7" s="1839"/>
      <c r="F7" s="1839" t="s">
        <v>24</v>
      </c>
      <c r="G7" s="1839"/>
      <c r="H7" s="1835"/>
      <c r="I7" s="1835"/>
      <c r="J7" s="1835"/>
      <c r="K7" s="1835"/>
    </row>
    <row r="8" spans="1:11" ht="48.75" customHeight="1">
      <c r="A8" s="4124" t="s">
        <v>1320</v>
      </c>
      <c r="B8" s="4124" t="s">
        <v>1309</v>
      </c>
      <c r="C8" s="4124" t="s">
        <v>1310</v>
      </c>
      <c r="D8" s="4375" t="s">
        <v>1998</v>
      </c>
      <c r="E8" s="4375" t="s">
        <v>2021</v>
      </c>
      <c r="F8" s="4375"/>
      <c r="G8" s="4375" t="s">
        <v>2065</v>
      </c>
    </row>
    <row r="9" spans="1:11" ht="54" customHeight="1">
      <c r="A9" s="4124"/>
      <c r="B9" s="4124"/>
      <c r="C9" s="4124"/>
      <c r="D9" s="4375"/>
      <c r="E9" s="1874" t="s">
        <v>2067</v>
      </c>
      <c r="F9" s="1874" t="s">
        <v>2068</v>
      </c>
      <c r="G9" s="4375"/>
    </row>
    <row r="10" spans="1:11" ht="15.75" customHeight="1">
      <c r="A10" s="1842">
        <v>1</v>
      </c>
      <c r="B10" s="1842">
        <v>2</v>
      </c>
      <c r="C10" s="1842">
        <v>3</v>
      </c>
      <c r="D10" s="1842">
        <v>4</v>
      </c>
      <c r="E10" s="1842">
        <v>5</v>
      </c>
      <c r="F10" s="1842">
        <v>6</v>
      </c>
      <c r="G10" s="1842" t="s">
        <v>2022</v>
      </c>
      <c r="I10" s="1834"/>
      <c r="J10" s="1834"/>
    </row>
    <row r="11" spans="1:11" ht="40.200000000000003">
      <c r="A11" s="1843">
        <v>1</v>
      </c>
      <c r="B11" s="1844" t="s">
        <v>2066</v>
      </c>
      <c r="C11" s="1845" t="s">
        <v>238</v>
      </c>
      <c r="D11">
        <f>D12+D38+D52</f>
        <v>2737.3620838856546</v>
      </c>
      <c r="E11">
        <f>E12+E38+E52</f>
        <v>102471.295</v>
      </c>
      <c r="F11" s="1859">
        <f>F12+F38+F52</f>
        <v>13274.454045069831</v>
      </c>
      <c r="G11">
        <f>F11/D11</f>
        <v>4.8493599451874099</v>
      </c>
      <c r="J11" s="1832">
        <f>'орг. Корр-ка НВВ 2014г.'!F71</f>
        <v>2737.3891238856545</v>
      </c>
    </row>
    <row r="12" spans="1:11" ht="13.8">
      <c r="A12" s="1844" t="s">
        <v>698</v>
      </c>
      <c r="B12" s="1844" t="s">
        <v>1327</v>
      </c>
      <c r="C12" s="1847" t="s">
        <v>238</v>
      </c>
      <c r="D12" s="1847">
        <f>D13+D16+D19+D33</f>
        <v>1658.6654999999998</v>
      </c>
      <c r="E12" s="1794">
        <f>E13+E16+E19+E33</f>
        <v>95498.111999999994</v>
      </c>
      <c r="F12" s="1846">
        <f>F13+F16+F19+F33</f>
        <v>12309.150239572609</v>
      </c>
      <c r="G12" s="1794">
        <f t="shared" ref="G12:G19" si="0">F12/D12</f>
        <v>7.4211166986789143</v>
      </c>
      <c r="I12" s="1832">
        <f>'орг. Корр-ка НВВ 2014г.'!F45</f>
        <v>1658.6925399999998</v>
      </c>
    </row>
    <row r="13" spans="1:11">
      <c r="A13" s="1848" t="s">
        <v>260</v>
      </c>
      <c r="B13" s="1849" t="s">
        <v>1328</v>
      </c>
      <c r="C13" s="1845" t="s">
        <v>238</v>
      </c>
      <c r="D13" s="1845">
        <f>'орг. Корр-ка НВВ 2014г.'!F25</f>
        <v>285.55799999999999</v>
      </c>
      <c r="E13" s="1794">
        <f>E14+E15</f>
        <v>52019</v>
      </c>
      <c r="F13" s="1846">
        <f>F14+F15</f>
        <v>7201.0355469173774</v>
      </c>
      <c r="G13" s="1794">
        <f t="shared" si="0"/>
        <v>25.217418342043921</v>
      </c>
    </row>
    <row r="14" spans="1:11">
      <c r="A14" s="1850" t="s">
        <v>1329</v>
      </c>
      <c r="B14" s="1851" t="s">
        <v>1330</v>
      </c>
      <c r="C14" s="1852" t="s">
        <v>238</v>
      </c>
      <c r="D14" s="1852"/>
      <c r="E14" s="1853">
        <v>14814</v>
      </c>
      <c r="F14" s="1873">
        <f>E14*($E$78+$E$77+$E$75)/$E$70</f>
        <v>2050.7149424639847</v>
      </c>
      <c r="G14" s="1853"/>
    </row>
    <row r="15" spans="1:11" ht="34.200000000000003">
      <c r="A15" s="1850" t="s">
        <v>1331</v>
      </c>
      <c r="B15" s="1851" t="s">
        <v>1332</v>
      </c>
      <c r="C15" s="1852" t="s">
        <v>238</v>
      </c>
      <c r="D15" s="1852">
        <v>285.60000000000002</v>
      </c>
      <c r="E15" s="1853">
        <v>37205</v>
      </c>
      <c r="F15" s="1873">
        <f>E15*($E$78+$E$77+$E$75)/$E$70</f>
        <v>5150.3206044533927</v>
      </c>
      <c r="G15" s="1853">
        <f t="shared" si="0"/>
        <v>18.033335449766781</v>
      </c>
    </row>
    <row r="16" spans="1:11" ht="17.25" customHeight="1">
      <c r="A16" s="1848" t="s">
        <v>262</v>
      </c>
      <c r="B16" s="1849" t="s">
        <v>1333</v>
      </c>
      <c r="C16" s="1845" t="s">
        <v>238</v>
      </c>
      <c r="D16" s="1845">
        <f>'орг. Корр-ка НВВ 2014г.'!F26</f>
        <v>1262.0074999999999</v>
      </c>
      <c r="E16" s="1846">
        <v>33521.112000000001</v>
      </c>
      <c r="F16" s="1873">
        <f>E16*($E$78+$E$77+$E$75)/$E$70</f>
        <v>4640.3567751052242</v>
      </c>
      <c r="G16" s="1846">
        <f t="shared" si="0"/>
        <v>3.6769644991057695</v>
      </c>
    </row>
    <row r="17" spans="1:10" ht="17.25" customHeight="1">
      <c r="A17" s="1848" t="s">
        <v>2023</v>
      </c>
      <c r="B17" s="1849" t="s">
        <v>2024</v>
      </c>
      <c r="C17" s="1845" t="s">
        <v>1413</v>
      </c>
      <c r="D17" s="1845">
        <v>13</v>
      </c>
      <c r="E17" s="1846">
        <v>111</v>
      </c>
      <c r="F17" s="1873">
        <f>E17*($E$78+$E$77+$E$75)/$E$70</f>
        <v>15.365826826886885</v>
      </c>
      <c r="G17" s="1846">
        <f t="shared" si="0"/>
        <v>1.1819866789912987</v>
      </c>
    </row>
    <row r="18" spans="1:10" ht="17.25" customHeight="1">
      <c r="A18" s="1848" t="s">
        <v>2025</v>
      </c>
      <c r="B18" s="1849" t="s">
        <v>2026</v>
      </c>
      <c r="C18" s="1845" t="s">
        <v>601</v>
      </c>
      <c r="D18" s="1845">
        <f>D16*1000/12/D17</f>
        <v>8089.791666666667</v>
      </c>
      <c r="E18" s="1846">
        <f>E16*1000/12/E17</f>
        <v>25166</v>
      </c>
      <c r="F18" s="1873">
        <f>F16*1000/12/F17</f>
        <v>25166</v>
      </c>
      <c r="G18" s="1846"/>
      <c r="I18" s="1832">
        <v>25166</v>
      </c>
      <c r="J18" s="1832">
        <v>3483.7513326615795</v>
      </c>
    </row>
    <row r="19" spans="1:10">
      <c r="A19" s="1848" t="s">
        <v>1190</v>
      </c>
      <c r="B19" s="1849" t="s">
        <v>1334</v>
      </c>
      <c r="C19" s="1845" t="s">
        <v>238</v>
      </c>
      <c r="D19" s="1845">
        <f>SUM(D20:D32)</f>
        <v>52.300000000000004</v>
      </c>
      <c r="E19" s="1794">
        <v>9958</v>
      </c>
      <c r="F19" s="1846">
        <f>F20+F21</f>
        <v>467.75791755000705</v>
      </c>
      <c r="G19" s="1794">
        <f t="shared" si="0"/>
        <v>8.943746033460938</v>
      </c>
    </row>
    <row r="20" spans="1:10">
      <c r="A20" s="1850" t="s">
        <v>1335</v>
      </c>
      <c r="B20" s="1851" t="s">
        <v>1336</v>
      </c>
      <c r="C20" s="1852" t="s">
        <v>238</v>
      </c>
      <c r="D20" s="1852"/>
      <c r="E20" s="1853">
        <v>3379</v>
      </c>
      <c r="F20" s="1873">
        <f>E20*($E$78+$E$77+$E$75)/$E$70</f>
        <v>467.75791755000705</v>
      </c>
      <c r="G20" s="1853"/>
    </row>
    <row r="21" spans="1:10">
      <c r="A21" s="1850" t="s">
        <v>1338</v>
      </c>
      <c r="B21" s="1851" t="s">
        <v>1339</v>
      </c>
      <c r="C21" s="1852" t="s">
        <v>238</v>
      </c>
      <c r="D21" s="1852"/>
      <c r="E21" s="1794">
        <v>6567</v>
      </c>
      <c r="F21" s="1853">
        <f>F22+F23+F24+F25+F26+F27</f>
        <v>0</v>
      </c>
      <c r="G21" s="1794"/>
    </row>
    <row r="22" spans="1:10">
      <c r="A22" s="1854" t="s">
        <v>1340</v>
      </c>
      <c r="B22" s="1855" t="s">
        <v>1341</v>
      </c>
      <c r="C22" s="1852" t="s">
        <v>238</v>
      </c>
      <c r="D22" s="1852"/>
      <c r="E22" s="1856"/>
      <c r="F22" s="1873">
        <f>E22*($E$78+$E$77+$E$75)/$E$70</f>
        <v>0</v>
      </c>
      <c r="G22" s="1856"/>
    </row>
    <row r="23" spans="1:10" ht="22.8">
      <c r="A23" s="1854" t="s">
        <v>1342</v>
      </c>
      <c r="B23" s="1855" t="s">
        <v>1343</v>
      </c>
      <c r="C23" s="1852" t="s">
        <v>238</v>
      </c>
      <c r="D23" s="1852"/>
      <c r="E23" s="1853"/>
      <c r="F23" s="1873">
        <f t="shared" ref="F23:F36" si="1">E23*($E$78+$E$77+$E$75)/$E$70</f>
        <v>0</v>
      </c>
      <c r="G23" s="1853"/>
    </row>
    <row r="24" spans="1:10">
      <c r="A24" s="1854" t="s">
        <v>1344</v>
      </c>
      <c r="B24" s="1855" t="s">
        <v>1345</v>
      </c>
      <c r="C24" s="1852" t="s">
        <v>238</v>
      </c>
      <c r="D24" s="1852"/>
      <c r="E24" s="1853"/>
      <c r="F24" s="1873">
        <f t="shared" si="1"/>
        <v>0</v>
      </c>
      <c r="G24" s="1853"/>
    </row>
    <row r="25" spans="1:10">
      <c r="A25" s="1854" t="s">
        <v>1346</v>
      </c>
      <c r="B25" s="1855" t="s">
        <v>1347</v>
      </c>
      <c r="C25" s="1852" t="s">
        <v>238</v>
      </c>
      <c r="D25" s="1852"/>
      <c r="E25" s="1853"/>
      <c r="F25" s="1873">
        <f t="shared" si="1"/>
        <v>0</v>
      </c>
      <c r="G25" s="1853"/>
    </row>
    <row r="26" spans="1:10">
      <c r="A26" s="1854" t="s">
        <v>1348</v>
      </c>
      <c r="B26" s="1855" t="s">
        <v>1349</v>
      </c>
      <c r="C26" s="1852" t="s">
        <v>238</v>
      </c>
      <c r="D26" s="1852"/>
      <c r="E26" s="1853"/>
      <c r="F26" s="1873">
        <f t="shared" si="1"/>
        <v>0</v>
      </c>
      <c r="G26" s="1853"/>
    </row>
    <row r="27" spans="1:10">
      <c r="A27" s="1854" t="s">
        <v>1350</v>
      </c>
      <c r="B27" s="1857" t="s">
        <v>1351</v>
      </c>
      <c r="C27" s="1852" t="s">
        <v>238</v>
      </c>
      <c r="D27" s="1852"/>
      <c r="E27" s="1853"/>
      <c r="F27" s="1873">
        <f t="shared" si="1"/>
        <v>0</v>
      </c>
      <c r="G27" s="1853"/>
    </row>
    <row r="28" spans="1:10">
      <c r="A28" s="1850" t="s">
        <v>1353</v>
      </c>
      <c r="B28" s="1851" t="s">
        <v>1354</v>
      </c>
      <c r="C28" s="1852" t="s">
        <v>238</v>
      </c>
      <c r="D28" s="1852"/>
      <c r="E28" s="1853"/>
      <c r="F28" s="1873">
        <f t="shared" si="1"/>
        <v>0</v>
      </c>
      <c r="G28" s="1853"/>
    </row>
    <row r="29" spans="1:10">
      <c r="A29" s="1850" t="s">
        <v>1355</v>
      </c>
      <c r="B29" s="1851" t="s">
        <v>1356</v>
      </c>
      <c r="C29" s="1852" t="s">
        <v>238</v>
      </c>
      <c r="D29" s="1852"/>
      <c r="E29" s="1853"/>
      <c r="F29" s="1873">
        <f t="shared" si="1"/>
        <v>0</v>
      </c>
      <c r="G29" s="1853"/>
    </row>
    <row r="30" spans="1:10" ht="28.5" customHeight="1">
      <c r="A30" s="1850" t="s">
        <v>1357</v>
      </c>
      <c r="B30" s="1851" t="s">
        <v>1358</v>
      </c>
      <c r="C30" s="1852" t="s">
        <v>238</v>
      </c>
      <c r="D30" s="1852"/>
      <c r="E30" s="1853"/>
      <c r="F30" s="1873">
        <f t="shared" si="1"/>
        <v>0</v>
      </c>
      <c r="G30" s="1853"/>
    </row>
    <row r="31" spans="1:10">
      <c r="A31" s="1850" t="s">
        <v>1360</v>
      </c>
      <c r="B31" s="1851" t="s">
        <v>1361</v>
      </c>
      <c r="C31" s="1852" t="s">
        <v>238</v>
      </c>
      <c r="D31" s="1852"/>
      <c r="E31" s="1873"/>
      <c r="F31" s="1873">
        <f>E31*($E$78+$E$77+$E$75)/$E$70</f>
        <v>0</v>
      </c>
      <c r="G31" s="1873"/>
    </row>
    <row r="32" spans="1:10">
      <c r="A32" s="1850" t="s">
        <v>1362</v>
      </c>
      <c r="B32" s="1851" t="s">
        <v>1915</v>
      </c>
      <c r="C32" s="1852" t="s">
        <v>238</v>
      </c>
      <c r="D32" s="1852">
        <f>'орг. Корр-ка НВВ 2014г.'!F40</f>
        <v>52.300000000000004</v>
      </c>
      <c r="E32" s="1873"/>
      <c r="F32" s="1873">
        <f t="shared" si="1"/>
        <v>0</v>
      </c>
      <c r="G32" s="1873"/>
    </row>
    <row r="33" spans="1:9">
      <c r="A33" s="1848" t="s">
        <v>1191</v>
      </c>
      <c r="B33" s="1858" t="s">
        <v>1363</v>
      </c>
      <c r="C33" s="1845" t="s">
        <v>238</v>
      </c>
      <c r="D33" s="1845">
        <v>58.8</v>
      </c>
      <c r="E33" s="1794">
        <f>E34+E35+E36</f>
        <v>0</v>
      </c>
      <c r="F33" s="1859">
        <f>F34+F35+F36</f>
        <v>0</v>
      </c>
      <c r="G33" s="1794"/>
    </row>
    <row r="34" spans="1:9">
      <c r="A34" s="1850" t="s">
        <v>1364</v>
      </c>
      <c r="B34" s="1851" t="s">
        <v>1365</v>
      </c>
      <c r="C34" s="1852" t="s">
        <v>238</v>
      </c>
      <c r="D34" s="1852"/>
      <c r="E34" s="1873"/>
      <c r="F34" s="1873">
        <f t="shared" si="1"/>
        <v>0</v>
      </c>
      <c r="G34" s="1873"/>
    </row>
    <row r="35" spans="1:9">
      <c r="A35" s="1850" t="s">
        <v>1366</v>
      </c>
      <c r="B35" s="1851" t="s">
        <v>1367</v>
      </c>
      <c r="C35" s="1852" t="s">
        <v>238</v>
      </c>
      <c r="D35" s="1852">
        <f>'орг. Корр-ка НВВ 2014г.'!F43</f>
        <v>58.827040000000004</v>
      </c>
      <c r="E35" s="1873"/>
      <c r="F35" s="1873">
        <f t="shared" si="1"/>
        <v>0</v>
      </c>
      <c r="G35" s="1873"/>
    </row>
    <row r="36" spans="1:9" ht="18" customHeight="1">
      <c r="A36" s="1850" t="s">
        <v>1368</v>
      </c>
      <c r="B36" s="1851" t="s">
        <v>1369</v>
      </c>
      <c r="C36" s="1852" t="s">
        <v>238</v>
      </c>
      <c r="D36" s="1852"/>
      <c r="E36" s="1873"/>
      <c r="F36" s="1873">
        <f t="shared" si="1"/>
        <v>0</v>
      </c>
      <c r="G36" s="1873"/>
    </row>
    <row r="37" spans="1:9" ht="9.75" customHeight="1">
      <c r="A37" s="4376"/>
      <c r="B37" s="4376"/>
      <c r="C37" s="4376"/>
      <c r="D37" s="4376"/>
      <c r="E37" s="4376"/>
      <c r="F37" s="1860"/>
      <c r="G37"/>
    </row>
    <row r="38" spans="1:9" ht="13.8">
      <c r="A38" s="1844" t="s">
        <v>699</v>
      </c>
      <c r="B38" s="1844" t="s">
        <v>1370</v>
      </c>
      <c r="C38" s="1844" t="s">
        <v>238</v>
      </c>
      <c r="D38" s="1844">
        <f>D39+D40+D41+D42+D43+D47+D48+D49+D50+D51</f>
        <v>563.69658388565472</v>
      </c>
      <c r="E38" s="1794">
        <f>E39+E40+E41+E42+E43+E47+E48+E49+E50+E51+E52</f>
        <v>6973.183</v>
      </c>
      <c r="F38" s="1859">
        <f>F39+F40+F41+F42+F43+F47+F48+F49+F50+F51+F52</f>
        <v>965.30380549722133</v>
      </c>
      <c r="G38" s="1794">
        <f>F38/D38</f>
        <v>1.7124528214154164</v>
      </c>
      <c r="I38" s="1832">
        <f>'орг. Корр-ка НВВ 2014г.'!F62</f>
        <v>563.6965838856546</v>
      </c>
    </row>
    <row r="39" spans="1:9">
      <c r="A39" s="1848" t="s">
        <v>1194</v>
      </c>
      <c r="B39" s="1861" t="s">
        <v>1371</v>
      </c>
      <c r="C39" s="1845" t="s">
        <v>238</v>
      </c>
      <c r="D39" s="1845"/>
      <c r="E39" s="1873"/>
      <c r="F39" s="1873">
        <f t="shared" ref="F39:F52" si="2">E39*($E$78+$E$77+$E$75)/$E$70</f>
        <v>0</v>
      </c>
      <c r="G39" s="1873"/>
    </row>
    <row r="40" spans="1:9">
      <c r="A40" s="1848" t="s">
        <v>1195</v>
      </c>
      <c r="B40" s="1861" t="s">
        <v>1372</v>
      </c>
      <c r="C40" s="1845" t="s">
        <v>238</v>
      </c>
      <c r="D40" s="1845"/>
      <c r="E40" s="1873"/>
      <c r="F40" s="1873">
        <f t="shared" si="2"/>
        <v>0</v>
      </c>
      <c r="G40" s="1873"/>
    </row>
    <row r="41" spans="1:9">
      <c r="A41" s="1848" t="s">
        <v>1196</v>
      </c>
      <c r="B41" s="1861" t="s">
        <v>653</v>
      </c>
      <c r="C41" s="1845" t="s">
        <v>238</v>
      </c>
      <c r="D41" s="1845"/>
      <c r="E41" s="1873"/>
      <c r="F41" s="1873">
        <f t="shared" si="2"/>
        <v>0</v>
      </c>
      <c r="G41" s="1873"/>
    </row>
    <row r="42" spans="1:9">
      <c r="A42" s="1848" t="s">
        <v>1373</v>
      </c>
      <c r="B42" s="1861" t="s">
        <v>1374</v>
      </c>
      <c r="C42" s="1845" t="s">
        <v>238</v>
      </c>
      <c r="D42" s="1845"/>
      <c r="E42" s="1873"/>
      <c r="F42" s="1873">
        <f t="shared" si="2"/>
        <v>0</v>
      </c>
      <c r="G42" s="1873"/>
    </row>
    <row r="43" spans="1:9">
      <c r="A43" s="1848" t="s">
        <v>1375</v>
      </c>
      <c r="B43" s="1862" t="s">
        <v>2027</v>
      </c>
      <c r="C43" s="1845" t="s">
        <v>238</v>
      </c>
      <c r="D43" s="1845">
        <f>SUM(D44:D46)</f>
        <v>17.889823885654664</v>
      </c>
      <c r="E43" s="1794">
        <f>E44+E45+E46</f>
        <v>0</v>
      </c>
      <c r="F43" s="1873">
        <f t="shared" si="2"/>
        <v>0</v>
      </c>
      <c r="G43" s="1794"/>
    </row>
    <row r="44" spans="1:9">
      <c r="A44" s="1850" t="s">
        <v>1377</v>
      </c>
      <c r="B44" s="1851" t="s">
        <v>1378</v>
      </c>
      <c r="C44" s="1852" t="s">
        <v>238</v>
      </c>
      <c r="D44" s="1852"/>
      <c r="E44" s="1873"/>
      <c r="F44" s="1873">
        <f t="shared" si="2"/>
        <v>0</v>
      </c>
      <c r="G44" s="1873"/>
    </row>
    <row r="45" spans="1:9">
      <c r="A45" s="1850" t="s">
        <v>1379</v>
      </c>
      <c r="B45" s="1851" t="s">
        <v>1380</v>
      </c>
      <c r="C45" s="1852" t="s">
        <v>238</v>
      </c>
      <c r="D45" s="1852">
        <f>'орг. Корр-ка НВВ 2014г.'!F54</f>
        <v>17.889823885654664</v>
      </c>
      <c r="E45" s="1794">
        <v>0</v>
      </c>
      <c r="F45" s="1873">
        <f t="shared" si="2"/>
        <v>0</v>
      </c>
      <c r="G45" s="1794"/>
    </row>
    <row r="46" spans="1:9">
      <c r="A46" s="1850" t="s">
        <v>1381</v>
      </c>
      <c r="B46" s="1851" t="s">
        <v>1382</v>
      </c>
      <c r="C46" s="1852" t="s">
        <v>238</v>
      </c>
      <c r="D46" s="1852"/>
      <c r="E46" s="1873"/>
      <c r="F46" s="1873">
        <f t="shared" si="2"/>
        <v>0</v>
      </c>
      <c r="G46" s="1873"/>
    </row>
    <row r="47" spans="1:9">
      <c r="A47" s="1848" t="s">
        <v>1384</v>
      </c>
      <c r="B47" s="1861" t="s">
        <v>1385</v>
      </c>
      <c r="C47" s="1845" t="s">
        <v>238</v>
      </c>
      <c r="D47" s="1845">
        <f>'орг. Корр-ка НВВ 2014г.'!F56</f>
        <v>450.5</v>
      </c>
      <c r="E47" s="1873">
        <v>4692.9560000000001</v>
      </c>
      <c r="F47" s="1873">
        <f t="shared" si="2"/>
        <v>649.64999281261055</v>
      </c>
      <c r="G47" s="1873">
        <f>F47/D47</f>
        <v>1.4420643569647293</v>
      </c>
    </row>
    <row r="48" spans="1:9">
      <c r="A48" s="1848" t="s">
        <v>1386</v>
      </c>
      <c r="B48" s="1861" t="s">
        <v>1387</v>
      </c>
      <c r="C48" s="1845" t="s">
        <v>238</v>
      </c>
      <c r="D48" s="1845">
        <f>'орг. Корр-ка НВВ 2014г.'!F60</f>
        <v>80.599999999999994</v>
      </c>
      <c r="E48" s="1873">
        <v>2280.2269999999999</v>
      </c>
      <c r="F48" s="1873">
        <f t="shared" si="2"/>
        <v>315.65381268461078</v>
      </c>
      <c r="G48" s="1873">
        <f>F48/D48</f>
        <v>3.9163004055162629</v>
      </c>
    </row>
    <row r="49" spans="1:7">
      <c r="A49" s="1848" t="s">
        <v>1388</v>
      </c>
      <c r="B49" s="1861" t="s">
        <v>1389</v>
      </c>
      <c r="C49" s="1845" t="s">
        <v>238</v>
      </c>
      <c r="D49" s="1845"/>
      <c r="E49" s="1873"/>
      <c r="F49" s="1873">
        <f t="shared" si="2"/>
        <v>0</v>
      </c>
      <c r="G49" s="1873"/>
    </row>
    <row r="50" spans="1:7">
      <c r="A50" s="1848" t="s">
        <v>1390</v>
      </c>
      <c r="B50" s="1861" t="s">
        <v>1391</v>
      </c>
      <c r="C50" s="1845" t="s">
        <v>238</v>
      </c>
      <c r="D50" s="1845"/>
      <c r="E50" s="1873"/>
      <c r="F50" s="1873">
        <f t="shared" si="2"/>
        <v>0</v>
      </c>
      <c r="G50" s="1873"/>
    </row>
    <row r="51" spans="1:7">
      <c r="A51" s="1848" t="s">
        <v>1393</v>
      </c>
      <c r="B51" s="1861" t="s">
        <v>1394</v>
      </c>
      <c r="C51" s="1845" t="s">
        <v>238</v>
      </c>
      <c r="D51" s="1845">
        <f>'орг. Корр-ка НВВ 2014г.'!F58</f>
        <v>14.706760000000001</v>
      </c>
      <c r="E51" s="1873"/>
      <c r="F51" s="1873">
        <f t="shared" si="2"/>
        <v>0</v>
      </c>
      <c r="G51" s="1873"/>
    </row>
    <row r="52" spans="1:7" ht="22.8">
      <c r="A52" s="1848" t="s">
        <v>1395</v>
      </c>
      <c r="B52" s="1861" t="s">
        <v>2063</v>
      </c>
      <c r="C52" s="1845" t="s">
        <v>238</v>
      </c>
      <c r="D52" s="1845">
        <f>'орг. Корр-ка НВВ 2014г.'!F65</f>
        <v>515</v>
      </c>
      <c r="E52" s="1873"/>
      <c r="F52" s="1873">
        <f t="shared" si="2"/>
        <v>0</v>
      </c>
      <c r="G52" s="1873"/>
    </row>
    <row r="53" spans="1:7" ht="26.4">
      <c r="A53" s="1860">
        <v>2</v>
      </c>
      <c r="B53" s="1863" t="s">
        <v>2028</v>
      </c>
      <c r="C53" s="1845" t="s">
        <v>238</v>
      </c>
      <c r="D53" s="1845"/>
      <c r="E53" s="1864" t="s">
        <v>1279</v>
      </c>
      <c r="F53" s="1873">
        <v>2259</v>
      </c>
      <c r="G53" s="1864"/>
    </row>
    <row r="54" spans="1:7" ht="14.4">
      <c r="A54" s="1865">
        <v>3</v>
      </c>
      <c r="B54" s="1866" t="s">
        <v>2029</v>
      </c>
      <c r="C54" s="1845" t="s">
        <v>238</v>
      </c>
      <c r="D54" s="1845"/>
      <c r="E54" s="1864" t="s">
        <v>1279</v>
      </c>
      <c r="F54" s="1873">
        <f>SUM(F55:F56)</f>
        <v>12685.704</v>
      </c>
      <c r="G54" s="1864"/>
    </row>
    <row r="55" spans="1:7">
      <c r="A55" s="1867" t="s">
        <v>723</v>
      </c>
      <c r="B55" s="1868" t="s">
        <v>1803</v>
      </c>
      <c r="C55" s="1845" t="s">
        <v>238</v>
      </c>
      <c r="D55" s="1845"/>
      <c r="E55" s="1864" t="s">
        <v>1279</v>
      </c>
      <c r="F55" s="1873">
        <v>8.6920000000000002</v>
      </c>
      <c r="G55" s="1864"/>
    </row>
    <row r="56" spans="1:7" ht="13.95" customHeight="1">
      <c r="A56" s="1867" t="s">
        <v>268</v>
      </c>
      <c r="B56" s="1868" t="s">
        <v>934</v>
      </c>
      <c r="C56" s="1845" t="s">
        <v>238</v>
      </c>
      <c r="D56" s="1845"/>
      <c r="E56" s="1864" t="s">
        <v>1279</v>
      </c>
      <c r="F56" s="1873">
        <v>12677.012000000001</v>
      </c>
      <c r="G56" s="1864"/>
    </row>
    <row r="57" spans="1:7">
      <c r="A57" s="1865" t="s">
        <v>2030</v>
      </c>
      <c r="B57" s="1869"/>
      <c r="C57" s="1845" t="s">
        <v>238</v>
      </c>
      <c r="D57" s="1845"/>
      <c r="E57" s="1864" t="s">
        <v>1279</v>
      </c>
      <c r="F57" s="1873"/>
      <c r="G57" s="1864"/>
    </row>
    <row r="58" spans="1:7" ht="14.4">
      <c r="A58" s="1860">
        <v>4</v>
      </c>
      <c r="B58" s="1870" t="s">
        <v>2031</v>
      </c>
      <c r="C58" s="1845" t="s">
        <v>238</v>
      </c>
      <c r="D58" s="1845"/>
      <c r="E58" s="1864" t="s">
        <v>1279</v>
      </c>
      <c r="F58" s="1873">
        <f>SUM(F59:F60)</f>
        <v>4942.9339999999993</v>
      </c>
      <c r="G58" s="1864"/>
    </row>
    <row r="59" spans="1:7">
      <c r="A59" s="1860" t="s">
        <v>703</v>
      </c>
      <c r="B59" s="1868" t="s">
        <v>2032</v>
      </c>
      <c r="C59" s="1845" t="s">
        <v>238</v>
      </c>
      <c r="D59" s="1845"/>
      <c r="E59" s="1864" t="s">
        <v>1279</v>
      </c>
      <c r="F59" s="1873">
        <v>569.83299999999997</v>
      </c>
      <c r="G59" s="1864"/>
    </row>
    <row r="60" spans="1:7">
      <c r="A60" s="1860" t="s">
        <v>704</v>
      </c>
      <c r="B60" s="1868" t="s">
        <v>960</v>
      </c>
      <c r="C60" s="1845" t="s">
        <v>238</v>
      </c>
      <c r="D60" s="1845"/>
      <c r="E60" s="1864" t="s">
        <v>1279</v>
      </c>
      <c r="F60" s="1873">
        <v>4373.1009999999997</v>
      </c>
      <c r="G60" s="1864"/>
    </row>
    <row r="61" spans="1:7">
      <c r="A61" s="1860" t="s">
        <v>2033</v>
      </c>
      <c r="B61" s="1868"/>
      <c r="C61" s="1845" t="s">
        <v>238</v>
      </c>
      <c r="D61" s="1845"/>
      <c r="E61" s="1864" t="s">
        <v>1279</v>
      </c>
      <c r="F61" s="1873"/>
      <c r="G61" s="1864"/>
    </row>
    <row r="62" spans="1:7" ht="14.4">
      <c r="A62" s="1860">
        <v>5</v>
      </c>
      <c r="B62" s="1866" t="s">
        <v>2034</v>
      </c>
      <c r="C62" s="1845" t="s">
        <v>238</v>
      </c>
      <c r="D62" s="1845"/>
      <c r="E62" s="1864" t="s">
        <v>1279</v>
      </c>
      <c r="F62" s="1873">
        <v>15183.061</v>
      </c>
      <c r="G62" s="1864"/>
    </row>
    <row r="63" spans="1:7" ht="32.25" customHeight="1">
      <c r="A63" s="1860">
        <v>6</v>
      </c>
      <c r="B63" s="1866" t="s">
        <v>2035</v>
      </c>
      <c r="C63" s="1866" t="s">
        <v>1317</v>
      </c>
      <c r="D63" s="1866"/>
      <c r="E63" s="1873">
        <v>1744.4970000000001</v>
      </c>
      <c r="F63" s="1873">
        <v>577.29700000000003</v>
      </c>
      <c r="G63" s="1873"/>
    </row>
    <row r="64" spans="1:7" ht="14.4">
      <c r="A64" s="1860">
        <v>7</v>
      </c>
      <c r="B64" s="1866" t="s">
        <v>2036</v>
      </c>
      <c r="C64" s="1866" t="s">
        <v>2037</v>
      </c>
      <c r="D64" s="1866"/>
      <c r="E64" s="1873">
        <v>88.87</v>
      </c>
      <c r="F64" s="1873">
        <v>16.079999999999998</v>
      </c>
      <c r="G64" s="1873"/>
    </row>
    <row r="65" spans="1:10" ht="14.4">
      <c r="A65" s="1860" t="s">
        <v>2038</v>
      </c>
      <c r="B65" s="1866" t="s">
        <v>2039</v>
      </c>
      <c r="C65" s="1866" t="s">
        <v>2037</v>
      </c>
      <c r="D65" s="1866"/>
      <c r="E65" s="4376">
        <v>88.87</v>
      </c>
      <c r="F65" s="4376"/>
      <c r="G65" s="1873"/>
    </row>
    <row r="66" spans="1:10" ht="14.4">
      <c r="A66" s="1860">
        <v>8</v>
      </c>
      <c r="B66" s="1871" t="s">
        <v>2040</v>
      </c>
      <c r="C66" s="1866" t="s">
        <v>2041</v>
      </c>
      <c r="D66" s="1866"/>
      <c r="E66" s="4376">
        <v>0</v>
      </c>
      <c r="F66" s="4376"/>
      <c r="G66" s="1873"/>
    </row>
    <row r="67" spans="1:10" ht="14.4">
      <c r="A67" s="1860">
        <v>9</v>
      </c>
      <c r="B67" s="1871" t="s">
        <v>2042</v>
      </c>
      <c r="C67" s="1866" t="s">
        <v>2041</v>
      </c>
      <c r="D67" s="1866"/>
      <c r="E67" s="4376">
        <v>0</v>
      </c>
      <c r="F67" s="4376"/>
      <c r="G67" s="1873"/>
    </row>
    <row r="68" spans="1:10" ht="14.4">
      <c r="A68" s="1860">
        <v>10</v>
      </c>
      <c r="B68" s="1871" t="s">
        <v>2043</v>
      </c>
      <c r="C68" s="1866" t="s">
        <v>244</v>
      </c>
      <c r="D68" s="1866"/>
      <c r="E68" s="4376">
        <v>70</v>
      </c>
      <c r="F68" s="4376"/>
      <c r="G68" s="1873"/>
    </row>
    <row r="69" spans="1:10" ht="14.4">
      <c r="A69" s="1860">
        <v>11</v>
      </c>
      <c r="B69" s="1871" t="s">
        <v>2044</v>
      </c>
      <c r="C69" s="1866" t="s">
        <v>244</v>
      </c>
      <c r="D69" s="1866"/>
      <c r="E69" s="4376">
        <v>100</v>
      </c>
      <c r="F69" s="4376"/>
      <c r="G69" s="1873"/>
    </row>
    <row r="70" spans="1:10" ht="14.4">
      <c r="A70" s="1860">
        <v>12</v>
      </c>
      <c r="B70" s="1866" t="s">
        <v>1739</v>
      </c>
      <c r="C70" s="1866" t="s">
        <v>2045</v>
      </c>
      <c r="D70" s="1866"/>
      <c r="E70" s="4376">
        <v>155503.47</v>
      </c>
      <c r="F70" s="4376"/>
      <c r="G70" s="1873"/>
    </row>
    <row r="71" spans="1:10" ht="14.4">
      <c r="A71" s="1860">
        <v>13</v>
      </c>
      <c r="B71" s="1866" t="s">
        <v>2046</v>
      </c>
      <c r="C71" s="1866" t="s">
        <v>2045</v>
      </c>
      <c r="D71" s="1866"/>
      <c r="E71" s="4376"/>
      <c r="F71" s="4376"/>
      <c r="G71" s="1873"/>
    </row>
    <row r="72" spans="1:10" ht="14.4">
      <c r="A72" s="1860">
        <v>14</v>
      </c>
      <c r="B72" s="1866" t="s">
        <v>2047</v>
      </c>
      <c r="C72" s="1866" t="s">
        <v>2045</v>
      </c>
      <c r="D72" s="1866"/>
      <c r="E72" s="4376">
        <v>1357.3589999999999</v>
      </c>
      <c r="F72" s="4376"/>
      <c r="G72" s="1873"/>
    </row>
    <row r="73" spans="1:10" ht="14.4">
      <c r="A73" s="1860"/>
      <c r="B73" s="1866" t="s">
        <v>306</v>
      </c>
      <c r="C73" s="1866"/>
      <c r="D73" s="1866"/>
      <c r="E73" s="4376"/>
      <c r="F73" s="4376"/>
      <c r="G73" s="1873"/>
    </row>
    <row r="74" spans="1:10" ht="14.4">
      <c r="A74" s="1872" t="s">
        <v>554</v>
      </c>
      <c r="B74" s="1866" t="s">
        <v>2048</v>
      </c>
      <c r="C74" s="1866" t="s">
        <v>2045</v>
      </c>
      <c r="D74" s="1866"/>
      <c r="E74" s="4376">
        <v>0</v>
      </c>
      <c r="F74" s="4376"/>
      <c r="G74" s="1873"/>
      <c r="J74" s="1840"/>
    </row>
    <row r="75" spans="1:10" ht="14.4">
      <c r="A75" s="1872" t="s">
        <v>2049</v>
      </c>
      <c r="B75" s="1866" t="s">
        <v>2050</v>
      </c>
      <c r="C75" s="1866" t="s">
        <v>2045</v>
      </c>
      <c r="D75" s="1866"/>
      <c r="E75" s="4376">
        <v>1357.3589999999999</v>
      </c>
      <c r="F75" s="4376"/>
      <c r="G75" s="1873"/>
      <c r="J75" s="1840"/>
    </row>
    <row r="76" spans="1:10" ht="14.4">
      <c r="A76" s="1860">
        <v>15</v>
      </c>
      <c r="B76" s="1866" t="s">
        <v>1431</v>
      </c>
      <c r="C76" s="1866" t="s">
        <v>2045</v>
      </c>
      <c r="D76" s="1866"/>
      <c r="E76" s="4376">
        <v>133976.989</v>
      </c>
      <c r="F76" s="4376"/>
      <c r="G76" s="1873"/>
    </row>
    <row r="77" spans="1:10" ht="14.4">
      <c r="A77" s="1860">
        <v>16</v>
      </c>
      <c r="B77" s="1866" t="s">
        <v>1750</v>
      </c>
      <c r="C77" s="1866" t="s">
        <v>2045</v>
      </c>
      <c r="D77" s="1866"/>
      <c r="E77" s="4376">
        <v>11789.017</v>
      </c>
      <c r="F77" s="4376"/>
      <c r="G77" s="1873"/>
      <c r="I77" s="1832">
        <f>(E78+E77+E75)/E70</f>
        <v>0.13843087231429627</v>
      </c>
    </row>
    <row r="78" spans="1:10" ht="14.4">
      <c r="A78" s="1860">
        <v>17</v>
      </c>
      <c r="B78" s="1866" t="s">
        <v>2051</v>
      </c>
      <c r="C78" s="1866" t="s">
        <v>2045</v>
      </c>
      <c r="D78" s="1866"/>
      <c r="E78" s="4376">
        <v>8380.1049999999996</v>
      </c>
      <c r="F78" s="4376"/>
      <c r="G78" s="1873"/>
    </row>
    <row r="79" spans="1:10" ht="21" customHeight="1"/>
    <row r="80" spans="1:10" ht="21" customHeight="1">
      <c r="B80" s="4373" t="s">
        <v>2052</v>
      </c>
      <c r="C80" s="4373"/>
      <c r="D80" s="1836"/>
      <c r="E80" s="4370" t="s">
        <v>2053</v>
      </c>
      <c r="F80" s="4370"/>
    </row>
    <row r="81" spans="2:7" ht="21" customHeight="1">
      <c r="B81" s="4377" t="s">
        <v>2054</v>
      </c>
      <c r="C81" s="4377"/>
      <c r="D81" s="1841"/>
      <c r="E81" s="4377" t="s">
        <v>2055</v>
      </c>
      <c r="F81" s="4377"/>
    </row>
    <row r="82" spans="2:7" ht="21" customHeight="1">
      <c r="B82" s="4370" t="s">
        <v>2056</v>
      </c>
      <c r="C82" s="4370"/>
      <c r="D82" s="1834"/>
    </row>
    <row r="83" spans="2:7" ht="21" customHeight="1">
      <c r="B83" s="4370" t="s">
        <v>2057</v>
      </c>
      <c r="C83" s="4370"/>
      <c r="D83" s="1834"/>
      <c r="E83" s="1832" t="s">
        <v>2058</v>
      </c>
      <c r="F83" s="1834" t="s">
        <v>2058</v>
      </c>
      <c r="G83" s="1832" t="s">
        <v>2058</v>
      </c>
    </row>
    <row r="84" spans="2:7" ht="21" customHeight="1">
      <c r="B84" s="4377" t="s">
        <v>2059</v>
      </c>
      <c r="C84" s="4377"/>
      <c r="D84" s="1841"/>
      <c r="E84" s="1841" t="s">
        <v>2060</v>
      </c>
      <c r="F84" s="1841" t="s">
        <v>2055</v>
      </c>
      <c r="G84" s="1841" t="s">
        <v>2055</v>
      </c>
    </row>
    <row r="85" spans="2:7" ht="21" customHeight="1">
      <c r="B85" s="4370" t="s">
        <v>2061</v>
      </c>
      <c r="C85" s="4370"/>
      <c r="D85" s="1834"/>
      <c r="E85" s="1834"/>
      <c r="G85" s="1834"/>
    </row>
    <row r="86" spans="2:7" ht="21" customHeight="1">
      <c r="B86" s="4377" t="s">
        <v>2062</v>
      </c>
      <c r="C86" s="4377"/>
      <c r="D86" s="1841"/>
      <c r="E86" s="1841"/>
      <c r="G86" s="1841"/>
    </row>
    <row r="87" spans="2:7" ht="21" customHeight="1"/>
  </sheetData>
  <mergeCells count="38">
    <mergeCell ref="B82:C82"/>
    <mergeCell ref="B83:C83"/>
    <mergeCell ref="B84:C84"/>
    <mergeCell ref="B85:C85"/>
    <mergeCell ref="B86:C86"/>
    <mergeCell ref="E67:F67"/>
    <mergeCell ref="E68:F68"/>
    <mergeCell ref="E69:F69"/>
    <mergeCell ref="B81:C81"/>
    <mergeCell ref="E81:F81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B80:C80"/>
    <mergeCell ref="E80:F80"/>
    <mergeCell ref="G8:G9"/>
    <mergeCell ref="D8:D9"/>
    <mergeCell ref="A37:E37"/>
    <mergeCell ref="E65:F65"/>
    <mergeCell ref="E66:F66"/>
    <mergeCell ref="A6:F6"/>
    <mergeCell ref="A8:A9"/>
    <mergeCell ref="B8:B9"/>
    <mergeCell ref="C8:C9"/>
    <mergeCell ref="E8:F8"/>
    <mergeCell ref="A4:F4"/>
    <mergeCell ref="A5:F5"/>
    <mergeCell ref="E2:F2"/>
    <mergeCell ref="A3:F3"/>
    <mergeCell ref="H3:K3"/>
    <mergeCell ref="H4:K4"/>
    <mergeCell ref="H5:K5"/>
  </mergeCells>
  <printOptions horizontalCentered="1"/>
  <pageMargins left="0.78740157480314965" right="0.19685039370078741" top="0.19685039370078741" bottom="0.19685039370078741" header="0.51181102362204722" footer="0.19685039370078741"/>
  <pageSetup paperSize="9" scale="61" fitToHeight="2" orientation="portrait" r:id="rId1"/>
  <headerFooter alignWithMargins="0"/>
  <rowBreaks count="1" manualBreakCount="1">
    <brk id="78" max="6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 enableFormatConditionsCalculation="0">
    <tabColor rgb="FFFF0000"/>
  </sheetPr>
  <dimension ref="A1:R36"/>
  <sheetViews>
    <sheetView workbookViewId="0">
      <selection activeCell="D42" sqref="D42"/>
    </sheetView>
  </sheetViews>
  <sheetFormatPr defaultColWidth="9.109375" defaultRowHeight="13.2"/>
  <cols>
    <col min="1" max="1" width="5.5546875" style="2009" customWidth="1"/>
    <col min="2" max="2" width="28" style="2009" customWidth="1"/>
    <col min="3" max="3" width="11.33203125" style="2009" customWidth="1"/>
    <col min="4" max="4" width="11" style="2009" bestFit="1" customWidth="1"/>
    <col min="5" max="5" width="9.33203125" style="2009" bestFit="1" customWidth="1"/>
    <col min="6" max="6" width="10.109375" style="2009" bestFit="1" customWidth="1"/>
    <col min="7" max="7" width="10.44140625" style="2009" bestFit="1" customWidth="1"/>
    <col min="8" max="8" width="10.109375" style="2009" bestFit="1" customWidth="1"/>
    <col min="9" max="9" width="11" style="2009" bestFit="1" customWidth="1"/>
    <col min="10" max="10" width="9.33203125" style="2009" bestFit="1" customWidth="1"/>
    <col min="11" max="11" width="11" style="2009" bestFit="1" customWidth="1"/>
    <col min="12" max="12" width="10.44140625" style="2009" bestFit="1" customWidth="1"/>
    <col min="13" max="13" width="0" style="2009" hidden="1" customWidth="1"/>
    <col min="14" max="14" width="9.5546875" style="2009" hidden="1" customWidth="1"/>
    <col min="15" max="15" width="10.109375" style="3400" hidden="1" customWidth="1"/>
    <col min="16" max="16" width="9.44140625" style="2009" hidden="1" customWidth="1"/>
    <col min="17" max="18" width="0" style="2009" hidden="1" customWidth="1"/>
    <col min="19" max="16384" width="9.109375" style="2009"/>
  </cols>
  <sheetData>
    <row r="1" spans="1:18">
      <c r="L1" s="2150" t="s">
        <v>527</v>
      </c>
    </row>
    <row r="2" spans="1:18" ht="15.6">
      <c r="A2" s="2007" t="s">
        <v>504</v>
      </c>
      <c r="B2" s="2007"/>
      <c r="C2" s="2007"/>
      <c r="D2" s="2007"/>
      <c r="E2" s="2007"/>
      <c r="F2" s="2007"/>
      <c r="G2" s="2007"/>
      <c r="H2" s="2007"/>
      <c r="I2" s="2007"/>
      <c r="J2" s="2007"/>
      <c r="K2" s="2151"/>
      <c r="L2" s="2151"/>
    </row>
    <row r="3" spans="1:18" ht="15.6">
      <c r="A3" s="2007" t="s">
        <v>2487</v>
      </c>
      <c r="B3" s="2007"/>
      <c r="C3" s="2007"/>
      <c r="D3" s="2007"/>
      <c r="E3" s="2007"/>
      <c r="F3" s="2007"/>
      <c r="G3" s="2007"/>
      <c r="H3" s="2007"/>
      <c r="I3" s="2007"/>
      <c r="J3" s="2007"/>
      <c r="K3" s="2151"/>
      <c r="L3" s="2151"/>
    </row>
    <row r="4" spans="1:18">
      <c r="A4" s="2152"/>
      <c r="B4" s="3384" t="s">
        <v>1401</v>
      </c>
      <c r="C4" s="2152"/>
      <c r="D4" s="2152"/>
      <c r="E4" s="2152"/>
      <c r="F4" s="2152"/>
      <c r="G4" s="2152"/>
      <c r="H4" s="2152"/>
      <c r="I4" s="2152"/>
      <c r="J4" s="2152"/>
      <c r="K4" s="2153"/>
      <c r="L4" s="2154" t="s">
        <v>687</v>
      </c>
    </row>
    <row r="5" spans="1:18" s="3409" customFormat="1" ht="16.5" customHeight="1">
      <c r="A5" s="2155" t="s">
        <v>673</v>
      </c>
      <c r="B5" s="2155" t="s">
        <v>435</v>
      </c>
      <c r="C5" s="3992" t="s">
        <v>505</v>
      </c>
      <c r="D5" s="3993"/>
      <c r="E5" s="3993"/>
      <c r="F5" s="3993"/>
      <c r="G5" s="3994"/>
      <c r="H5" s="3992" t="s">
        <v>688</v>
      </c>
      <c r="I5" s="3993"/>
      <c r="J5" s="3993"/>
      <c r="K5" s="3993"/>
      <c r="L5" s="3994"/>
      <c r="O5" s="3467"/>
    </row>
    <row r="6" spans="1:18" s="3409" customFormat="1" ht="17.25" customHeight="1">
      <c r="A6" s="2155"/>
      <c r="B6" s="2155"/>
      <c r="C6" s="2155" t="s">
        <v>679</v>
      </c>
      <c r="D6" s="2155" t="s">
        <v>675</v>
      </c>
      <c r="E6" s="2155" t="s">
        <v>676</v>
      </c>
      <c r="F6" s="2155" t="s">
        <v>677</v>
      </c>
      <c r="G6" s="2155" t="s">
        <v>678</v>
      </c>
      <c r="H6" s="2155" t="s">
        <v>679</v>
      </c>
      <c r="I6" s="2155" t="s">
        <v>675</v>
      </c>
      <c r="J6" s="2155" t="s">
        <v>676</v>
      </c>
      <c r="K6" s="2155" t="s">
        <v>677</v>
      </c>
      <c r="L6" s="2155" t="s">
        <v>678</v>
      </c>
      <c r="N6" s="3467"/>
      <c r="O6" s="3467"/>
    </row>
    <row r="7" spans="1:18" s="3468" customFormat="1">
      <c r="A7" s="2156">
        <v>1</v>
      </c>
      <c r="B7" s="2156">
        <v>2</v>
      </c>
      <c r="C7" s="2156">
        <v>3</v>
      </c>
      <c r="D7" s="2156">
        <v>4</v>
      </c>
      <c r="E7" s="2156">
        <v>5</v>
      </c>
      <c r="F7" s="2156">
        <v>6</v>
      </c>
      <c r="G7" s="2156">
        <v>7</v>
      </c>
      <c r="H7" s="2156">
        <v>8</v>
      </c>
      <c r="I7" s="2156">
        <v>9</v>
      </c>
      <c r="J7" s="2156">
        <v>10</v>
      </c>
      <c r="K7" s="2156">
        <v>11</v>
      </c>
      <c r="L7" s="2156">
        <v>12</v>
      </c>
      <c r="N7" s="3467"/>
      <c r="O7" s="3467"/>
      <c r="P7" s="2231"/>
    </row>
    <row r="8" spans="1:18" ht="26.4">
      <c r="A8" s="3424" t="s">
        <v>689</v>
      </c>
      <c r="B8" s="3469" t="s">
        <v>506</v>
      </c>
      <c r="C8" s="3470">
        <v>22.795362900000001</v>
      </c>
      <c r="D8" s="2158">
        <v>22.665980900000001</v>
      </c>
      <c r="E8" s="2157">
        <v>0</v>
      </c>
      <c r="F8" s="2158">
        <v>9.9618031000000009</v>
      </c>
      <c r="G8" s="2158">
        <v>0.29758909999999972</v>
      </c>
      <c r="H8" s="2158">
        <v>24.879768391399995</v>
      </c>
      <c r="I8" s="2158">
        <v>24.792734391399996</v>
      </c>
      <c r="J8" s="2157">
        <v>0</v>
      </c>
      <c r="K8" s="2158">
        <v>9.4862463913999981</v>
      </c>
      <c r="L8" s="2158">
        <v>0.36717939139999878</v>
      </c>
      <c r="N8" s="3471">
        <v>160111.84900000002</v>
      </c>
      <c r="O8" s="3472">
        <v>9.4862463913999981</v>
      </c>
      <c r="P8" s="2231"/>
      <c r="Q8" s="2231"/>
      <c r="R8" s="2231"/>
    </row>
    <row r="9" spans="1:18">
      <c r="A9" s="3424" t="s">
        <v>507</v>
      </c>
      <c r="B9" s="3424" t="s">
        <v>508</v>
      </c>
      <c r="C9" s="2159"/>
      <c r="D9" s="2162">
        <v>0</v>
      </c>
      <c r="E9" s="2157">
        <v>0</v>
      </c>
      <c r="F9" s="2158">
        <v>9.8324211000000012</v>
      </c>
      <c r="G9" s="2158">
        <v>0.29758909999999972</v>
      </c>
      <c r="H9" s="2158"/>
      <c r="I9" s="2159"/>
      <c r="J9" s="2157">
        <v>0</v>
      </c>
      <c r="K9" s="2158">
        <v>9.3992123913999972</v>
      </c>
      <c r="L9" s="2158">
        <v>0.36717939139999878</v>
      </c>
    </row>
    <row r="10" spans="1:18">
      <c r="A10" s="3424"/>
      <c r="B10" s="3424" t="s">
        <v>509</v>
      </c>
      <c r="C10" s="2159"/>
      <c r="D10" s="2159"/>
      <c r="E10" s="2159"/>
      <c r="F10" s="2158"/>
      <c r="G10" s="2159"/>
      <c r="H10" s="2158"/>
      <c r="I10" s="2159"/>
      <c r="J10" s="2157"/>
      <c r="K10" s="2159"/>
      <c r="L10" s="2159"/>
      <c r="P10" s="2006"/>
      <c r="Q10" s="2006"/>
    </row>
    <row r="11" spans="1:18">
      <c r="A11" s="3424"/>
      <c r="B11" s="3424" t="s">
        <v>510</v>
      </c>
      <c r="C11" s="2158">
        <v>9.8324211000000012</v>
      </c>
      <c r="D11" s="2160"/>
      <c r="E11" s="2157">
        <v>0</v>
      </c>
      <c r="F11" s="2158">
        <v>9.8324211000000012</v>
      </c>
      <c r="G11" s="2159"/>
      <c r="H11" s="2158">
        <v>9.3992123913999972</v>
      </c>
      <c r="I11" s="2160"/>
      <c r="J11" s="2157">
        <v>0</v>
      </c>
      <c r="K11" s="2158">
        <v>9.3992123913999972</v>
      </c>
      <c r="L11" s="2159"/>
      <c r="P11" s="3473"/>
      <c r="Q11" s="2006"/>
    </row>
    <row r="12" spans="1:18">
      <c r="A12" s="3424"/>
      <c r="B12" s="3424" t="s">
        <v>511</v>
      </c>
      <c r="C12" s="2157">
        <v>0</v>
      </c>
      <c r="D12" s="2159"/>
      <c r="E12" s="2159"/>
      <c r="F12" s="2157">
        <v>0</v>
      </c>
      <c r="G12" s="2159"/>
      <c r="H12" s="2157">
        <v>0</v>
      </c>
      <c r="I12" s="2159"/>
      <c r="J12" s="2159"/>
      <c r="K12" s="2157">
        <v>0</v>
      </c>
      <c r="L12" s="2159"/>
      <c r="N12" s="2009">
        <v>7.0000007603763334E-2</v>
      </c>
      <c r="P12" s="2006"/>
      <c r="Q12" s="3002"/>
    </row>
    <row r="13" spans="1:18">
      <c r="A13" s="3424"/>
      <c r="B13" s="3424" t="s">
        <v>512</v>
      </c>
      <c r="C13" s="2158">
        <v>0.29758909999999972</v>
      </c>
      <c r="D13" s="2159"/>
      <c r="E13" s="2159"/>
      <c r="F13" s="2159"/>
      <c r="G13" s="2158">
        <v>0.29758909999999972</v>
      </c>
      <c r="H13" s="2159">
        <v>0.36717939139999878</v>
      </c>
      <c r="I13" s="2159"/>
      <c r="J13" s="2159"/>
      <c r="K13" s="2159"/>
      <c r="L13" s="2158">
        <v>0.36717939139999878</v>
      </c>
    </row>
    <row r="14" spans="1:18">
      <c r="A14" s="3424" t="s">
        <v>513</v>
      </c>
      <c r="B14" s="3449" t="s">
        <v>2584</v>
      </c>
      <c r="C14" s="2158">
        <v>22.665980900000001</v>
      </c>
      <c r="D14" s="3470">
        <v>22.665980900000001</v>
      </c>
      <c r="E14" s="2158"/>
      <c r="F14" s="2159"/>
      <c r="G14" s="2159"/>
      <c r="H14" s="2158">
        <v>24.792734391399996</v>
      </c>
      <c r="I14" s="2158">
        <v>24.792734391399996</v>
      </c>
      <c r="J14" s="2159"/>
      <c r="K14" s="2159"/>
      <c r="L14" s="2159"/>
      <c r="N14" s="3474">
        <v>22.795362900000001</v>
      </c>
    </row>
    <row r="15" spans="1:18" hidden="1">
      <c r="A15" s="3424" t="s">
        <v>514</v>
      </c>
      <c r="B15" s="3469" t="s">
        <v>2585</v>
      </c>
      <c r="C15" s="2157">
        <v>0</v>
      </c>
      <c r="D15" s="2159"/>
      <c r="E15" s="2157"/>
      <c r="F15" s="2159"/>
      <c r="G15" s="2158"/>
      <c r="H15" s="2157">
        <v>0</v>
      </c>
      <c r="I15" s="2159"/>
      <c r="J15" s="2157">
        <v>0</v>
      </c>
      <c r="K15" s="2159"/>
      <c r="L15" s="2158"/>
    </row>
    <row r="16" spans="1:18">
      <c r="A16" s="3424" t="s">
        <v>241</v>
      </c>
      <c r="B16" s="3469" t="s">
        <v>2950</v>
      </c>
      <c r="C16" s="2157">
        <v>7.5459999999999999E-2</v>
      </c>
      <c r="D16" s="2159"/>
      <c r="E16" s="2157"/>
      <c r="F16" s="2159">
        <v>7.5459999999999999E-2</v>
      </c>
      <c r="G16" s="2158"/>
      <c r="H16" s="2157">
        <v>3.1075999999999999E-2</v>
      </c>
      <c r="I16" s="2159"/>
      <c r="J16" s="2158"/>
      <c r="K16" s="2159">
        <v>3.1075999999999999E-2</v>
      </c>
      <c r="L16" s="2158"/>
    </row>
    <row r="17" spans="1:17">
      <c r="A17" s="3424" t="s">
        <v>544</v>
      </c>
      <c r="B17" s="3469" t="s">
        <v>2361</v>
      </c>
      <c r="C17" s="2157">
        <v>5.3921999999999998E-2</v>
      </c>
      <c r="D17" s="2159"/>
      <c r="E17" s="2157"/>
      <c r="F17" s="2157">
        <v>5.3921999999999998E-2</v>
      </c>
      <c r="G17" s="2158"/>
      <c r="H17" s="2157">
        <v>5.5958000000000001E-2</v>
      </c>
      <c r="I17" s="2159"/>
      <c r="J17" s="2158"/>
      <c r="K17" s="2158">
        <v>5.5958000000000001E-2</v>
      </c>
      <c r="L17" s="2158"/>
    </row>
    <row r="18" spans="1:17" ht="26.4">
      <c r="A18" s="3424" t="s">
        <v>2073</v>
      </c>
      <c r="B18" s="3469" t="s">
        <v>515</v>
      </c>
      <c r="C18" s="2162">
        <v>0</v>
      </c>
      <c r="D18" s="2159"/>
      <c r="E18" s="2159"/>
      <c r="F18" s="2159"/>
      <c r="G18" s="2159"/>
      <c r="H18" s="2162">
        <v>0</v>
      </c>
      <c r="I18" s="2159"/>
      <c r="J18" s="2159"/>
      <c r="K18" s="2159"/>
      <c r="L18" s="2159"/>
    </row>
    <row r="19" spans="1:17">
      <c r="A19" s="3424" t="s">
        <v>690</v>
      </c>
      <c r="B19" s="3424" t="s">
        <v>516</v>
      </c>
      <c r="C19" s="3470">
        <v>1.4064738999999999</v>
      </c>
      <c r="D19" s="2157">
        <v>0.62929780000000002</v>
      </c>
      <c r="E19" s="2157">
        <v>0</v>
      </c>
      <c r="F19" s="2157">
        <v>0.75388699999999997</v>
      </c>
      <c r="G19" s="2157">
        <v>2.32891E-2</v>
      </c>
      <c r="H19" s="2158">
        <v>1.5350820000000001</v>
      </c>
      <c r="I19" s="2157">
        <v>0.94842100000000007</v>
      </c>
      <c r="J19" s="2157">
        <v>0</v>
      </c>
      <c r="K19" s="2157">
        <v>0.56264700000000001</v>
      </c>
      <c r="L19" s="2157">
        <v>2.4014000000000001E-2</v>
      </c>
      <c r="N19" s="3464">
        <v>1.6099163763440885</v>
      </c>
      <c r="O19" s="2231">
        <v>1.7415837873979996</v>
      </c>
    </row>
    <row r="20" spans="1:17">
      <c r="A20" s="3427"/>
      <c r="B20" s="3427" t="s">
        <v>642</v>
      </c>
      <c r="C20" s="2163">
        <v>6.1700000397887935</v>
      </c>
      <c r="D20" s="2161">
        <v>2.7763978218123353</v>
      </c>
      <c r="E20" s="2162">
        <v>0</v>
      </c>
      <c r="F20" s="2163">
        <v>7.5677765604501843</v>
      </c>
      <c r="G20" s="2163">
        <v>7.8259250758848431</v>
      </c>
      <c r="H20" s="2163">
        <v>6.1700011666130319</v>
      </c>
      <c r="I20" s="2161">
        <v>3.8253989456241042</v>
      </c>
      <c r="J20" s="2162">
        <v>0</v>
      </c>
      <c r="K20" s="2163">
        <v>5.9311868655454933</v>
      </c>
      <c r="L20" s="2163">
        <v>6.5401274043290663</v>
      </c>
      <c r="O20" s="3475">
        <v>0.20650178739799951</v>
      </c>
      <c r="P20" s="2009">
        <v>1.4606117547075081E-2</v>
      </c>
      <c r="Q20" s="3400"/>
    </row>
    <row r="21" spans="1:17" ht="26.4">
      <c r="A21" s="3427" t="s">
        <v>691</v>
      </c>
      <c r="B21" s="3476" t="s">
        <v>517</v>
      </c>
      <c r="C21" s="3477">
        <v>0</v>
      </c>
      <c r="D21" s="2164"/>
      <c r="E21" s="2164"/>
      <c r="F21" s="2164"/>
      <c r="G21" s="3477">
        <v>0</v>
      </c>
      <c r="H21" s="3477">
        <v>-1.1657341758564144E-15</v>
      </c>
      <c r="I21" s="2164"/>
      <c r="J21" s="2165"/>
      <c r="K21" s="2165"/>
      <c r="L21" s="3477">
        <v>-1.1657341758564144E-15</v>
      </c>
      <c r="N21" s="2009">
        <v>2.8735184065053862E-2</v>
      </c>
      <c r="Q21" s="3400"/>
    </row>
    <row r="22" spans="1:17">
      <c r="A22" s="3426"/>
      <c r="B22" s="3438" t="s">
        <v>518</v>
      </c>
      <c r="C22" s="2167"/>
      <c r="D22" s="3478"/>
      <c r="E22" s="3478"/>
      <c r="F22" s="2167"/>
      <c r="G22" s="2167"/>
      <c r="H22" s="2167"/>
      <c r="I22" s="2166"/>
      <c r="J22" s="2167"/>
      <c r="K22" s="2167"/>
      <c r="L22" s="2167"/>
      <c r="Q22" s="3400"/>
    </row>
    <row r="23" spans="1:17">
      <c r="A23" s="3424" t="s">
        <v>692</v>
      </c>
      <c r="B23" s="3424" t="s">
        <v>519</v>
      </c>
      <c r="C23" s="2157">
        <v>21.388889000000002</v>
      </c>
      <c r="D23" s="2157">
        <v>12.204262</v>
      </c>
      <c r="E23" s="2157">
        <v>0</v>
      </c>
      <c r="F23" s="2168">
        <v>8.9103270000000006</v>
      </c>
      <c r="G23" s="2168">
        <v>0.27429999999999999</v>
      </c>
      <c r="H23" s="2168">
        <v>23.344686391399996</v>
      </c>
      <c r="I23" s="2168">
        <v>14.445100999999999</v>
      </c>
      <c r="J23" s="2168">
        <v>0</v>
      </c>
      <c r="K23" s="2168">
        <v>8.5564199999999992</v>
      </c>
      <c r="L23" s="2168">
        <v>0.34316539139999996</v>
      </c>
      <c r="O23" s="2231"/>
      <c r="P23" s="2231"/>
    </row>
    <row r="24" spans="1:17" ht="26.4">
      <c r="A24" s="3427" t="s">
        <v>693</v>
      </c>
      <c r="B24" s="3479" t="s">
        <v>525</v>
      </c>
      <c r="C24" s="2157">
        <v>0</v>
      </c>
      <c r="D24" s="2167"/>
      <c r="E24" s="3480"/>
      <c r="F24" s="2164">
        <v>0</v>
      </c>
      <c r="G24" s="2168">
        <v>0</v>
      </c>
      <c r="H24" s="2168">
        <v>0</v>
      </c>
      <c r="I24" s="2164"/>
      <c r="J24" s="2164"/>
      <c r="K24" s="2164">
        <v>0</v>
      </c>
      <c r="L24" s="2164"/>
      <c r="O24" s="2231"/>
    </row>
    <row r="25" spans="1:17" ht="39.6">
      <c r="A25" s="3424"/>
      <c r="B25" s="3481" t="s">
        <v>526</v>
      </c>
      <c r="C25" s="2165"/>
      <c r="D25" s="2159"/>
      <c r="E25" s="2159"/>
      <c r="F25" s="2159"/>
      <c r="G25" s="2159"/>
      <c r="H25" s="2159"/>
      <c r="I25" s="2159"/>
      <c r="J25" s="2159"/>
      <c r="K25" s="2159"/>
      <c r="L25" s="2159"/>
    </row>
    <row r="26" spans="1:17">
      <c r="A26" s="3432" t="s">
        <v>694</v>
      </c>
      <c r="B26" s="3432" t="s">
        <v>520</v>
      </c>
      <c r="C26" s="2165"/>
      <c r="D26" s="3482"/>
      <c r="E26" s="2169"/>
      <c r="F26" s="2165"/>
      <c r="G26" s="2169"/>
      <c r="H26" s="2165"/>
      <c r="I26" s="2169"/>
      <c r="J26" s="2165"/>
      <c r="K26" s="2169"/>
      <c r="L26" s="2165"/>
    </row>
    <row r="27" spans="1:17">
      <c r="A27" s="3438"/>
      <c r="B27" s="3438" t="s">
        <v>521</v>
      </c>
      <c r="C27" s="2167"/>
      <c r="D27" s="2166"/>
      <c r="E27" s="2170"/>
      <c r="F27" s="2167"/>
      <c r="G27" s="2170"/>
      <c r="H27" s="3480"/>
      <c r="I27" s="2170"/>
      <c r="J27" s="2167"/>
      <c r="K27" s="2170"/>
      <c r="L27" s="2167"/>
      <c r="N27" s="3465"/>
    </row>
    <row r="28" spans="1:17">
      <c r="A28" s="3432" t="s">
        <v>522</v>
      </c>
      <c r="B28" s="3432" t="s">
        <v>523</v>
      </c>
      <c r="C28" s="2168">
        <v>21.388889000000002</v>
      </c>
      <c r="D28" s="2168">
        <v>12.204262</v>
      </c>
      <c r="E28" s="2168">
        <v>0</v>
      </c>
      <c r="F28" s="2168">
        <v>8.9103270000000006</v>
      </c>
      <c r="G28" s="2168">
        <v>0.27429999999999999</v>
      </c>
      <c r="H28" s="2168">
        <v>23.344686391399996</v>
      </c>
      <c r="I28" s="2168">
        <v>14.445100999999999</v>
      </c>
      <c r="J28" s="2168">
        <v>0</v>
      </c>
      <c r="K28" s="3483">
        <v>8.5564199999999992</v>
      </c>
      <c r="L28" s="3484">
        <v>0.34316539139999996</v>
      </c>
      <c r="N28" s="2231">
        <v>28.65081</v>
      </c>
      <c r="O28" s="3400" t="s">
        <v>1293</v>
      </c>
    </row>
    <row r="29" spans="1:17" ht="12.6" customHeight="1">
      <c r="A29" s="3438"/>
      <c r="B29" s="3438" t="s">
        <v>524</v>
      </c>
      <c r="C29" s="2167"/>
      <c r="D29" s="2166"/>
      <c r="E29" s="2170"/>
      <c r="F29" s="2167"/>
      <c r="G29" s="2170"/>
      <c r="H29" s="2167"/>
      <c r="I29" s="2170"/>
      <c r="J29" s="2167"/>
      <c r="K29" s="2170"/>
      <c r="L29" s="2167"/>
    </row>
    <row r="30" spans="1:17" hidden="1">
      <c r="N30" s="2231" t="s">
        <v>1294</v>
      </c>
    </row>
    <row r="31" spans="1:17" s="2171" customFormat="1" ht="22.8" hidden="1" customHeight="1">
      <c r="A31" s="3404" t="s">
        <v>1266</v>
      </c>
      <c r="B31" s="3404"/>
      <c r="C31" s="3405"/>
      <c r="H31" s="3406"/>
      <c r="N31" s="2231">
        <v>13.071400000000001</v>
      </c>
    </row>
    <row r="32" spans="1:17" s="2171" customFormat="1" ht="15" hidden="1" customHeight="1">
      <c r="A32" s="3404" t="s">
        <v>1304</v>
      </c>
      <c r="B32" s="3407"/>
      <c r="C32" s="3485"/>
      <c r="E32" s="3466"/>
      <c r="F32" s="3466"/>
      <c r="H32" s="3466" t="s">
        <v>2876</v>
      </c>
      <c r="N32" s="2231" t="s">
        <v>1295</v>
      </c>
      <c r="O32" s="2231">
        <v>13.83</v>
      </c>
      <c r="P32" s="2231"/>
      <c r="Q32" s="2231"/>
    </row>
    <row r="33" spans="1:17" s="2006" customFormat="1" ht="15.6">
      <c r="A33" s="3486"/>
      <c r="B33" s="3486"/>
      <c r="H33" s="3487"/>
      <c r="N33" s="2231" t="s">
        <v>1296</v>
      </c>
      <c r="O33" s="2231">
        <v>0.68300000000000005</v>
      </c>
      <c r="P33" s="2231"/>
      <c r="Q33" s="2231"/>
    </row>
    <row r="34" spans="1:17">
      <c r="A34" s="3410"/>
      <c r="N34" s="2231" t="s">
        <v>1297</v>
      </c>
      <c r="O34" s="2231">
        <v>0.93340000000000001</v>
      </c>
      <c r="P34" s="2231"/>
      <c r="Q34" s="2231"/>
    </row>
    <row r="35" spans="1:17">
      <c r="A35" s="3410"/>
      <c r="N35" s="2231" t="s">
        <v>1298</v>
      </c>
      <c r="O35" s="3400">
        <v>0.13300999999999999</v>
      </c>
      <c r="P35" s="2231">
        <v>15.579410000000001</v>
      </c>
      <c r="Q35" s="2231" t="s">
        <v>1303</v>
      </c>
    </row>
    <row r="36" spans="1:17">
      <c r="N36" s="2231"/>
      <c r="O36" s="2231">
        <v>28.65081</v>
      </c>
      <c r="P36" s="2231">
        <v>28.65081</v>
      </c>
      <c r="Q36" s="2231"/>
    </row>
  </sheetData>
  <mergeCells count="2">
    <mergeCell ref="C5:G5"/>
    <mergeCell ref="H5:L5"/>
  </mergeCells>
  <phoneticPr fontId="0" type="noConversion"/>
  <printOptions horizontalCentered="1"/>
  <pageMargins left="0.78740157480314965" right="0.78740157480314965" top="0.78740157480314965" bottom="0.11811023622047245" header="0.51181102362204722" footer="3.937007874015748E-2"/>
  <pageSetup paperSize="9" scale="90" orientation="landscape" r:id="rId1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6">
    <tabColor rgb="FFCCFF66"/>
  </sheetPr>
  <dimension ref="A1:T96"/>
  <sheetViews>
    <sheetView workbookViewId="0">
      <pane ySplit="3" topLeftCell="A4" activePane="bottomLeft" state="frozenSplit"/>
      <selection activeCell="K8" sqref="K8"/>
      <selection pane="bottomLeft" activeCell="K8" sqref="K8"/>
    </sheetView>
  </sheetViews>
  <sheetFormatPr defaultColWidth="9.109375" defaultRowHeight="15.6"/>
  <cols>
    <col min="1" max="1" width="3.33203125" style="26" customWidth="1"/>
    <col min="2" max="2" width="23.88671875" style="26" customWidth="1"/>
    <col min="3" max="3" width="8.88671875" style="26" customWidth="1"/>
    <col min="4" max="4" width="16.5546875" style="26" customWidth="1"/>
    <col min="5" max="5" width="14" style="26" customWidth="1"/>
    <col min="6" max="6" width="9.6640625" style="26" customWidth="1"/>
    <col min="7" max="7" width="16.88671875" style="26" customWidth="1"/>
    <col min="8" max="8" width="16" style="26" customWidth="1"/>
    <col min="9" max="9" width="19.109375" style="207" customWidth="1"/>
    <col min="10" max="10" width="15.44140625" style="26" customWidth="1"/>
    <col min="11" max="11" width="11.33203125" style="26" bestFit="1" customWidth="1"/>
    <col min="12" max="16384" width="9.109375" style="26"/>
  </cols>
  <sheetData>
    <row r="1" spans="1:10" ht="47.4">
      <c r="A1" s="608" t="s">
        <v>1470</v>
      </c>
      <c r="B1" s="89"/>
      <c r="C1" s="89"/>
      <c r="D1" s="89"/>
      <c r="E1" s="89"/>
      <c r="F1" s="89"/>
      <c r="G1" s="89"/>
      <c r="H1" s="89"/>
      <c r="I1" s="609"/>
      <c r="J1" s="76"/>
    </row>
    <row r="2" spans="1:10" ht="18">
      <c r="A2" s="83"/>
      <c r="B2" s="83"/>
      <c r="C2" s="83"/>
      <c r="D2" s="83"/>
      <c r="E2" s="610"/>
      <c r="F2" s="83"/>
      <c r="G2" s="875" t="s">
        <v>1401</v>
      </c>
      <c r="H2" s="610"/>
      <c r="I2" s="611"/>
      <c r="J2" s="76"/>
    </row>
    <row r="3" spans="1:10" ht="44.4">
      <c r="A3" s="82" t="s">
        <v>616</v>
      </c>
      <c r="B3" s="612" t="s">
        <v>1148</v>
      </c>
      <c r="C3" s="612" t="s">
        <v>1149</v>
      </c>
      <c r="D3" s="612" t="s">
        <v>1150</v>
      </c>
      <c r="E3" s="613" t="s">
        <v>1151</v>
      </c>
      <c r="F3" s="612" t="s">
        <v>1149</v>
      </c>
      <c r="G3" s="612" t="s">
        <v>638</v>
      </c>
      <c r="H3" s="613" t="s">
        <v>1152</v>
      </c>
      <c r="I3" s="614"/>
      <c r="J3" s="85"/>
    </row>
    <row r="4" spans="1:10">
      <c r="A4" s="1232" t="s">
        <v>1545</v>
      </c>
      <c r="B4" s="1233"/>
      <c r="C4" s="1233"/>
      <c r="D4" s="1233"/>
      <c r="E4" s="1233"/>
      <c r="F4" s="1233"/>
      <c r="G4" s="1233"/>
      <c r="H4" s="1234"/>
      <c r="I4" s="614"/>
      <c r="J4" s="85"/>
    </row>
    <row r="5" spans="1:10">
      <c r="A5" s="1229" t="s">
        <v>1402</v>
      </c>
      <c r="B5" s="1230"/>
      <c r="C5" s="1230"/>
      <c r="D5" s="1230"/>
      <c r="E5" s="1230"/>
      <c r="F5" s="1230"/>
      <c r="G5" s="1230"/>
      <c r="H5" s="1231"/>
      <c r="I5" s="614"/>
      <c r="J5" s="85"/>
    </row>
    <row r="6" spans="1:10" s="620" customFormat="1" ht="20.25" customHeight="1">
      <c r="A6" s="615" t="s">
        <v>200</v>
      </c>
      <c r="B6" s="4116" t="s">
        <v>1432</v>
      </c>
      <c r="C6" s="4085" t="s">
        <v>1435</v>
      </c>
      <c r="D6" s="617" t="s">
        <v>1433</v>
      </c>
      <c r="E6" s="625">
        <v>15336.65</v>
      </c>
      <c r="F6" s="1002" t="s">
        <v>1436</v>
      </c>
      <c r="G6" s="617" t="s">
        <v>1434</v>
      </c>
      <c r="H6" s="625">
        <v>15336.65</v>
      </c>
      <c r="I6" s="628"/>
      <c r="J6" s="619"/>
    </row>
    <row r="7" spans="1:10" s="620" customFormat="1" ht="20.25" customHeight="1">
      <c r="A7" s="615" t="s">
        <v>207</v>
      </c>
      <c r="B7" s="4099"/>
      <c r="C7" s="4124"/>
      <c r="D7" s="617" t="s">
        <v>1437</v>
      </c>
      <c r="E7" s="625">
        <v>6420.78</v>
      </c>
      <c r="F7" s="1002"/>
      <c r="G7" s="617"/>
      <c r="H7" s="1002"/>
      <c r="I7" s="618"/>
      <c r="J7" s="619"/>
    </row>
    <row r="8" spans="1:10" s="620" customFormat="1" ht="20.25" customHeight="1">
      <c r="A8" s="623" t="s">
        <v>208</v>
      </c>
      <c r="B8" s="4099"/>
      <c r="C8" s="4086"/>
      <c r="D8" s="617" t="s">
        <v>1438</v>
      </c>
      <c r="E8" s="625">
        <v>2923.33</v>
      </c>
      <c r="F8" s="1002" t="s">
        <v>1436</v>
      </c>
      <c r="G8" s="617" t="s">
        <v>1458</v>
      </c>
      <c r="H8" s="625">
        <v>2923.33</v>
      </c>
      <c r="I8" s="628">
        <f>SUM(E7:E8)</f>
        <v>9344.11</v>
      </c>
      <c r="J8" s="619"/>
    </row>
    <row r="9" spans="1:10" s="620" customFormat="1" ht="20.25" customHeight="1">
      <c r="A9" s="615" t="s">
        <v>210</v>
      </c>
      <c r="B9" s="4099"/>
      <c r="C9" s="4085" t="s">
        <v>1439</v>
      </c>
      <c r="D9" s="617" t="s">
        <v>1440</v>
      </c>
      <c r="E9" s="625">
        <v>15402.52</v>
      </c>
      <c r="F9" s="1002" t="s">
        <v>1459</v>
      </c>
      <c r="G9" s="617" t="s">
        <v>1461</v>
      </c>
      <c r="H9" s="625">
        <v>104720.99</v>
      </c>
      <c r="I9" s="618"/>
      <c r="J9" s="619"/>
    </row>
    <row r="10" spans="1:10" s="620" customFormat="1" ht="20.25" customHeight="1">
      <c r="A10" s="623" t="s">
        <v>212</v>
      </c>
      <c r="B10" s="4099"/>
      <c r="C10" s="4124"/>
      <c r="D10" s="617" t="s">
        <v>1441</v>
      </c>
      <c r="E10" s="625">
        <v>2552.58</v>
      </c>
      <c r="F10" s="1002" t="s">
        <v>1459</v>
      </c>
      <c r="G10" s="617" t="s">
        <v>1460</v>
      </c>
      <c r="H10" s="625">
        <v>2552.58</v>
      </c>
      <c r="I10" s="628">
        <f>SUM(E9:E10)</f>
        <v>17955.099999999999</v>
      </c>
      <c r="J10" s="619"/>
    </row>
    <row r="11" spans="1:10" s="620" customFormat="1" ht="20.25" customHeight="1">
      <c r="A11" s="623" t="s">
        <v>215</v>
      </c>
      <c r="B11" s="4099"/>
      <c r="C11" s="4124"/>
      <c r="D11" s="617" t="s">
        <v>1442</v>
      </c>
      <c r="E11" s="625">
        <v>126885.02</v>
      </c>
      <c r="F11" s="1002"/>
      <c r="G11" s="617"/>
      <c r="H11" s="625"/>
      <c r="J11" s="619"/>
    </row>
    <row r="12" spans="1:10" s="620" customFormat="1" ht="20.25" customHeight="1">
      <c r="A12" s="623" t="s">
        <v>218</v>
      </c>
      <c r="B12" s="4099"/>
      <c r="C12" s="4124"/>
      <c r="D12" s="617" t="s">
        <v>1443</v>
      </c>
      <c r="E12" s="626">
        <v>23553.91</v>
      </c>
      <c r="F12" s="1002"/>
      <c r="G12" s="617"/>
      <c r="H12" s="625"/>
      <c r="I12" s="628">
        <f>SUM(E11:E12)</f>
        <v>150438.93</v>
      </c>
      <c r="J12" s="618"/>
    </row>
    <row r="13" spans="1:10" s="620" customFormat="1" ht="20.25" customHeight="1">
      <c r="A13" s="623" t="s">
        <v>226</v>
      </c>
      <c r="B13" s="4099"/>
      <c r="C13" s="4124"/>
      <c r="D13" s="617" t="s">
        <v>1444</v>
      </c>
      <c r="E13" s="625">
        <v>82142.09</v>
      </c>
      <c r="F13" s="1002" t="s">
        <v>1459</v>
      </c>
      <c r="G13" s="617" t="s">
        <v>1462</v>
      </c>
      <c r="H13" s="625">
        <v>150438.93</v>
      </c>
      <c r="I13" s="628"/>
      <c r="J13" s="619"/>
    </row>
    <row r="14" spans="1:10" s="620" customFormat="1" ht="20.25" customHeight="1">
      <c r="A14" s="623" t="s">
        <v>551</v>
      </c>
      <c r="B14" s="4099"/>
      <c r="C14" s="4086"/>
      <c r="D14" s="617" t="s">
        <v>1445</v>
      </c>
      <c r="E14" s="625">
        <v>3736.47</v>
      </c>
      <c r="F14" s="1002"/>
      <c r="G14" s="617"/>
      <c r="H14" s="625"/>
      <c r="I14" s="628"/>
      <c r="J14" s="619"/>
    </row>
    <row r="15" spans="1:10" s="620" customFormat="1" ht="20.25" customHeight="1">
      <c r="A15" s="623" t="s">
        <v>552</v>
      </c>
      <c r="B15" s="4099"/>
      <c r="C15" s="4085" t="s">
        <v>1447</v>
      </c>
      <c r="D15" s="617" t="s">
        <v>1446</v>
      </c>
      <c r="E15" s="626">
        <v>2541.7199999999998</v>
      </c>
      <c r="F15" s="1002"/>
      <c r="G15" s="617"/>
      <c r="H15" s="625"/>
      <c r="I15" s="628">
        <f>SUM(E13:E15)</f>
        <v>88420.28</v>
      </c>
      <c r="J15" s="628">
        <f>H13-I15</f>
        <v>62018.649999999994</v>
      </c>
    </row>
    <row r="16" spans="1:10" s="620" customFormat="1" ht="20.25" customHeight="1">
      <c r="A16" s="615" t="s">
        <v>550</v>
      </c>
      <c r="B16" s="4099"/>
      <c r="C16" s="4124"/>
      <c r="D16" s="617" t="s">
        <v>1448</v>
      </c>
      <c r="E16" s="626">
        <v>3818.13</v>
      </c>
      <c r="F16" s="1002" t="s">
        <v>1463</v>
      </c>
      <c r="G16" s="617" t="s">
        <v>1464</v>
      </c>
      <c r="H16" s="626">
        <v>106235.18</v>
      </c>
      <c r="I16" s="628"/>
      <c r="J16" s="619"/>
    </row>
    <row r="17" spans="1:10" s="620" customFormat="1" ht="19.5" customHeight="1">
      <c r="A17" s="615" t="s">
        <v>553</v>
      </c>
      <c r="B17" s="4099"/>
      <c r="C17" s="4086"/>
      <c r="D17" s="617" t="s">
        <v>1449</v>
      </c>
      <c r="E17" s="625">
        <v>18842.43</v>
      </c>
      <c r="F17" s="1002" t="s">
        <v>1463</v>
      </c>
      <c r="G17" s="617" t="s">
        <v>1465</v>
      </c>
      <c r="H17" s="625">
        <v>78349.75</v>
      </c>
      <c r="I17" s="628"/>
      <c r="J17" s="619"/>
    </row>
    <row r="18" spans="1:10" s="620" customFormat="1" ht="19.5" customHeight="1">
      <c r="A18" s="615" t="s">
        <v>778</v>
      </c>
      <c r="B18" s="4099"/>
      <c r="C18" s="4085" t="s">
        <v>1451</v>
      </c>
      <c r="D18" s="617" t="s">
        <v>1450</v>
      </c>
      <c r="E18" s="625">
        <v>106235.18</v>
      </c>
      <c r="F18" s="1002" t="s">
        <v>1463</v>
      </c>
      <c r="G18" s="617" t="s">
        <v>1466</v>
      </c>
      <c r="H18" s="625">
        <v>201596.97</v>
      </c>
      <c r="I18" s="628"/>
      <c r="J18" s="619"/>
    </row>
    <row r="19" spans="1:10" s="620" customFormat="1" ht="19.5" customHeight="1">
      <c r="A19" s="615" t="s">
        <v>418</v>
      </c>
      <c r="B19" s="4099"/>
      <c r="C19" s="4124"/>
      <c r="D19" s="617" t="s">
        <v>1453</v>
      </c>
      <c r="E19" s="625">
        <v>5437.44</v>
      </c>
      <c r="F19" s="1002"/>
      <c r="G19" s="617"/>
      <c r="H19" s="625"/>
      <c r="I19" s="628">
        <f>SUM(E18:E19)</f>
        <v>111672.62</v>
      </c>
      <c r="J19" s="619"/>
    </row>
    <row r="20" spans="1:10" s="620" customFormat="1" ht="19.5" customHeight="1">
      <c r="A20" s="615" t="s">
        <v>553</v>
      </c>
      <c r="B20" s="4099"/>
      <c r="C20" s="4086"/>
      <c r="D20" s="617" t="s">
        <v>1452</v>
      </c>
      <c r="E20" s="625">
        <v>78349.75</v>
      </c>
      <c r="F20" s="1002"/>
      <c r="G20" s="617"/>
      <c r="H20" s="625"/>
      <c r="I20" s="628"/>
      <c r="J20" s="619"/>
    </row>
    <row r="21" spans="1:10" s="620" customFormat="1" ht="19.5" customHeight="1">
      <c r="A21" s="615" t="s">
        <v>778</v>
      </c>
      <c r="B21" s="4099"/>
      <c r="C21" s="1002" t="s">
        <v>1454</v>
      </c>
      <c r="D21" s="617" t="s">
        <v>1455</v>
      </c>
      <c r="E21" s="625">
        <v>17121.509999999998</v>
      </c>
      <c r="F21" s="1002" t="s">
        <v>1467</v>
      </c>
      <c r="G21" s="617" t="s">
        <v>1468</v>
      </c>
      <c r="H21" s="625">
        <v>17121.509999999998</v>
      </c>
      <c r="I21" s="628"/>
      <c r="J21" s="619"/>
    </row>
    <row r="22" spans="1:10" s="620" customFormat="1" ht="19.5" customHeight="1">
      <c r="A22" s="615" t="s">
        <v>418</v>
      </c>
      <c r="B22" s="1003" t="s">
        <v>1456</v>
      </c>
      <c r="C22" s="1002" t="s">
        <v>1549</v>
      </c>
      <c r="D22" s="617" t="s">
        <v>1457</v>
      </c>
      <c r="E22" s="625">
        <v>201596.97</v>
      </c>
      <c r="F22" s="1002"/>
      <c r="G22" s="617"/>
      <c r="H22" s="625"/>
      <c r="I22" s="628">
        <f>SUM(E18:E22)</f>
        <v>408740.85</v>
      </c>
      <c r="J22" s="619"/>
    </row>
    <row r="23" spans="1:10" s="620" customFormat="1" ht="19.5" hidden="1" customHeight="1">
      <c r="A23" s="615"/>
      <c r="B23" s="604"/>
      <c r="C23" s="1002"/>
      <c r="D23" s="617"/>
      <c r="E23" s="625"/>
      <c r="F23" s="1002"/>
      <c r="G23" s="617"/>
      <c r="H23" s="625"/>
      <c r="I23" s="628">
        <f>SUM(E19:E23)</f>
        <v>302505.67</v>
      </c>
      <c r="J23" s="619"/>
    </row>
    <row r="24" spans="1:10" s="620" customFormat="1" ht="19.5" hidden="1" customHeight="1">
      <c r="A24" s="615"/>
      <c r="B24" s="604"/>
      <c r="C24" s="1002"/>
      <c r="D24" s="617"/>
      <c r="E24" s="625"/>
      <c r="F24" s="1002"/>
      <c r="G24" s="617"/>
      <c r="H24" s="625"/>
      <c r="I24" s="628">
        <f>SUM(E20:E24)</f>
        <v>297068.23</v>
      </c>
      <c r="J24" s="619"/>
    </row>
    <row r="25" spans="1:10" s="620" customFormat="1" ht="19.5" hidden="1" customHeight="1">
      <c r="A25" s="615"/>
      <c r="B25" s="604"/>
      <c r="C25" s="1002"/>
      <c r="D25" s="617"/>
      <c r="E25" s="625"/>
      <c r="F25" s="1002"/>
      <c r="G25" s="617"/>
      <c r="H25" s="625"/>
      <c r="I25" s="628">
        <f>SUM(E21:E25)</f>
        <v>218718.48</v>
      </c>
      <c r="J25" s="619"/>
    </row>
    <row r="26" spans="1:10">
      <c r="A26" s="622" t="s">
        <v>419</v>
      </c>
      <c r="B26" s="624"/>
      <c r="C26" s="616"/>
      <c r="D26" s="621"/>
      <c r="E26" s="627">
        <f>SUM(E6:E25)</f>
        <v>712896.48</v>
      </c>
      <c r="F26" s="629"/>
      <c r="G26" s="629"/>
      <c r="H26" s="627">
        <f>SUM(H6:H25)</f>
        <v>679275.89</v>
      </c>
      <c r="I26" s="614"/>
      <c r="J26" s="85">
        <v>679275.89</v>
      </c>
    </row>
    <row r="27" spans="1:10" ht="36" customHeight="1">
      <c r="A27" s="1265" t="s">
        <v>1606</v>
      </c>
      <c r="B27" s="630"/>
      <c r="C27" s="631"/>
      <c r="D27" s="632"/>
      <c r="E27" s="633"/>
      <c r="F27" s="80"/>
      <c r="G27" s="80"/>
      <c r="H27" s="633"/>
      <c r="I27" s="614"/>
      <c r="J27" s="85"/>
    </row>
    <row r="28" spans="1:10" s="172" customFormat="1" ht="18">
      <c r="A28" s="551" t="s">
        <v>1723</v>
      </c>
      <c r="J28" s="1005" t="e">
        <f>#REF!/1.18/9*12/1000</f>
        <v>#REF!</v>
      </c>
    </row>
    <row r="29" spans="1:10" s="172" customFormat="1">
      <c r="C29" s="1004" t="s">
        <v>1717</v>
      </c>
      <c r="D29" s="873">
        <f>$H$26/1000/1.18*1.079</f>
        <v>621.13447907627119</v>
      </c>
      <c r="E29" s="186" t="s">
        <v>1422</v>
      </c>
      <c r="J29" s="1005"/>
    </row>
    <row r="30" spans="1:10" s="172" customFormat="1" ht="18">
      <c r="A30" s="172" t="s">
        <v>1469</v>
      </c>
      <c r="I30" s="250"/>
    </row>
    <row r="31" spans="1:10" s="172" customFormat="1">
      <c r="B31" s="1004" t="s">
        <v>1423</v>
      </c>
      <c r="C31" s="873">
        <f>D29*1.079</f>
        <v>670.20410292329655</v>
      </c>
      <c r="D31" s="186" t="s">
        <v>238</v>
      </c>
      <c r="I31" s="250"/>
    </row>
    <row r="32" spans="1:10" s="172" customFormat="1">
      <c r="B32" s="1004"/>
      <c r="C32" s="1238"/>
      <c r="D32" s="186"/>
      <c r="I32" s="250"/>
    </row>
    <row r="33" spans="1:11" ht="44.4">
      <c r="A33" s="82" t="s">
        <v>616</v>
      </c>
      <c r="B33" s="612" t="s">
        <v>1148</v>
      </c>
      <c r="C33" s="612" t="s">
        <v>1149</v>
      </c>
      <c r="D33" s="612" t="s">
        <v>1150</v>
      </c>
      <c r="E33" s="613" t="s">
        <v>1151</v>
      </c>
      <c r="F33" s="612" t="s">
        <v>1149</v>
      </c>
      <c r="G33" s="612" t="s">
        <v>638</v>
      </c>
      <c r="H33" s="613" t="s">
        <v>1152</v>
      </c>
      <c r="I33" s="614"/>
      <c r="J33" s="85"/>
    </row>
    <row r="34" spans="1:11">
      <c r="A34" s="1232" t="s">
        <v>1546</v>
      </c>
      <c r="B34" s="1233"/>
      <c r="C34" s="1233"/>
      <c r="D34" s="1233"/>
      <c r="E34" s="1233"/>
      <c r="F34" s="1233"/>
      <c r="G34" s="1233"/>
      <c r="H34" s="1234"/>
      <c r="I34" s="614"/>
      <c r="J34" s="85"/>
    </row>
    <row r="35" spans="1:11">
      <c r="A35" s="1229" t="s">
        <v>1402</v>
      </c>
      <c r="B35" s="1230"/>
      <c r="C35" s="1230"/>
      <c r="D35" s="1230"/>
      <c r="E35" s="1230"/>
      <c r="F35" s="1230"/>
      <c r="G35" s="1230"/>
      <c r="H35" s="1231"/>
      <c r="I35" s="614"/>
      <c r="J35" s="85"/>
    </row>
    <row r="36" spans="1:11" s="620" customFormat="1" ht="19.5" customHeight="1">
      <c r="A36" s="615" t="s">
        <v>200</v>
      </c>
      <c r="B36" s="4097" t="s">
        <v>1547</v>
      </c>
      <c r="C36" s="1002" t="s">
        <v>1548</v>
      </c>
      <c r="D36" s="617" t="s">
        <v>1603</v>
      </c>
      <c r="E36" s="625">
        <v>15642.8</v>
      </c>
      <c r="F36" s="1002" t="s">
        <v>1627</v>
      </c>
      <c r="G36" s="617">
        <v>68</v>
      </c>
      <c r="H36" s="625">
        <v>37678.5</v>
      </c>
      <c r="I36" s="628"/>
      <c r="J36" s="619"/>
    </row>
    <row r="37" spans="1:11" s="620" customFormat="1" ht="19.5" customHeight="1">
      <c r="A37" s="615" t="s">
        <v>207</v>
      </c>
      <c r="B37" s="4098"/>
      <c r="C37" s="1002" t="s">
        <v>1550</v>
      </c>
      <c r="D37" s="617" t="s">
        <v>1551</v>
      </c>
      <c r="E37" s="625">
        <v>20392.5</v>
      </c>
      <c r="F37" s="1002" t="s">
        <v>1628</v>
      </c>
      <c r="G37" s="617">
        <v>98</v>
      </c>
      <c r="H37" s="625">
        <v>3180</v>
      </c>
      <c r="I37" s="628"/>
      <c r="J37" s="628">
        <f>SUM(E36:E37)</f>
        <v>36035.300000000003</v>
      </c>
      <c r="K37" s="628">
        <f>SUM(H36:H37)</f>
        <v>40858.5</v>
      </c>
    </row>
    <row r="38" spans="1:11" s="620" customFormat="1" ht="20.25" customHeight="1">
      <c r="A38" s="623" t="s">
        <v>208</v>
      </c>
      <c r="B38" s="4099"/>
      <c r="C38" s="1002" t="s">
        <v>1552</v>
      </c>
      <c r="D38" s="617" t="s">
        <v>1553</v>
      </c>
      <c r="E38" s="625">
        <v>24197</v>
      </c>
      <c r="F38" s="1002" t="s">
        <v>1630</v>
      </c>
      <c r="G38" s="617">
        <v>119</v>
      </c>
      <c r="H38" s="625">
        <v>24197</v>
      </c>
      <c r="I38" s="618"/>
      <c r="J38" s="619"/>
    </row>
    <row r="39" spans="1:11" s="620" customFormat="1" ht="20.25" customHeight="1">
      <c r="A39" s="615" t="s">
        <v>210</v>
      </c>
      <c r="B39" s="4099"/>
      <c r="C39" s="1002" t="s">
        <v>1554</v>
      </c>
      <c r="D39" s="617" t="s">
        <v>1555</v>
      </c>
      <c r="E39" s="625">
        <v>6850</v>
      </c>
      <c r="F39" s="1002" t="s">
        <v>1632</v>
      </c>
      <c r="G39" s="617">
        <v>231</v>
      </c>
      <c r="H39" s="625">
        <v>6850</v>
      </c>
      <c r="I39" s="628"/>
      <c r="J39" s="619"/>
    </row>
    <row r="40" spans="1:11" s="620" customFormat="1" ht="20.25" customHeight="1">
      <c r="A40" s="623" t="s">
        <v>212</v>
      </c>
      <c r="B40" s="4099"/>
      <c r="C40" s="1002" t="s">
        <v>1556</v>
      </c>
      <c r="D40" s="617" t="s">
        <v>1557</v>
      </c>
      <c r="E40" s="625">
        <v>78415.88</v>
      </c>
      <c r="F40" s="4085" t="s">
        <v>1629</v>
      </c>
      <c r="G40" s="4087">
        <v>196</v>
      </c>
      <c r="H40" s="4089">
        <v>86085.88</v>
      </c>
      <c r="I40" s="618"/>
      <c r="J40" s="619"/>
    </row>
    <row r="41" spans="1:11" s="620" customFormat="1" ht="20.25" customHeight="1">
      <c r="A41" s="623" t="s">
        <v>215</v>
      </c>
      <c r="B41" s="4099"/>
      <c r="C41" s="1002" t="s">
        <v>1556</v>
      </c>
      <c r="D41" s="617" t="s">
        <v>1558</v>
      </c>
      <c r="E41" s="625">
        <v>7670</v>
      </c>
      <c r="F41" s="4086"/>
      <c r="G41" s="4088"/>
      <c r="H41" s="4090"/>
      <c r="I41" s="628"/>
      <c r="J41" s="628">
        <f>SUM(E40:E41)</f>
        <v>86085.88</v>
      </c>
      <c r="K41" s="628">
        <f>SUM(H40)</f>
        <v>86085.88</v>
      </c>
    </row>
    <row r="42" spans="1:11" s="620" customFormat="1" ht="20.25" customHeight="1">
      <c r="A42" s="623" t="s">
        <v>218</v>
      </c>
      <c r="B42" s="4099"/>
      <c r="C42" s="1235" t="s">
        <v>1559</v>
      </c>
      <c r="D42" s="1236" t="s">
        <v>1560</v>
      </c>
      <c r="E42" s="1237">
        <v>1195</v>
      </c>
      <c r="F42" s="1002"/>
      <c r="G42" s="617"/>
      <c r="H42" s="625"/>
      <c r="J42" s="628">
        <f>SUM(E36:E41)</f>
        <v>153168.18</v>
      </c>
      <c r="K42" s="628">
        <f>SUM(H36:H42)</f>
        <v>157991.38</v>
      </c>
    </row>
    <row r="43" spans="1:11" s="620" customFormat="1" ht="20.25" customHeight="1">
      <c r="A43" s="623" t="s">
        <v>226</v>
      </c>
      <c r="B43" s="4099"/>
      <c r="C43" s="1002" t="s">
        <v>1561</v>
      </c>
      <c r="D43" s="617" t="s">
        <v>1562</v>
      </c>
      <c r="E43" s="625">
        <v>20725</v>
      </c>
      <c r="F43" s="1002" t="s">
        <v>1631</v>
      </c>
      <c r="G43" s="617">
        <v>242</v>
      </c>
      <c r="H43" s="625">
        <v>20725</v>
      </c>
      <c r="I43" s="628"/>
      <c r="J43" s="618"/>
    </row>
    <row r="44" spans="1:11" s="620" customFormat="1" ht="20.25" customHeight="1">
      <c r="A44" s="623" t="s">
        <v>551</v>
      </c>
      <c r="B44" s="4099"/>
      <c r="C44" s="1002" t="s">
        <v>1563</v>
      </c>
      <c r="D44" s="617" t="s">
        <v>1564</v>
      </c>
      <c r="E44" s="625">
        <v>12840</v>
      </c>
      <c r="F44" s="1002" t="s">
        <v>1634</v>
      </c>
      <c r="G44" s="617">
        <v>276</v>
      </c>
      <c r="H44" s="625">
        <v>3005</v>
      </c>
      <c r="I44" s="628"/>
      <c r="J44" s="628">
        <f>E42+E44</f>
        <v>14035</v>
      </c>
      <c r="K44" s="628"/>
    </row>
    <row r="45" spans="1:11" s="620" customFormat="1" ht="20.25" customHeight="1">
      <c r="A45" s="623" t="s">
        <v>552</v>
      </c>
      <c r="B45" s="4099"/>
      <c r="C45" s="1002" t="s">
        <v>1565</v>
      </c>
      <c r="D45" s="617" t="s">
        <v>1566</v>
      </c>
      <c r="E45" s="625">
        <v>4350</v>
      </c>
      <c r="F45" s="1002" t="s">
        <v>1633</v>
      </c>
      <c r="G45" s="617">
        <v>336</v>
      </c>
      <c r="H45" s="625">
        <v>13045</v>
      </c>
      <c r="I45" s="628"/>
      <c r="J45" s="628">
        <f>E44+E45</f>
        <v>17190</v>
      </c>
      <c r="K45" s="628">
        <f>H44+H45</f>
        <v>16050</v>
      </c>
    </row>
    <row r="46" spans="1:11" s="620" customFormat="1" ht="20.25" customHeight="1">
      <c r="A46" s="615" t="s">
        <v>550</v>
      </c>
      <c r="B46" s="4099"/>
      <c r="C46" s="1002" t="s">
        <v>1439</v>
      </c>
      <c r="D46" s="617" t="s">
        <v>1567</v>
      </c>
      <c r="E46" s="625">
        <v>37232</v>
      </c>
      <c r="F46" s="1002" t="s">
        <v>1636</v>
      </c>
      <c r="G46" s="617">
        <v>345</v>
      </c>
      <c r="H46" s="625">
        <v>990</v>
      </c>
      <c r="I46" s="628"/>
      <c r="J46" s="628"/>
    </row>
    <row r="47" spans="1:11" s="620" customFormat="1" ht="20.25" customHeight="1">
      <c r="A47" s="615" t="s">
        <v>553</v>
      </c>
      <c r="B47" s="4099"/>
      <c r="C47" s="1002" t="s">
        <v>1439</v>
      </c>
      <c r="D47" s="617" t="s">
        <v>1568</v>
      </c>
      <c r="E47" s="625">
        <v>7716</v>
      </c>
      <c r="F47" s="1002" t="s">
        <v>1635</v>
      </c>
      <c r="G47" s="617">
        <v>394</v>
      </c>
      <c r="H47" s="625">
        <v>42545</v>
      </c>
      <c r="I47" s="628"/>
      <c r="J47" s="628">
        <f>E46+E47</f>
        <v>44948</v>
      </c>
      <c r="K47" s="628">
        <f>H47</f>
        <v>42545</v>
      </c>
    </row>
    <row r="48" spans="1:11" s="620" customFormat="1" ht="19.5" customHeight="1">
      <c r="A48" s="615" t="s">
        <v>778</v>
      </c>
      <c r="B48" s="4100"/>
      <c r="C48" s="1002" t="s">
        <v>1569</v>
      </c>
      <c r="D48" s="617" t="s">
        <v>1570</v>
      </c>
      <c r="E48" s="625">
        <v>16914</v>
      </c>
      <c r="F48" s="1002" t="s">
        <v>1637</v>
      </c>
      <c r="G48" s="617">
        <v>496</v>
      </c>
      <c r="H48" s="625">
        <v>41582</v>
      </c>
      <c r="I48" s="628"/>
      <c r="J48" s="619"/>
    </row>
    <row r="49" spans="1:11" s="620" customFormat="1" ht="19.5" customHeight="1">
      <c r="A49" s="615" t="s">
        <v>418</v>
      </c>
      <c r="B49" s="4083" t="s">
        <v>1571</v>
      </c>
      <c r="C49" s="1002" t="s">
        <v>1569</v>
      </c>
      <c r="D49" s="617" t="s">
        <v>1572</v>
      </c>
      <c r="E49" s="625">
        <v>1213.49</v>
      </c>
      <c r="F49" s="4085" t="s">
        <v>1639</v>
      </c>
      <c r="G49" s="4087">
        <v>520</v>
      </c>
      <c r="H49" s="4089">
        <v>2815</v>
      </c>
      <c r="I49" s="628"/>
      <c r="J49" s="628">
        <f>E49+E50</f>
        <v>2333.0500000000002</v>
      </c>
      <c r="K49" s="628">
        <f>H49</f>
        <v>2815</v>
      </c>
    </row>
    <row r="50" spans="1:11" s="620" customFormat="1" ht="19.5" customHeight="1">
      <c r="A50" s="615" t="s">
        <v>555</v>
      </c>
      <c r="B50" s="4084"/>
      <c r="C50" s="1002" t="s">
        <v>1569</v>
      </c>
      <c r="D50" s="617" t="s">
        <v>1572</v>
      </c>
      <c r="E50" s="625">
        <v>1119.56</v>
      </c>
      <c r="F50" s="4086"/>
      <c r="G50" s="4088"/>
      <c r="H50" s="4090"/>
      <c r="I50" s="628"/>
      <c r="J50" s="619"/>
    </row>
    <row r="51" spans="1:11" s="620" customFormat="1" ht="19.5" customHeight="1">
      <c r="A51" s="615" t="s">
        <v>1578</v>
      </c>
      <c r="B51" s="4083" t="s">
        <v>1547</v>
      </c>
      <c r="C51" s="1002" t="s">
        <v>1447</v>
      </c>
      <c r="D51" s="617" t="s">
        <v>1573</v>
      </c>
      <c r="E51" s="625">
        <v>9400</v>
      </c>
      <c r="F51" s="1002" t="s">
        <v>1638</v>
      </c>
      <c r="G51" s="617">
        <v>534</v>
      </c>
      <c r="H51" s="625">
        <v>15924</v>
      </c>
      <c r="I51" s="628"/>
      <c r="J51" s="619"/>
    </row>
    <row r="52" spans="1:11" s="620" customFormat="1" ht="19.5" customHeight="1">
      <c r="A52" s="615" t="s">
        <v>1579</v>
      </c>
      <c r="B52" s="4091"/>
      <c r="C52" s="1002" t="s">
        <v>1574</v>
      </c>
      <c r="D52" s="617" t="s">
        <v>1575</v>
      </c>
      <c r="E52" s="625">
        <v>3485</v>
      </c>
      <c r="F52" s="1002" t="s">
        <v>1640</v>
      </c>
      <c r="G52" s="617">
        <v>544</v>
      </c>
      <c r="H52" s="625">
        <v>990</v>
      </c>
      <c r="I52" s="628"/>
      <c r="J52" s="619"/>
    </row>
    <row r="53" spans="1:11" s="620" customFormat="1" ht="19.5" customHeight="1">
      <c r="A53" s="615" t="s">
        <v>1580</v>
      </c>
      <c r="B53" s="4091"/>
      <c r="C53" s="1002" t="s">
        <v>1574</v>
      </c>
      <c r="D53" s="617" t="s">
        <v>1575</v>
      </c>
      <c r="E53" s="625">
        <v>4550</v>
      </c>
      <c r="F53" s="1002" t="s">
        <v>1641</v>
      </c>
      <c r="G53" s="617">
        <v>722</v>
      </c>
      <c r="H53" s="625">
        <v>5626</v>
      </c>
      <c r="I53" s="628"/>
    </row>
    <row r="54" spans="1:11" s="620" customFormat="1" ht="19.5" customHeight="1">
      <c r="A54" s="615" t="s">
        <v>1581</v>
      </c>
      <c r="B54" s="4084"/>
      <c r="C54" s="1002" t="s">
        <v>1576</v>
      </c>
      <c r="D54" s="617" t="s">
        <v>1577</v>
      </c>
      <c r="E54" s="625">
        <v>7735</v>
      </c>
      <c r="F54" s="1002" t="s">
        <v>1467</v>
      </c>
      <c r="G54" s="617">
        <v>860</v>
      </c>
      <c r="H54" s="625">
        <v>38620</v>
      </c>
      <c r="I54" s="628"/>
      <c r="J54" s="628">
        <f>SUM(E51:E54)</f>
        <v>25170</v>
      </c>
      <c r="K54" s="628">
        <f>SUM(H51:H54)</f>
        <v>61160</v>
      </c>
    </row>
    <row r="55" spans="1:11" s="620" customFormat="1" ht="19.5" customHeight="1">
      <c r="A55" s="615" t="s">
        <v>1582</v>
      </c>
      <c r="B55" s="1003" t="s">
        <v>1571</v>
      </c>
      <c r="C55" s="1002" t="s">
        <v>1589</v>
      </c>
      <c r="D55" s="617" t="s">
        <v>1590</v>
      </c>
      <c r="E55" s="625">
        <v>35413.81</v>
      </c>
      <c r="F55" s="1002" t="s">
        <v>1642</v>
      </c>
      <c r="G55" s="617">
        <v>803</v>
      </c>
      <c r="H55" s="625">
        <v>35414</v>
      </c>
      <c r="I55" s="628"/>
      <c r="J55" s="619"/>
    </row>
    <row r="56" spans="1:11" s="620" customFormat="1" ht="19.5" customHeight="1">
      <c r="A56" s="615" t="s">
        <v>1583</v>
      </c>
      <c r="B56" s="1003" t="s">
        <v>1547</v>
      </c>
      <c r="C56" s="1235" t="s">
        <v>1591</v>
      </c>
      <c r="D56" s="1236" t="s">
        <v>1592</v>
      </c>
      <c r="E56" s="1237">
        <v>24225</v>
      </c>
      <c r="F56" s="1002" t="s">
        <v>1643</v>
      </c>
      <c r="G56" s="617">
        <v>929</v>
      </c>
      <c r="H56" s="625">
        <v>24225</v>
      </c>
      <c r="I56" s="628"/>
      <c r="J56" s="619"/>
    </row>
    <row r="57" spans="1:11" s="620" customFormat="1" ht="19.5" customHeight="1">
      <c r="A57" s="615" t="s">
        <v>1584</v>
      </c>
      <c r="B57" s="1003"/>
      <c r="C57" s="1002" t="s">
        <v>1595</v>
      </c>
      <c r="D57" s="617" t="s">
        <v>1596</v>
      </c>
      <c r="E57" s="625">
        <v>47687</v>
      </c>
      <c r="F57" s="1002" t="s">
        <v>1644</v>
      </c>
      <c r="G57" s="617">
        <v>947</v>
      </c>
      <c r="H57" s="625">
        <v>47687</v>
      </c>
      <c r="I57" s="628"/>
      <c r="J57" s="619"/>
    </row>
    <row r="58" spans="1:11" s="620" customFormat="1" ht="19.5" customHeight="1">
      <c r="A58" s="615" t="s">
        <v>1585</v>
      </c>
      <c r="B58" s="1003"/>
      <c r="C58" s="1002" t="s">
        <v>1593</v>
      </c>
      <c r="D58" s="617" t="s">
        <v>1594</v>
      </c>
      <c r="E58" s="625">
        <v>5740</v>
      </c>
      <c r="F58" s="1002" t="s">
        <v>1645</v>
      </c>
      <c r="G58" s="617">
        <v>994</v>
      </c>
      <c r="H58" s="625">
        <v>13340</v>
      </c>
      <c r="I58" s="628"/>
      <c r="J58" s="619"/>
    </row>
    <row r="59" spans="1:11" s="620" customFormat="1" ht="19.5" customHeight="1">
      <c r="A59" s="615" t="s">
        <v>1586</v>
      </c>
      <c r="B59" s="1003"/>
      <c r="C59" s="1002" t="s">
        <v>1599</v>
      </c>
      <c r="D59" s="617" t="s">
        <v>1597</v>
      </c>
      <c r="E59" s="625">
        <v>5500</v>
      </c>
      <c r="F59" s="1002"/>
      <c r="G59" s="617"/>
      <c r="H59" s="625"/>
      <c r="I59" s="628"/>
      <c r="J59" s="628">
        <f>SUM(E58:E59)</f>
        <v>11240</v>
      </c>
    </row>
    <row r="60" spans="1:11" s="620" customFormat="1" ht="19.5" customHeight="1">
      <c r="A60" s="615" t="s">
        <v>1587</v>
      </c>
      <c r="B60" s="1003"/>
      <c r="C60" s="1002" t="s">
        <v>1598</v>
      </c>
      <c r="D60" s="617" t="s">
        <v>1600</v>
      </c>
      <c r="E60" s="625">
        <v>7600</v>
      </c>
      <c r="F60" s="1002"/>
      <c r="G60" s="617"/>
      <c r="H60" s="625"/>
      <c r="I60" s="628"/>
      <c r="J60" s="619"/>
    </row>
    <row r="61" spans="1:11" s="620" customFormat="1" ht="19.5" customHeight="1">
      <c r="A61" s="615" t="s">
        <v>1588</v>
      </c>
      <c r="B61" s="1003"/>
      <c r="C61" s="1002" t="s">
        <v>1598</v>
      </c>
      <c r="D61" s="617" t="s">
        <v>1601</v>
      </c>
      <c r="E61" s="625">
        <v>3250</v>
      </c>
      <c r="F61" s="1002" t="s">
        <v>1646</v>
      </c>
      <c r="G61" s="617">
        <v>1026</v>
      </c>
      <c r="H61" s="625">
        <v>3250</v>
      </c>
      <c r="I61" s="628"/>
      <c r="J61" s="619"/>
    </row>
    <row r="62" spans="1:11" s="620" customFormat="1" ht="21" customHeight="1">
      <c r="A62" s="615" t="s">
        <v>1604</v>
      </c>
      <c r="B62" s="1003"/>
      <c r="C62" s="1002" t="s">
        <v>1602</v>
      </c>
      <c r="D62" s="617" t="s">
        <v>1605</v>
      </c>
      <c r="E62" s="625">
        <v>21291</v>
      </c>
      <c r="F62" s="1002"/>
      <c r="G62" s="617"/>
      <c r="H62" s="625"/>
      <c r="I62" s="628"/>
      <c r="J62" s="619"/>
    </row>
    <row r="63" spans="1:11" s="620" customFormat="1" ht="19.5" hidden="1" customHeight="1">
      <c r="A63" s="615"/>
      <c r="B63" s="604"/>
      <c r="C63" s="1002"/>
      <c r="D63" s="617"/>
      <c r="E63" s="625"/>
      <c r="F63" s="1002"/>
      <c r="G63" s="617"/>
      <c r="H63" s="625"/>
      <c r="I63" s="628"/>
      <c r="J63" s="619"/>
    </row>
    <row r="64" spans="1:11" s="620" customFormat="1" ht="19.5" hidden="1" customHeight="1">
      <c r="A64" s="615"/>
      <c r="B64" s="604"/>
      <c r="C64" s="1002"/>
      <c r="D64" s="617"/>
      <c r="E64" s="625"/>
      <c r="F64" s="1002"/>
      <c r="G64" s="617"/>
      <c r="H64" s="625"/>
      <c r="I64" s="628"/>
      <c r="J64" s="619"/>
    </row>
    <row r="65" spans="1:20" s="620" customFormat="1" ht="19.5" hidden="1" customHeight="1">
      <c r="A65" s="615"/>
      <c r="B65" s="604"/>
      <c r="C65" s="1002"/>
      <c r="D65" s="617"/>
      <c r="E65" s="625"/>
      <c r="F65" s="1002"/>
      <c r="G65" s="617"/>
      <c r="H65" s="625"/>
      <c r="I65" s="628"/>
      <c r="J65" s="619"/>
    </row>
    <row r="66" spans="1:20" s="620" customFormat="1" ht="19.5" hidden="1" customHeight="1">
      <c r="A66" s="615"/>
      <c r="B66" s="604"/>
      <c r="C66" s="1002"/>
      <c r="D66" s="617"/>
      <c r="E66" s="625"/>
      <c r="F66" s="1002"/>
      <c r="G66" s="617"/>
      <c r="H66" s="625"/>
      <c r="I66" s="628"/>
      <c r="J66" s="619"/>
    </row>
    <row r="67" spans="1:20" s="620" customFormat="1" ht="19.5" hidden="1" customHeight="1">
      <c r="A67" s="615"/>
      <c r="B67" s="604"/>
      <c r="C67" s="1002"/>
      <c r="D67" s="617"/>
      <c r="E67" s="625"/>
      <c r="F67" s="1002"/>
      <c r="G67" s="617"/>
      <c r="H67" s="625"/>
      <c r="I67" s="628"/>
      <c r="J67" s="619"/>
    </row>
    <row r="68" spans="1:20" s="620" customFormat="1" ht="19.5" hidden="1" customHeight="1">
      <c r="A68" s="615"/>
      <c r="B68" s="604"/>
      <c r="C68" s="1002"/>
      <c r="D68" s="617"/>
      <c r="E68" s="625"/>
      <c r="F68" s="1002"/>
      <c r="G68" s="617"/>
      <c r="H68" s="625"/>
      <c r="I68" s="628"/>
      <c r="J68" s="619"/>
    </row>
    <row r="69" spans="1:20" s="620" customFormat="1" ht="19.5" hidden="1" customHeight="1">
      <c r="A69" s="615"/>
      <c r="B69" s="604"/>
      <c r="C69" s="1002"/>
      <c r="D69" s="617"/>
      <c r="E69" s="625"/>
      <c r="F69" s="1002"/>
      <c r="G69" s="617"/>
      <c r="H69" s="625"/>
      <c r="I69" s="628"/>
      <c r="J69" s="619"/>
    </row>
    <row r="70" spans="1:20" s="620" customFormat="1" ht="19.5" hidden="1" customHeight="1">
      <c r="A70" s="615"/>
      <c r="B70" s="604"/>
      <c r="C70" s="1002"/>
      <c r="D70" s="617"/>
      <c r="E70" s="625"/>
      <c r="F70" s="1002"/>
      <c r="G70" s="617"/>
      <c r="H70" s="625"/>
      <c r="I70" s="628"/>
      <c r="J70" s="619"/>
    </row>
    <row r="71" spans="1:20" s="620" customFormat="1" ht="19.5" hidden="1" customHeight="1">
      <c r="A71" s="615"/>
      <c r="B71" s="604"/>
      <c r="C71" s="1002"/>
      <c r="D71" s="617"/>
      <c r="E71" s="625"/>
      <c r="F71" s="1002"/>
      <c r="G71" s="617"/>
      <c r="H71" s="625"/>
      <c r="I71" s="628"/>
      <c r="J71" s="619"/>
    </row>
    <row r="72" spans="1:20" s="620" customFormat="1" ht="19.5" hidden="1" customHeight="1">
      <c r="A72" s="615"/>
      <c r="B72" s="604"/>
      <c r="C72" s="1002"/>
      <c r="D72" s="617"/>
      <c r="E72" s="625"/>
      <c r="F72" s="1002"/>
      <c r="G72" s="617"/>
      <c r="H72" s="625"/>
      <c r="I72" s="628"/>
      <c r="J72" s="619"/>
    </row>
    <row r="73" spans="1:20" s="620" customFormat="1" ht="19.5" hidden="1" customHeight="1">
      <c r="A73" s="615"/>
      <c r="B73" s="604"/>
      <c r="C73" s="1002"/>
      <c r="D73" s="617"/>
      <c r="E73" s="625"/>
      <c r="F73" s="1002"/>
      <c r="G73" s="617"/>
      <c r="H73" s="625"/>
      <c r="I73" s="628"/>
      <c r="J73" s="619"/>
    </row>
    <row r="74" spans="1:20" s="620" customFormat="1" ht="19.5" hidden="1" customHeight="1">
      <c r="A74" s="615"/>
      <c r="B74" s="604"/>
      <c r="C74" s="1002"/>
      <c r="D74" s="617"/>
      <c r="E74" s="625"/>
      <c r="F74" s="1002"/>
      <c r="G74" s="617"/>
      <c r="H74" s="625"/>
      <c r="I74" s="628"/>
      <c r="J74" s="619"/>
    </row>
    <row r="75" spans="1:20">
      <c r="A75" s="622" t="s">
        <v>419</v>
      </c>
      <c r="B75" s="624"/>
      <c r="C75" s="616"/>
      <c r="D75" s="621"/>
      <c r="E75" s="627">
        <f>SUM(E36:E74)</f>
        <v>432350.04</v>
      </c>
      <c r="F75" s="629"/>
      <c r="G75" s="629"/>
      <c r="H75" s="627">
        <f>SUM(H36:H74)</f>
        <v>467774.38</v>
      </c>
      <c r="I75" s="614"/>
      <c r="J75" s="85"/>
    </row>
    <row r="76" spans="1:20" ht="36" customHeight="1">
      <c r="A76" s="1239" t="s">
        <v>1607</v>
      </c>
      <c r="B76" s="630"/>
      <c r="C76" s="631"/>
      <c r="D76" s="632"/>
      <c r="E76" s="633"/>
      <c r="F76" s="80"/>
      <c r="G76" s="80"/>
      <c r="H76" s="633"/>
      <c r="I76" s="614"/>
      <c r="J76" s="85"/>
    </row>
    <row r="77" spans="1:20" s="172" customFormat="1">
      <c r="A77" s="551" t="s">
        <v>1722</v>
      </c>
      <c r="J77" s="1005">
        <f>H26/1.18/9*12/1000</f>
        <v>767.54337853107359</v>
      </c>
    </row>
    <row r="78" spans="1:20">
      <c r="A78" s="80" t="s">
        <v>1615</v>
      </c>
      <c r="B78" s="80"/>
      <c r="C78" s="80"/>
      <c r="D78" s="38"/>
      <c r="E78" s="869"/>
      <c r="F78" s="869"/>
      <c r="G78" s="869"/>
      <c r="H78" s="869"/>
      <c r="I78" s="869"/>
      <c r="J78" s="870"/>
      <c r="K78" s="869"/>
      <c r="L78" s="869"/>
      <c r="M78" s="869"/>
      <c r="N78" s="869"/>
      <c r="S78" s="145"/>
      <c r="T78" s="635"/>
    </row>
    <row r="79" spans="1:20">
      <c r="A79" s="80"/>
      <c r="B79" s="1241" t="s">
        <v>1608</v>
      </c>
      <c r="D79" s="328" t="s">
        <v>1429</v>
      </c>
      <c r="E79" s="949" t="s">
        <v>1302</v>
      </c>
      <c r="F79" s="80"/>
      <c r="G79" s="80"/>
      <c r="H79" s="38"/>
      <c r="I79" s="26"/>
      <c r="J79" s="870"/>
      <c r="K79" s="869"/>
      <c r="L79" s="38"/>
      <c r="M79" s="869"/>
      <c r="N79" s="869"/>
      <c r="P79" s="145"/>
      <c r="S79" s="146"/>
      <c r="T79" s="635"/>
    </row>
    <row r="80" spans="1:20">
      <c r="C80" s="99" t="s">
        <v>1610</v>
      </c>
      <c r="D80" s="26">
        <f>SUM(D82:D83)</f>
        <v>588.05799999999999</v>
      </c>
      <c r="E80" s="1007">
        <f>D80/$D$85*100</f>
        <v>22.232329120949331</v>
      </c>
      <c r="F80" s="99"/>
      <c r="I80" s="26"/>
      <c r="J80" s="276">
        <f>'П1.30 - 07.06.11г.'!C76</f>
        <v>6486.5829999999987</v>
      </c>
      <c r="K80" s="10"/>
      <c r="L80" s="10"/>
      <c r="M80" s="10"/>
      <c r="N80" s="10"/>
      <c r="S80" s="947" t="e">
        <f>D83/$D$24*100</f>
        <v>#DIV/0!</v>
      </c>
      <c r="T80" s="635"/>
    </row>
    <row r="81" spans="1:20">
      <c r="B81" s="106"/>
      <c r="C81" s="106" t="s">
        <v>1611</v>
      </c>
      <c r="D81" s="106"/>
      <c r="F81" s="99"/>
      <c r="I81" s="26"/>
      <c r="J81" s="276"/>
      <c r="K81" s="10"/>
      <c r="L81" s="10"/>
      <c r="M81" s="10"/>
      <c r="N81" s="10"/>
      <c r="S81" s="947"/>
      <c r="T81" s="635"/>
    </row>
    <row r="82" spans="1:20">
      <c r="B82" s="106"/>
      <c r="C82" s="655" t="s">
        <v>1609</v>
      </c>
      <c r="D82" s="106">
        <f>'П1.30 - 07.06.11г.'!$C$28</f>
        <v>531.55799999999999</v>
      </c>
      <c r="F82" s="99"/>
      <c r="I82" s="26"/>
      <c r="J82" s="276"/>
      <c r="K82" s="10"/>
      <c r="L82" s="10"/>
      <c r="M82" s="10"/>
      <c r="N82" s="10"/>
      <c r="S82" s="947"/>
      <c r="T82" s="635"/>
    </row>
    <row r="83" spans="1:20">
      <c r="B83" s="655"/>
      <c r="C83" s="655" t="s">
        <v>1612</v>
      </c>
      <c r="D83" s="948">
        <f>16.5+40</f>
        <v>56.5</v>
      </c>
      <c r="F83" s="99"/>
      <c r="I83" s="26"/>
      <c r="J83" s="276"/>
      <c r="K83" s="10"/>
      <c r="L83" s="10"/>
      <c r="M83" s="10"/>
      <c r="N83" s="10"/>
      <c r="S83" s="947"/>
      <c r="T83" s="635"/>
    </row>
    <row r="84" spans="1:20">
      <c r="B84" s="99" t="s">
        <v>1431</v>
      </c>
      <c r="D84" s="715">
        <f>'2012 Баланс  '!D10+'2012 Баланс  '!E10+'2012 Баланс  '!F10</f>
        <v>2057</v>
      </c>
      <c r="E84" s="1007">
        <f>D84/$D$85*100</f>
        <v>77.767670879050669</v>
      </c>
      <c r="I84" s="26">
        <f>825+807</f>
        <v>1632</v>
      </c>
      <c r="J84" s="276">
        <f>'2012 Баланс  '!C69</f>
        <v>0</v>
      </c>
      <c r="K84" s="10"/>
      <c r="L84" s="10"/>
      <c r="M84" s="10"/>
      <c r="N84" s="10"/>
      <c r="S84" s="947" t="e">
        <f>D84/$D$24*100</f>
        <v>#DIV/0!</v>
      </c>
      <c r="T84" s="635"/>
    </row>
    <row r="85" spans="1:20">
      <c r="B85" s="99" t="s">
        <v>419</v>
      </c>
      <c r="D85" s="715">
        <f>D80+D84</f>
        <v>2645.058</v>
      </c>
      <c r="E85" s="1008">
        <f>SUM(E80:E84)</f>
        <v>100</v>
      </c>
      <c r="I85" s="26"/>
      <c r="J85" s="276">
        <f>SUM(J80:J84)</f>
        <v>6486.5829999999987</v>
      </c>
      <c r="K85" s="10"/>
      <c r="L85" s="10"/>
      <c r="M85" s="10"/>
      <c r="N85" s="10"/>
      <c r="S85" s="947" t="e">
        <f>D85/$D$24*100</f>
        <v>#DIV/0!</v>
      </c>
      <c r="T85" s="635"/>
    </row>
    <row r="86" spans="1:20" s="172" customFormat="1">
      <c r="A86" s="551" t="s">
        <v>1613</v>
      </c>
      <c r="J86" s="1005">
        <f>H27/1.18/9*12/1000</f>
        <v>0</v>
      </c>
    </row>
    <row r="87" spans="1:20" s="172" customFormat="1">
      <c r="A87" s="172" t="s">
        <v>1614</v>
      </c>
      <c r="E87" s="1004" t="s">
        <v>1716</v>
      </c>
      <c r="F87" s="873">
        <f>$E$75/1000/1.18*1.079*$E$80/100</f>
        <v>87.894136501099325</v>
      </c>
      <c r="G87" s="186" t="s">
        <v>1422</v>
      </c>
      <c r="J87" s="1005"/>
    </row>
    <row r="88" spans="1:20" s="172" customFormat="1" ht="18">
      <c r="A88" s="172" t="s">
        <v>1616</v>
      </c>
      <c r="I88" s="250"/>
    </row>
    <row r="89" spans="1:20" s="172" customFormat="1">
      <c r="B89" s="1004" t="s">
        <v>1617</v>
      </c>
      <c r="C89" s="873">
        <f>$F$87*1.06</f>
        <v>93.167784691165295</v>
      </c>
      <c r="D89" s="186" t="s">
        <v>1620</v>
      </c>
      <c r="I89" s="250"/>
    </row>
    <row r="90" spans="1:20" s="172" customFormat="1">
      <c r="C90" s="1006"/>
      <c r="I90" s="250"/>
    </row>
    <row r="91" spans="1:20" s="172" customFormat="1">
      <c r="A91" s="186" t="s">
        <v>1618</v>
      </c>
      <c r="I91" s="250"/>
    </row>
    <row r="92" spans="1:20">
      <c r="A92" s="26" t="s">
        <v>1619</v>
      </c>
    </row>
    <row r="93" spans="1:20">
      <c r="B93" s="1247"/>
      <c r="C93" s="1247"/>
      <c r="D93" s="1248" t="s">
        <v>1623</v>
      </c>
      <c r="E93" s="1249">
        <f>D29+F87</f>
        <v>709.02861557737049</v>
      </c>
      <c r="F93" s="1250" t="s">
        <v>238</v>
      </c>
    </row>
    <row r="94" spans="1:20">
      <c r="B94" s="1247"/>
      <c r="C94" s="1247"/>
      <c r="D94" s="1268" t="s">
        <v>1659</v>
      </c>
      <c r="E94" s="1249">
        <f>C31+C89</f>
        <v>763.3718876144618</v>
      </c>
      <c r="F94" s="1250" t="s">
        <v>238</v>
      </c>
    </row>
    <row r="95" spans="1:20">
      <c r="A95" s="98" t="s">
        <v>614</v>
      </c>
    </row>
    <row r="96" spans="1:20">
      <c r="A96" s="98" t="s">
        <v>627</v>
      </c>
    </row>
  </sheetData>
  <mergeCells count="14">
    <mergeCell ref="B49:B50"/>
    <mergeCell ref="B51:B54"/>
    <mergeCell ref="B6:B21"/>
    <mergeCell ref="C6:C8"/>
    <mergeCell ref="C9:C14"/>
    <mergeCell ref="C15:C17"/>
    <mergeCell ref="C18:C20"/>
    <mergeCell ref="B36:B48"/>
    <mergeCell ref="F40:F41"/>
    <mergeCell ref="G40:G41"/>
    <mergeCell ref="H40:H41"/>
    <mergeCell ref="F49:F50"/>
    <mergeCell ref="G49:G50"/>
    <mergeCell ref="H49:H50"/>
  </mergeCells>
  <printOptions horizontalCentered="1"/>
  <pageMargins left="0.78740157480314965" right="0.59055118110236227" top="0.78740157480314965" bottom="0.11811023622047245" header="0.51181102362204722" footer="3.937007874015748E-2"/>
  <pageSetup paperSize="9" scale="81" orientation="portrait" r:id="rId1"/>
  <headerFooter alignWithMargins="0">
    <oddFooter>&amp;R&amp;P</oddFooter>
  </headerFooter>
  <rowBreaks count="1" manualBreakCount="1">
    <brk id="32" max="16383" man="1"/>
  </rowBreaks>
  <colBreaks count="1" manualBreakCount="1">
    <brk id="8" max="1048575" man="1"/>
  </colBreaks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7">
    <tabColor rgb="FFFFC000"/>
  </sheetPr>
  <dimension ref="A1:K48"/>
  <sheetViews>
    <sheetView workbookViewId="0">
      <pane ySplit="3" topLeftCell="A4" activePane="bottomLeft" state="frozenSplit"/>
      <selection activeCell="K8" sqref="K8"/>
      <selection pane="bottomLeft" activeCell="K8" sqref="K8"/>
    </sheetView>
  </sheetViews>
  <sheetFormatPr defaultColWidth="9.109375" defaultRowHeight="15.6"/>
  <cols>
    <col min="1" max="1" width="3.33203125" style="26" customWidth="1"/>
    <col min="2" max="2" width="23.88671875" style="26" customWidth="1"/>
    <col min="3" max="3" width="8.88671875" style="26" customWidth="1"/>
    <col min="4" max="4" width="16.5546875" style="26" customWidth="1"/>
    <col min="5" max="5" width="14" style="26" customWidth="1"/>
    <col min="6" max="6" width="9.6640625" style="26" customWidth="1"/>
    <col min="7" max="7" width="16.88671875" style="26" customWidth="1"/>
    <col min="8" max="8" width="16" style="26" customWidth="1"/>
    <col min="9" max="9" width="19.109375" style="207" customWidth="1"/>
    <col min="10" max="10" width="15.44140625" style="26" customWidth="1"/>
    <col min="11" max="11" width="11.33203125" style="26" bestFit="1" customWidth="1"/>
    <col min="12" max="16384" width="9.109375" style="26"/>
  </cols>
  <sheetData>
    <row r="1" spans="1:11" ht="47.4">
      <c r="A1" s="608" t="s">
        <v>1655</v>
      </c>
      <c r="B1" s="89"/>
      <c r="C1" s="89"/>
      <c r="D1" s="89"/>
      <c r="E1" s="89"/>
      <c r="F1" s="89"/>
      <c r="G1" s="89"/>
      <c r="H1" s="89"/>
      <c r="I1" s="609"/>
      <c r="J1" s="76"/>
    </row>
    <row r="2" spans="1:11" ht="18">
      <c r="A2" s="83"/>
      <c r="B2" s="83"/>
      <c r="C2" s="83"/>
      <c r="D2" s="83"/>
      <c r="E2" s="610"/>
      <c r="F2" s="83"/>
      <c r="G2" s="875" t="s">
        <v>1401</v>
      </c>
      <c r="H2" s="610"/>
      <c r="I2" s="611"/>
      <c r="J2" s="76"/>
    </row>
    <row r="3" spans="1:11" ht="44.4">
      <c r="A3" s="82" t="s">
        <v>616</v>
      </c>
      <c r="B3" s="612" t="s">
        <v>1148</v>
      </c>
      <c r="C3" s="612" t="s">
        <v>1149</v>
      </c>
      <c r="D3" s="612" t="s">
        <v>1150</v>
      </c>
      <c r="E3" s="613" t="s">
        <v>1151</v>
      </c>
      <c r="F3" s="612" t="s">
        <v>1149</v>
      </c>
      <c r="G3" s="612" t="s">
        <v>638</v>
      </c>
      <c r="H3" s="613" t="s">
        <v>1152</v>
      </c>
      <c r="I3" s="614"/>
      <c r="J3" s="85"/>
    </row>
    <row r="4" spans="1:11">
      <c r="A4" s="1232" t="s">
        <v>1546</v>
      </c>
      <c r="B4" s="1233"/>
      <c r="C4" s="1233"/>
      <c r="D4" s="1233"/>
      <c r="E4" s="1233"/>
      <c r="F4" s="1233"/>
      <c r="G4" s="1233"/>
      <c r="H4" s="1234"/>
      <c r="I4" s="614"/>
      <c r="J4" s="85"/>
    </row>
    <row r="5" spans="1:11">
      <c r="A5" s="1229" t="s">
        <v>1654</v>
      </c>
      <c r="B5" s="1230"/>
      <c r="C5" s="1230"/>
      <c r="D5" s="1230"/>
      <c r="E5" s="1230"/>
      <c r="F5" s="1230"/>
      <c r="G5" s="1230"/>
      <c r="H5" s="1231"/>
      <c r="I5" s="614"/>
      <c r="J5" s="85"/>
    </row>
    <row r="6" spans="1:11" s="620" customFormat="1" ht="19.5" customHeight="1">
      <c r="A6" s="615" t="s">
        <v>200</v>
      </c>
      <c r="B6" s="1264" t="s">
        <v>1649</v>
      </c>
      <c r="C6" s="1002"/>
      <c r="D6" s="617"/>
      <c r="E6" s="625"/>
      <c r="F6" s="1002" t="s">
        <v>1651</v>
      </c>
      <c r="G6" s="617">
        <v>256</v>
      </c>
      <c r="H6" s="625">
        <v>5952</v>
      </c>
      <c r="I6" s="628"/>
      <c r="J6" s="628"/>
      <c r="K6" s="628"/>
    </row>
    <row r="7" spans="1:11" s="620" customFormat="1" ht="19.5" customHeight="1">
      <c r="A7" s="615" t="s">
        <v>207</v>
      </c>
      <c r="B7" s="4097" t="s">
        <v>1547</v>
      </c>
      <c r="C7" s="1002" t="s">
        <v>1647</v>
      </c>
      <c r="D7" s="617" t="s">
        <v>1648</v>
      </c>
      <c r="E7" s="625">
        <v>5697</v>
      </c>
      <c r="F7" s="1002" t="s">
        <v>1657</v>
      </c>
      <c r="G7" s="617">
        <v>112</v>
      </c>
      <c r="H7" s="625">
        <v>2490</v>
      </c>
      <c r="I7" s="628"/>
      <c r="J7" s="619"/>
    </row>
    <row r="8" spans="1:11" s="620" customFormat="1" ht="19.5" customHeight="1">
      <c r="A8" s="623" t="s">
        <v>208</v>
      </c>
      <c r="B8" s="4098"/>
      <c r="C8" s="1002"/>
      <c r="D8" s="617"/>
      <c r="E8" s="625"/>
      <c r="F8" s="1002" t="s">
        <v>1658</v>
      </c>
      <c r="G8" s="617">
        <v>235</v>
      </c>
      <c r="H8" s="625">
        <v>5658.1</v>
      </c>
      <c r="I8" s="628"/>
      <c r="J8" s="628"/>
      <c r="K8" s="628"/>
    </row>
    <row r="9" spans="1:11" s="620" customFormat="1" ht="20.25" customHeight="1">
      <c r="A9" s="615" t="s">
        <v>210</v>
      </c>
      <c r="B9" s="4099"/>
      <c r="C9" s="1002"/>
      <c r="D9" s="617"/>
      <c r="E9" s="625"/>
      <c r="F9" s="1002" t="s">
        <v>1652</v>
      </c>
      <c r="G9" s="617">
        <v>262</v>
      </c>
      <c r="H9" s="625">
        <v>5522.4</v>
      </c>
      <c r="I9" s="618"/>
      <c r="J9" s="619"/>
    </row>
    <row r="10" spans="1:11" s="620" customFormat="1" ht="20.25" customHeight="1">
      <c r="A10" s="623" t="s">
        <v>212</v>
      </c>
      <c r="B10" s="4099"/>
      <c r="C10" s="1002"/>
      <c r="D10" s="617"/>
      <c r="E10" s="625"/>
      <c r="F10" s="1002" t="s">
        <v>1653</v>
      </c>
      <c r="G10" s="617">
        <v>287</v>
      </c>
      <c r="H10" s="625">
        <v>8968</v>
      </c>
      <c r="I10" s="628"/>
      <c r="J10" s="619"/>
    </row>
    <row r="11" spans="1:11" s="620" customFormat="1" ht="20.25" customHeight="1">
      <c r="A11" s="623" t="s">
        <v>215</v>
      </c>
      <c r="B11" s="4099"/>
      <c r="C11" s="1002"/>
      <c r="D11" s="617"/>
      <c r="E11" s="625"/>
      <c r="F11" s="1002" t="s">
        <v>1656</v>
      </c>
      <c r="G11" s="617">
        <v>302</v>
      </c>
      <c r="H11" s="625">
        <v>18874.099999999999</v>
      </c>
      <c r="I11" s="618"/>
      <c r="J11" s="619"/>
    </row>
    <row r="12" spans="1:11" s="620" customFormat="1" ht="20.25" hidden="1" customHeight="1">
      <c r="A12" s="623" t="s">
        <v>218</v>
      </c>
      <c r="B12" s="4099"/>
      <c r="C12" s="1002"/>
      <c r="D12" s="617"/>
      <c r="E12" s="625"/>
      <c r="F12" s="1002"/>
      <c r="G12" s="617"/>
      <c r="H12" s="625"/>
      <c r="I12" s="628"/>
      <c r="J12" s="628"/>
      <c r="K12" s="628"/>
    </row>
    <row r="13" spans="1:11" s="620" customFormat="1" ht="20.25" hidden="1" customHeight="1">
      <c r="A13" s="623" t="s">
        <v>226</v>
      </c>
      <c r="B13" s="4099"/>
      <c r="C13" s="1235"/>
      <c r="D13" s="1236"/>
      <c r="E13" s="1237"/>
      <c r="F13" s="1002"/>
      <c r="G13" s="617"/>
      <c r="H13" s="625"/>
      <c r="J13" s="628"/>
      <c r="K13" s="628"/>
    </row>
    <row r="14" spans="1:11" s="620" customFormat="1" ht="20.25" hidden="1" customHeight="1">
      <c r="A14" s="623" t="s">
        <v>551</v>
      </c>
      <c r="B14" s="4099"/>
      <c r="C14" s="1002"/>
      <c r="D14" s="617"/>
      <c r="E14" s="625"/>
      <c r="F14" s="1002"/>
      <c r="G14" s="617"/>
      <c r="H14" s="625"/>
      <c r="I14" s="628"/>
      <c r="J14" s="618"/>
    </row>
    <row r="15" spans="1:11" s="620" customFormat="1" ht="20.25" hidden="1" customHeight="1">
      <c r="A15" s="623" t="s">
        <v>552</v>
      </c>
      <c r="B15" s="4099"/>
      <c r="C15" s="1002"/>
      <c r="D15" s="617"/>
      <c r="E15" s="625"/>
      <c r="F15" s="1002"/>
      <c r="G15" s="617"/>
      <c r="H15" s="625"/>
      <c r="I15" s="628"/>
      <c r="J15" s="628"/>
      <c r="K15" s="628"/>
    </row>
    <row r="16" spans="1:11" s="620" customFormat="1" ht="20.25" hidden="1" customHeight="1">
      <c r="A16" s="615" t="s">
        <v>550</v>
      </c>
      <c r="B16" s="4099"/>
      <c r="C16" s="1002"/>
      <c r="D16" s="617"/>
      <c r="E16" s="625"/>
      <c r="F16" s="1002"/>
      <c r="G16" s="617"/>
      <c r="H16" s="625"/>
      <c r="I16" s="628"/>
      <c r="J16" s="628"/>
      <c r="K16" s="628"/>
    </row>
    <row r="17" spans="1:11" s="620" customFormat="1" ht="20.25" hidden="1" customHeight="1">
      <c r="A17" s="615" t="s">
        <v>553</v>
      </c>
      <c r="B17" s="4099"/>
      <c r="C17" s="1002"/>
      <c r="D17" s="617"/>
      <c r="E17" s="625"/>
      <c r="F17" s="1002"/>
      <c r="G17" s="617"/>
      <c r="H17" s="625"/>
      <c r="I17" s="628"/>
      <c r="J17" s="628"/>
    </row>
    <row r="18" spans="1:11" s="620" customFormat="1" ht="20.25" hidden="1" customHeight="1">
      <c r="A18" s="615" t="s">
        <v>778</v>
      </c>
      <c r="B18" s="4099"/>
      <c r="C18" s="1002"/>
      <c r="D18" s="617"/>
      <c r="E18" s="625"/>
      <c r="F18" s="1002"/>
      <c r="G18" s="617"/>
      <c r="H18" s="625"/>
      <c r="I18" s="628"/>
      <c r="J18" s="628"/>
      <c r="K18" s="628"/>
    </row>
    <row r="19" spans="1:11" s="620" customFormat="1" ht="19.5" hidden="1" customHeight="1">
      <c r="A19" s="615" t="s">
        <v>1578</v>
      </c>
      <c r="B19" s="4100"/>
      <c r="C19" s="1002"/>
      <c r="D19" s="617"/>
      <c r="E19" s="625"/>
      <c r="F19" s="1002"/>
      <c r="G19" s="617"/>
      <c r="H19" s="625"/>
      <c r="I19" s="628"/>
      <c r="J19" s="619"/>
    </row>
    <row r="20" spans="1:11" s="620" customFormat="1" ht="19.5" hidden="1" customHeight="1">
      <c r="A20" s="615" t="s">
        <v>1579</v>
      </c>
      <c r="B20" s="4083" t="s">
        <v>1547</v>
      </c>
      <c r="C20" s="1002"/>
      <c r="D20" s="617"/>
      <c r="E20" s="625"/>
      <c r="F20" s="1002"/>
      <c r="G20" s="617"/>
      <c r="H20" s="625"/>
      <c r="I20" s="628"/>
      <c r="J20" s="619"/>
    </row>
    <row r="21" spans="1:11" s="620" customFormat="1" ht="19.5" hidden="1" customHeight="1">
      <c r="A21" s="615" t="s">
        <v>1580</v>
      </c>
      <c r="B21" s="4091"/>
      <c r="C21" s="1002"/>
      <c r="D21" s="617"/>
      <c r="E21" s="625"/>
      <c r="F21" s="1002"/>
      <c r="G21" s="617"/>
      <c r="H21" s="625"/>
      <c r="I21" s="628"/>
      <c r="J21" s="619"/>
    </row>
    <row r="22" spans="1:11" s="620" customFormat="1" ht="19.5" hidden="1" customHeight="1">
      <c r="A22" s="615" t="s">
        <v>1581</v>
      </c>
      <c r="B22" s="4091"/>
      <c r="C22" s="1002"/>
      <c r="D22" s="617"/>
      <c r="E22" s="625"/>
      <c r="F22" s="1002"/>
      <c r="G22" s="617"/>
      <c r="H22" s="625"/>
      <c r="I22" s="628"/>
    </row>
    <row r="23" spans="1:11" s="620" customFormat="1" ht="19.5" hidden="1" customHeight="1">
      <c r="A23" s="615" t="s">
        <v>1582</v>
      </c>
      <c r="B23" s="4084"/>
      <c r="C23" s="1002"/>
      <c r="D23" s="617"/>
      <c r="E23" s="625"/>
      <c r="F23" s="1002"/>
      <c r="G23" s="617"/>
      <c r="H23" s="625"/>
      <c r="I23" s="628"/>
      <c r="J23" s="628"/>
      <c r="K23" s="628"/>
    </row>
    <row r="24" spans="1:11" s="620" customFormat="1" ht="19.5" hidden="1" customHeight="1">
      <c r="A24" s="615" t="s">
        <v>1583</v>
      </c>
      <c r="B24" s="1003" t="s">
        <v>1571</v>
      </c>
      <c r="C24" s="1002"/>
      <c r="D24" s="617"/>
      <c r="E24" s="625"/>
      <c r="F24" s="1002"/>
      <c r="G24" s="617"/>
      <c r="H24" s="625"/>
      <c r="I24" s="628"/>
      <c r="J24" s="619"/>
    </row>
    <row r="25" spans="1:11" s="620" customFormat="1" ht="19.5" hidden="1" customHeight="1">
      <c r="A25" s="615" t="s">
        <v>1584</v>
      </c>
      <c r="B25" s="1003" t="s">
        <v>1547</v>
      </c>
      <c r="C25" s="1235"/>
      <c r="D25" s="1236"/>
      <c r="E25" s="1237"/>
      <c r="F25" s="1002"/>
      <c r="G25" s="617"/>
      <c r="H25" s="625"/>
      <c r="I25" s="628"/>
      <c r="J25" s="619"/>
    </row>
    <row r="26" spans="1:11" s="620" customFormat="1" ht="19.5" hidden="1" customHeight="1">
      <c r="A26" s="615" t="s">
        <v>1585</v>
      </c>
      <c r="B26" s="1003"/>
      <c r="C26" s="1002"/>
      <c r="D26" s="617"/>
      <c r="E26" s="625"/>
      <c r="F26" s="1002"/>
      <c r="G26" s="617"/>
      <c r="H26" s="625"/>
      <c r="I26" s="628"/>
      <c r="J26" s="619"/>
    </row>
    <row r="27" spans="1:11" s="620" customFormat="1" ht="19.5" hidden="1" customHeight="1">
      <c r="A27" s="615" t="s">
        <v>1586</v>
      </c>
      <c r="B27" s="1003"/>
      <c r="C27" s="1002"/>
      <c r="D27" s="617"/>
      <c r="E27" s="625"/>
      <c r="F27" s="1002"/>
      <c r="G27" s="617"/>
      <c r="H27" s="625"/>
      <c r="I27" s="628"/>
      <c r="J27" s="619"/>
    </row>
    <row r="28" spans="1:11" s="620" customFormat="1" ht="19.5" hidden="1" customHeight="1">
      <c r="A28" s="615" t="s">
        <v>1587</v>
      </c>
      <c r="B28" s="1003"/>
      <c r="C28" s="1002"/>
      <c r="D28" s="617"/>
      <c r="E28" s="625"/>
      <c r="F28" s="1002"/>
      <c r="G28" s="617"/>
      <c r="H28" s="625"/>
      <c r="I28" s="628"/>
      <c r="J28" s="628"/>
    </row>
    <row r="29" spans="1:11" s="620" customFormat="1" ht="19.5" hidden="1" customHeight="1">
      <c r="A29" s="615" t="s">
        <v>1588</v>
      </c>
      <c r="B29" s="1003"/>
      <c r="C29" s="1002"/>
      <c r="D29" s="617"/>
      <c r="E29" s="625"/>
      <c r="F29" s="1002"/>
      <c r="G29" s="617"/>
      <c r="H29" s="625"/>
      <c r="I29" s="628"/>
      <c r="J29" s="619"/>
    </row>
    <row r="30" spans="1:11" s="620" customFormat="1" ht="19.5" hidden="1" customHeight="1">
      <c r="A30" s="615" t="s">
        <v>1604</v>
      </c>
      <c r="B30" s="1003"/>
      <c r="C30" s="1002"/>
      <c r="D30" s="617"/>
      <c r="E30" s="625"/>
      <c r="F30" s="1002"/>
      <c r="G30" s="617"/>
      <c r="H30" s="625"/>
      <c r="I30" s="628"/>
      <c r="J30" s="619"/>
    </row>
    <row r="31" spans="1:11" s="620" customFormat="1" ht="21" hidden="1" customHeight="1">
      <c r="A31" s="615" t="s">
        <v>1650</v>
      </c>
      <c r="B31" s="1003"/>
      <c r="C31" s="1002"/>
      <c r="D31" s="617"/>
      <c r="E31" s="625"/>
      <c r="F31" s="1002"/>
      <c r="G31" s="617"/>
      <c r="H31" s="625"/>
      <c r="I31" s="628"/>
      <c r="J31" s="619"/>
    </row>
    <row r="32" spans="1:11" s="620" customFormat="1" ht="19.5" hidden="1" customHeight="1">
      <c r="A32" s="615"/>
      <c r="B32" s="604"/>
      <c r="C32" s="1002"/>
      <c r="D32" s="617"/>
      <c r="E32" s="625"/>
      <c r="F32" s="1002"/>
      <c r="G32" s="617"/>
      <c r="H32" s="625"/>
      <c r="I32" s="628"/>
      <c r="J32" s="619"/>
    </row>
    <row r="33" spans="1:10" s="620" customFormat="1" ht="19.5" hidden="1" customHeight="1">
      <c r="A33" s="615"/>
      <c r="B33" s="604"/>
      <c r="C33" s="1002"/>
      <c r="D33" s="617"/>
      <c r="E33" s="625"/>
      <c r="F33" s="1002"/>
      <c r="G33" s="617"/>
      <c r="H33" s="625"/>
      <c r="I33" s="628"/>
      <c r="J33" s="619"/>
    </row>
    <row r="34" spans="1:10" s="620" customFormat="1" ht="19.5" hidden="1" customHeight="1">
      <c r="A34" s="615"/>
      <c r="B34" s="604"/>
      <c r="C34" s="1002"/>
      <c r="D34" s="617"/>
      <c r="E34" s="625"/>
      <c r="F34" s="1002"/>
      <c r="G34" s="617"/>
      <c r="H34" s="625"/>
      <c r="I34" s="628"/>
      <c r="J34" s="619"/>
    </row>
    <row r="35" spans="1:10" s="620" customFormat="1" ht="19.5" hidden="1" customHeight="1">
      <c r="A35" s="615"/>
      <c r="B35" s="604"/>
      <c r="C35" s="1002"/>
      <c r="D35" s="617"/>
      <c r="E35" s="625"/>
      <c r="F35" s="1002"/>
      <c r="G35" s="617"/>
      <c r="H35" s="625"/>
      <c r="I35" s="628"/>
      <c r="J35" s="619"/>
    </row>
    <row r="36" spans="1:10" s="620" customFormat="1" ht="19.5" hidden="1" customHeight="1">
      <c r="A36" s="615"/>
      <c r="B36" s="604"/>
      <c r="C36" s="1002"/>
      <c r="D36" s="617"/>
      <c r="E36" s="625"/>
      <c r="F36" s="1002"/>
      <c r="G36" s="617"/>
      <c r="H36" s="625"/>
      <c r="I36" s="628"/>
      <c r="J36" s="619"/>
    </row>
    <row r="37" spans="1:10" s="620" customFormat="1" ht="19.5" hidden="1" customHeight="1">
      <c r="A37" s="615"/>
      <c r="B37" s="604"/>
      <c r="C37" s="1002"/>
      <c r="D37" s="617"/>
      <c r="E37" s="625"/>
      <c r="F37" s="1002"/>
      <c r="G37" s="617"/>
      <c r="H37" s="625"/>
      <c r="I37" s="628"/>
      <c r="J37" s="619"/>
    </row>
    <row r="38" spans="1:10" s="620" customFormat="1" ht="19.5" hidden="1" customHeight="1">
      <c r="A38" s="615"/>
      <c r="B38" s="604"/>
      <c r="C38" s="1002"/>
      <c r="D38" s="617"/>
      <c r="E38" s="625"/>
      <c r="F38" s="1002"/>
      <c r="G38" s="617"/>
      <c r="H38" s="625"/>
      <c r="I38" s="628"/>
      <c r="J38" s="619"/>
    </row>
    <row r="39" spans="1:10" s="620" customFormat="1" ht="19.5" hidden="1" customHeight="1">
      <c r="A39" s="615"/>
      <c r="B39" s="604"/>
      <c r="C39" s="1002"/>
      <c r="D39" s="617"/>
      <c r="E39" s="625"/>
      <c r="F39" s="1002"/>
      <c r="G39" s="617"/>
      <c r="H39" s="625"/>
      <c r="I39" s="628"/>
      <c r="J39" s="619"/>
    </row>
    <row r="40" spans="1:10" s="620" customFormat="1" ht="19.5" hidden="1" customHeight="1">
      <c r="A40" s="615"/>
      <c r="B40" s="604"/>
      <c r="C40" s="1002"/>
      <c r="D40" s="617"/>
      <c r="E40" s="625"/>
      <c r="F40" s="1002"/>
      <c r="G40" s="617"/>
      <c r="H40" s="625"/>
      <c r="I40" s="628"/>
      <c r="J40" s="619"/>
    </row>
    <row r="41" spans="1:10" s="620" customFormat="1" ht="19.5" hidden="1" customHeight="1">
      <c r="A41" s="615"/>
      <c r="B41" s="604"/>
      <c r="C41" s="1002"/>
      <c r="D41" s="617"/>
      <c r="E41" s="625"/>
      <c r="F41" s="1002"/>
      <c r="G41" s="617"/>
      <c r="H41" s="625"/>
      <c r="I41" s="628"/>
      <c r="J41" s="619"/>
    </row>
    <row r="42" spans="1:10" s="620" customFormat="1" ht="19.5" hidden="1" customHeight="1">
      <c r="A42" s="615"/>
      <c r="B42" s="604"/>
      <c r="C42" s="1002"/>
      <c r="D42" s="617"/>
      <c r="E42" s="625"/>
      <c r="F42" s="1002"/>
      <c r="G42" s="617"/>
      <c r="H42" s="625"/>
      <c r="I42" s="628"/>
      <c r="J42" s="619"/>
    </row>
    <row r="43" spans="1:10" s="620" customFormat="1" ht="19.5" hidden="1" customHeight="1">
      <c r="A43" s="615"/>
      <c r="B43" s="604"/>
      <c r="C43" s="1002"/>
      <c r="D43" s="617"/>
      <c r="E43" s="625"/>
      <c r="F43" s="1002"/>
      <c r="G43" s="617"/>
      <c r="H43" s="625"/>
      <c r="I43" s="628"/>
      <c r="J43" s="619"/>
    </row>
    <row r="44" spans="1:10">
      <c r="A44" s="622" t="s">
        <v>419</v>
      </c>
      <c r="B44" s="624"/>
      <c r="C44" s="616"/>
      <c r="D44" s="621"/>
      <c r="E44" s="627">
        <f>SUM(E7:E43)</f>
        <v>5697</v>
      </c>
      <c r="F44" s="629"/>
      <c r="G44" s="629"/>
      <c r="H44" s="627">
        <f>SUM(H7:H43)</f>
        <v>41512.6</v>
      </c>
      <c r="I44" s="614"/>
      <c r="J44" s="85"/>
    </row>
    <row r="45" spans="1:10">
      <c r="A45" s="1266"/>
      <c r="B45" s="630"/>
      <c r="C45" s="631"/>
      <c r="D45" s="632"/>
      <c r="E45" s="633"/>
      <c r="F45" s="80"/>
      <c r="G45" s="80"/>
      <c r="H45" s="633"/>
      <c r="I45" s="614"/>
      <c r="J45" s="85"/>
    </row>
    <row r="46" spans="1:10" ht="16.5" customHeight="1">
      <c r="A46" s="1266"/>
      <c r="B46" s="630"/>
      <c r="C46" s="631"/>
      <c r="D46" s="632"/>
      <c r="E46" s="633"/>
      <c r="F46" s="80"/>
      <c r="G46" s="80"/>
      <c r="H46" s="633"/>
      <c r="I46" s="614"/>
      <c r="J46" s="85"/>
    </row>
    <row r="47" spans="1:10">
      <c r="A47" s="98" t="s">
        <v>614</v>
      </c>
    </row>
    <row r="48" spans="1:10">
      <c r="A48" s="98" t="s">
        <v>627</v>
      </c>
    </row>
  </sheetData>
  <mergeCells count="2">
    <mergeCell ref="B20:B23"/>
    <mergeCell ref="B7:B19"/>
  </mergeCells>
  <printOptions horizontalCentered="1"/>
  <pageMargins left="0.78740157480314965" right="0.59055118110236227" top="0.78740157480314965" bottom="0.11811023622047245" header="0.51181102362204722" footer="3.937007874015748E-2"/>
  <pageSetup paperSize="9" scale="81" orientation="portrait" r:id="rId1"/>
  <headerFooter alignWithMargins="0">
    <oddFooter>&amp;R&amp;P</oddFooter>
  </headerFooter>
  <colBreaks count="1" manualBreakCount="1">
    <brk id="8" max="1048575" man="1"/>
  </colBreaks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8">
    <tabColor rgb="FFCCFF66"/>
  </sheetPr>
  <dimension ref="A1:I28"/>
  <sheetViews>
    <sheetView workbookViewId="0">
      <pane ySplit="5" topLeftCell="A12" activePane="bottomLeft" state="frozenSplit"/>
      <selection activeCell="K8" sqref="K8"/>
      <selection pane="bottomLeft" activeCell="K8" sqref="K8"/>
    </sheetView>
  </sheetViews>
  <sheetFormatPr defaultColWidth="9.109375" defaultRowHeight="15.6"/>
  <cols>
    <col min="1" max="1" width="4.5546875" style="26" customWidth="1"/>
    <col min="2" max="2" width="72.88671875" style="26" customWidth="1"/>
    <col min="3" max="3" width="21.6640625" style="26" customWidth="1"/>
    <col min="4" max="4" width="45.88671875" style="26" customWidth="1"/>
    <col min="5" max="5" width="17" style="26" customWidth="1"/>
    <col min="6" max="16384" width="9.109375" style="26"/>
  </cols>
  <sheetData>
    <row r="1" spans="1:9" ht="18">
      <c r="A1" s="608" t="s">
        <v>1202</v>
      </c>
      <c r="B1" s="89"/>
      <c r="C1" s="89"/>
      <c r="D1" s="89"/>
      <c r="E1" s="89"/>
    </row>
    <row r="2" spans="1:9" ht="25.5" customHeight="1">
      <c r="A2" s="608" t="s">
        <v>1410</v>
      </c>
      <c r="B2" s="89"/>
      <c r="C2" s="89"/>
      <c r="D2" s="89"/>
      <c r="E2" s="89"/>
    </row>
    <row r="3" spans="1:9" ht="18">
      <c r="A3" s="83"/>
      <c r="B3" s="83"/>
      <c r="C3" s="83"/>
      <c r="D3" s="875" t="s">
        <v>1401</v>
      </c>
      <c r="E3" s="175" t="s">
        <v>660</v>
      </c>
    </row>
    <row r="4" spans="1:9" ht="33.75" customHeight="1">
      <c r="A4" s="82" t="s">
        <v>616</v>
      </c>
      <c r="B4" s="81" t="s">
        <v>661</v>
      </c>
      <c r="C4" s="81" t="s">
        <v>614</v>
      </c>
      <c r="D4" s="81" t="s">
        <v>615</v>
      </c>
      <c r="E4" s="134" t="s">
        <v>1407</v>
      </c>
    </row>
    <row r="5" spans="1:9" ht="21" customHeight="1">
      <c r="A5" s="82"/>
      <c r="B5" s="81"/>
      <c r="C5" s="81"/>
      <c r="D5" s="81"/>
      <c r="E5" s="176" t="s">
        <v>238</v>
      </c>
    </row>
    <row r="6" spans="1:9" ht="16.2">
      <c r="A6" s="177" t="s">
        <v>662</v>
      </c>
      <c r="B6" s="178"/>
      <c r="C6" s="178"/>
      <c r="D6" s="179"/>
      <c r="E6" s="179"/>
    </row>
    <row r="7" spans="1:9" s="190" customFormat="1" ht="50.25" hidden="1" customHeight="1">
      <c r="A7" s="4124">
        <v>1</v>
      </c>
      <c r="B7" s="309"/>
      <c r="C7" s="310"/>
      <c r="D7" s="311"/>
      <c r="E7" s="182"/>
      <c r="I7" s="636">
        <f>(71.4+71+40+30)/1.18</f>
        <v>180.00000000000003</v>
      </c>
    </row>
    <row r="8" spans="1:9" s="172" customFormat="1" hidden="1">
      <c r="A8" s="4124"/>
      <c r="B8" s="309"/>
      <c r="C8" s="310"/>
      <c r="D8" s="311"/>
      <c r="E8" s="182"/>
    </row>
    <row r="9" spans="1:9" s="172" customFormat="1" hidden="1">
      <c r="A9" s="4124"/>
      <c r="B9" s="309"/>
      <c r="C9" s="310"/>
      <c r="D9" s="311"/>
      <c r="E9" s="182"/>
      <c r="F9" s="653">
        <f>SUM(E7:E9)</f>
        <v>0</v>
      </c>
    </row>
    <row r="10" spans="1:9" s="172" customFormat="1" ht="40.5" customHeight="1">
      <c r="A10" s="180">
        <v>1</v>
      </c>
      <c r="B10" s="180" t="str">
        <f>'РСЭО 2012г.'!B25</f>
        <v xml:space="preserve"> Ежегодное медицинское освидетельствование электротехнического персонала</v>
      </c>
      <c r="C10" s="181"/>
      <c r="D10" s="308"/>
      <c r="E10" s="182">
        <f>273*1.079-158.9</f>
        <v>135.667</v>
      </c>
    </row>
    <row r="11" spans="1:9" s="172" customFormat="1" ht="51.75" customHeight="1">
      <c r="A11" s="180">
        <v>2</v>
      </c>
      <c r="B11" s="180" t="s">
        <v>1406</v>
      </c>
      <c r="C11" s="181"/>
      <c r="D11" s="308"/>
      <c r="E11" s="182">
        <v>30</v>
      </c>
    </row>
    <row r="12" spans="1:9" s="172" customFormat="1" ht="53.25" customHeight="1">
      <c r="A12" s="180">
        <v>3</v>
      </c>
      <c r="B12" s="180" t="s">
        <v>1718</v>
      </c>
      <c r="C12" s="181" t="s">
        <v>1471</v>
      </c>
      <c r="D12" s="308" t="s">
        <v>2201</v>
      </c>
      <c r="E12" s="182">
        <f>1.7+3.4+1.7</f>
        <v>6.8</v>
      </c>
      <c r="F12" s="172">
        <f>8+5.1+1.7+35.7+1.7</f>
        <v>52.2</v>
      </c>
      <c r="G12" s="172" t="s">
        <v>1472</v>
      </c>
    </row>
    <row r="13" spans="1:9" s="172" customFormat="1" ht="40.5" customHeight="1">
      <c r="A13" s="180">
        <v>4</v>
      </c>
      <c r="B13" s="180" t="s">
        <v>620</v>
      </c>
      <c r="C13" s="181" t="s">
        <v>619</v>
      </c>
      <c r="D13" s="308" t="s">
        <v>1475</v>
      </c>
      <c r="E13" s="182">
        <f>59-9</f>
        <v>50</v>
      </c>
    </row>
    <row r="14" spans="1:9" s="172" customFormat="1" ht="55.5" customHeight="1">
      <c r="A14" s="180">
        <v>5</v>
      </c>
      <c r="B14" s="180" t="s">
        <v>1473</v>
      </c>
      <c r="C14" s="181"/>
      <c r="D14" s="308" t="s">
        <v>1477</v>
      </c>
      <c r="E14" s="182">
        <f>17-2.59321</f>
        <v>14.406790000000001</v>
      </c>
    </row>
    <row r="15" spans="1:9" s="172" customFormat="1" ht="55.5" customHeight="1">
      <c r="A15" s="180">
        <v>6</v>
      </c>
      <c r="B15" s="893" t="s">
        <v>1474</v>
      </c>
      <c r="C15" s="181" t="s">
        <v>619</v>
      </c>
      <c r="D15" s="308" t="s">
        <v>1476</v>
      </c>
      <c r="E15" s="182">
        <f>70-10.67796</f>
        <v>59.322040000000001</v>
      </c>
    </row>
    <row r="16" spans="1:9" s="186" customFormat="1" ht="26.25" customHeight="1">
      <c r="A16" s="184"/>
      <c r="B16" s="184" t="s">
        <v>1157</v>
      </c>
      <c r="C16" s="184"/>
      <c r="D16" s="184"/>
      <c r="E16" s="185">
        <f>SUM(E7:E15)</f>
        <v>296.19583</v>
      </c>
    </row>
    <row r="17" spans="1:5" s="186" customFormat="1" ht="18" customHeight="1">
      <c r="A17" s="184"/>
      <c r="B17" s="651" t="s">
        <v>1199</v>
      </c>
      <c r="C17" s="184"/>
      <c r="D17" s="184"/>
      <c r="E17" s="654">
        <f>SUM(E7:E9)</f>
        <v>0</v>
      </c>
    </row>
    <row r="18" spans="1:5" ht="16.2">
      <c r="A18" s="177" t="s">
        <v>1154</v>
      </c>
      <c r="B18" s="178"/>
      <c r="C18" s="178"/>
      <c r="D18" s="179"/>
      <c r="E18" s="179"/>
    </row>
    <row r="19" spans="1:5" s="172" customFormat="1" ht="57" customHeight="1">
      <c r="A19" s="180">
        <v>4</v>
      </c>
      <c r="B19" s="652" t="s">
        <v>1197</v>
      </c>
      <c r="C19" s="181" t="s">
        <v>1153</v>
      </c>
      <c r="D19" s="308" t="s">
        <v>1156</v>
      </c>
      <c r="E19" s="182">
        <f>'Реестр всп.мат.2010 пром.+ПСХ'!E93</f>
        <v>709.02861557737049</v>
      </c>
    </row>
    <row r="20" spans="1:5" s="186" customFormat="1" ht="26.25" customHeight="1">
      <c r="A20" s="184"/>
      <c r="B20" s="184" t="s">
        <v>1158</v>
      </c>
      <c r="C20" s="184"/>
      <c r="D20" s="184"/>
      <c r="E20" s="185">
        <f>E19</f>
        <v>709.02861557737049</v>
      </c>
    </row>
    <row r="21" spans="1:5" s="186" customFormat="1" ht="26.25" customHeight="1">
      <c r="A21" s="184"/>
      <c r="B21" s="184" t="s">
        <v>640</v>
      </c>
      <c r="C21" s="184"/>
      <c r="D21" s="184"/>
      <c r="E21" s="185">
        <f>E16+E20</f>
        <v>1005.2244455773705</v>
      </c>
    </row>
    <row r="22" spans="1:5" s="172" customFormat="1" ht="11.25" customHeight="1">
      <c r="A22" s="183"/>
      <c r="B22" s="183"/>
      <c r="C22" s="183"/>
      <c r="D22" s="183"/>
      <c r="E22" s="183"/>
    </row>
    <row r="23" spans="1:5" s="187" customFormat="1" ht="13.8">
      <c r="D23" s="188"/>
    </row>
    <row r="24" spans="1:5" s="106" customFormat="1" ht="22.5" customHeight="1">
      <c r="A24" s="106" t="s">
        <v>663</v>
      </c>
      <c r="C24" s="189"/>
      <c r="D24" s="189"/>
      <c r="E24" s="189"/>
    </row>
    <row r="25" spans="1:5" s="106" customFormat="1" ht="22.5" customHeight="1">
      <c r="A25" s="106" t="s">
        <v>1479</v>
      </c>
      <c r="C25" s="189"/>
      <c r="D25" s="189"/>
      <c r="E25" s="189"/>
    </row>
    <row r="26" spans="1:5" s="106" customFormat="1" ht="22.5" customHeight="1">
      <c r="C26" s="189"/>
      <c r="D26" s="189"/>
      <c r="E26" s="189"/>
    </row>
    <row r="27" spans="1:5">
      <c r="A27" s="98" t="s">
        <v>614</v>
      </c>
      <c r="B27" s="80"/>
      <c r="C27" s="80"/>
      <c r="D27" s="80"/>
      <c r="E27" s="80"/>
    </row>
    <row r="28" spans="1:5">
      <c r="A28" s="98" t="s">
        <v>627</v>
      </c>
    </row>
  </sheetData>
  <mergeCells count="1">
    <mergeCell ref="A7:A9"/>
  </mergeCells>
  <phoneticPr fontId="27" type="noConversion"/>
  <printOptions horizontalCentered="1"/>
  <pageMargins left="0.39370078740157483" right="0.39370078740157483" top="0.78740157480314965" bottom="3.937007874015748E-2" header="3.937007874015748E-2" footer="3.937007874015748E-2"/>
  <pageSetup paperSize="9" scale="77" orientation="landscape" r:id="rId1"/>
  <headerFooter alignWithMargins="0"/>
  <colBreaks count="1" manualBreakCount="1">
    <brk id="5" max="1048575" man="1"/>
  </colBreaks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9">
    <tabColor rgb="FFFF0000"/>
  </sheetPr>
  <dimension ref="A1:I64"/>
  <sheetViews>
    <sheetView topLeftCell="A7" workbookViewId="0">
      <selection activeCell="K8" sqref="K8"/>
    </sheetView>
  </sheetViews>
  <sheetFormatPr defaultColWidth="9.109375" defaultRowHeight="15.6"/>
  <cols>
    <col min="1" max="1" width="4.5546875" style="26" customWidth="1"/>
    <col min="2" max="2" width="55.44140625" style="26" customWidth="1"/>
    <col min="3" max="3" width="20.88671875" style="26" hidden="1" customWidth="1"/>
    <col min="4" max="4" width="33.109375" style="26" customWidth="1"/>
    <col min="5" max="5" width="17" style="26" customWidth="1"/>
    <col min="6" max="16384" width="9.109375" style="26"/>
  </cols>
  <sheetData>
    <row r="1" spans="1:9" ht="18">
      <c r="A1" s="608" t="s">
        <v>1155</v>
      </c>
      <c r="B1" s="89"/>
      <c r="C1" s="89"/>
      <c r="D1" s="89"/>
      <c r="E1" s="89"/>
    </row>
    <row r="2" spans="1:9" ht="25.5" customHeight="1">
      <c r="A2" s="608" t="s">
        <v>1478</v>
      </c>
      <c r="B2" s="89"/>
      <c r="C2" s="89"/>
      <c r="D2" s="89"/>
      <c r="E2" s="89"/>
    </row>
    <row r="3" spans="1:9" ht="25.5" customHeight="1">
      <c r="A3" s="608"/>
      <c r="B3" s="89"/>
      <c r="C3" s="89"/>
      <c r="D3" s="89"/>
      <c r="E3" s="89"/>
    </row>
    <row r="4" spans="1:9" ht="25.5" customHeight="1">
      <c r="A4" s="1359" t="s">
        <v>1715</v>
      </c>
      <c r="B4" s="89"/>
      <c r="C4" s="89"/>
      <c r="D4" s="89"/>
      <c r="E4" s="89"/>
    </row>
    <row r="5" spans="1:9" ht="18">
      <c r="A5" s="83"/>
      <c r="B5" s="83"/>
      <c r="C5" s="83"/>
      <c r="D5" s="875" t="s">
        <v>1401</v>
      </c>
      <c r="E5" s="175" t="s">
        <v>660</v>
      </c>
    </row>
    <row r="6" spans="1:9" ht="22.5" customHeight="1">
      <c r="A6" s="82" t="s">
        <v>616</v>
      </c>
      <c r="B6" s="81" t="s">
        <v>1162</v>
      </c>
      <c r="C6" s="81" t="s">
        <v>614</v>
      </c>
      <c r="D6" s="81" t="s">
        <v>615</v>
      </c>
      <c r="E6" s="134" t="s">
        <v>1408</v>
      </c>
    </row>
    <row r="7" spans="1:9" ht="21" customHeight="1">
      <c r="A7" s="82"/>
      <c r="B7" s="81"/>
      <c r="C7" s="81"/>
      <c r="D7" s="81"/>
      <c r="E7" s="176" t="s">
        <v>238</v>
      </c>
    </row>
    <row r="8" spans="1:9" ht="16.2">
      <c r="A8" s="177" t="s">
        <v>662</v>
      </c>
      <c r="B8" s="178"/>
      <c r="C8" s="178"/>
      <c r="D8" s="179"/>
      <c r="E8" s="179"/>
    </row>
    <row r="9" spans="1:9" s="172" customFormat="1" ht="19.5" hidden="1" customHeight="1">
      <c r="A9" s="180" t="s">
        <v>200</v>
      </c>
      <c r="B9" s="180" t="s">
        <v>1201</v>
      </c>
      <c r="C9" s="4101" t="s">
        <v>1178</v>
      </c>
      <c r="D9" s="4124" t="s">
        <v>1710</v>
      </c>
      <c r="E9" s="639">
        <f>E10+E18</f>
        <v>0</v>
      </c>
    </row>
    <row r="10" spans="1:9" s="190" customFormat="1" ht="17.25" hidden="1" customHeight="1">
      <c r="A10" s="643" t="s">
        <v>698</v>
      </c>
      <c r="B10" s="637" t="s">
        <v>1166</v>
      </c>
      <c r="C10" s="4102"/>
      <c r="D10" s="4124"/>
      <c r="E10" s="639">
        <f>SUM(E12:E17)</f>
        <v>0</v>
      </c>
      <c r="I10" s="636"/>
    </row>
    <row r="11" spans="1:9" s="190" customFormat="1" ht="27.6" hidden="1">
      <c r="A11" s="642"/>
      <c r="B11" s="638" t="s">
        <v>1168</v>
      </c>
      <c r="C11" s="4102"/>
      <c r="D11" s="4124"/>
      <c r="E11" s="182"/>
      <c r="I11" s="636"/>
    </row>
    <row r="12" spans="1:9" s="190" customFormat="1" ht="17.25" hidden="1" customHeight="1">
      <c r="A12" s="642" t="s">
        <v>260</v>
      </c>
      <c r="B12" s="180" t="s">
        <v>1167</v>
      </c>
      <c r="C12" s="4102"/>
      <c r="D12" s="4124"/>
      <c r="E12" s="182"/>
      <c r="I12" s="636"/>
    </row>
    <row r="13" spans="1:9" s="190" customFormat="1" ht="17.25" hidden="1" customHeight="1">
      <c r="A13" s="642" t="s">
        <v>262</v>
      </c>
      <c r="B13" s="180" t="s">
        <v>1169</v>
      </c>
      <c r="C13" s="4102"/>
      <c r="D13" s="4124"/>
      <c r="E13" s="182"/>
      <c r="I13" s="636"/>
    </row>
    <row r="14" spans="1:9" s="190" customFormat="1" ht="17.25" hidden="1" customHeight="1">
      <c r="A14" s="642" t="s">
        <v>1190</v>
      </c>
      <c r="B14" s="180" t="s">
        <v>1170</v>
      </c>
      <c r="C14" s="4102"/>
      <c r="D14" s="4124"/>
      <c r="E14" s="182"/>
      <c r="I14" s="636"/>
    </row>
    <row r="15" spans="1:9" s="190" customFormat="1" ht="17.25" hidden="1" customHeight="1">
      <c r="A15" s="642" t="s">
        <v>1191</v>
      </c>
      <c r="B15" s="180" t="s">
        <v>1171</v>
      </c>
      <c r="C15" s="4102"/>
      <c r="D15" s="4124"/>
      <c r="E15" s="182"/>
      <c r="I15" s="636"/>
    </row>
    <row r="16" spans="1:9" s="190" customFormat="1" ht="17.25" hidden="1" customHeight="1">
      <c r="A16" s="642" t="s">
        <v>1192</v>
      </c>
      <c r="B16" s="180" t="s">
        <v>1172</v>
      </c>
      <c r="C16" s="4102"/>
      <c r="D16" s="4124"/>
      <c r="E16" s="182"/>
      <c r="I16" s="636"/>
    </row>
    <row r="17" spans="1:9" s="190" customFormat="1" ht="17.25" hidden="1" customHeight="1">
      <c r="A17" s="642" t="s">
        <v>1193</v>
      </c>
      <c r="B17" s="180" t="s">
        <v>1173</v>
      </c>
      <c r="C17" s="4102"/>
      <c r="D17" s="4124"/>
      <c r="E17" s="182"/>
      <c r="I17" s="636"/>
    </row>
    <row r="18" spans="1:9" s="190" customFormat="1" ht="17.25" hidden="1" customHeight="1">
      <c r="A18" s="644" t="s">
        <v>699</v>
      </c>
      <c r="B18" s="645" t="s">
        <v>1174</v>
      </c>
      <c r="C18" s="4102"/>
      <c r="D18" s="4124"/>
      <c r="E18" s="649">
        <f>SUM(E20:E22)</f>
        <v>0</v>
      </c>
      <c r="I18" s="636"/>
    </row>
    <row r="19" spans="1:9" s="190" customFormat="1" ht="27.6" hidden="1">
      <c r="A19" s="646"/>
      <c r="B19" s="647" t="s">
        <v>1168</v>
      </c>
      <c r="C19" s="4102"/>
      <c r="D19" s="4124"/>
      <c r="E19" s="650"/>
      <c r="I19" s="636"/>
    </row>
    <row r="20" spans="1:9" s="190" customFormat="1" ht="17.25" hidden="1" customHeight="1">
      <c r="A20" s="646" t="s">
        <v>1194</v>
      </c>
      <c r="B20" s="648" t="s">
        <v>1175</v>
      </c>
      <c r="C20" s="4102"/>
      <c r="D20" s="4124"/>
      <c r="E20" s="650"/>
      <c r="I20" s="636"/>
    </row>
    <row r="21" spans="1:9" s="190" customFormat="1" ht="17.25" hidden="1" customHeight="1">
      <c r="A21" s="646" t="s">
        <v>1195</v>
      </c>
      <c r="B21" s="648" t="s">
        <v>1176</v>
      </c>
      <c r="C21" s="4102"/>
      <c r="D21" s="4124"/>
      <c r="E21" s="650"/>
      <c r="I21" s="636"/>
    </row>
    <row r="22" spans="1:9" s="190" customFormat="1" ht="17.25" hidden="1" customHeight="1">
      <c r="A22" s="646" t="s">
        <v>1196</v>
      </c>
      <c r="B22" s="648" t="s">
        <v>1177</v>
      </c>
      <c r="C22" s="4103"/>
      <c r="D22" s="4124"/>
      <c r="E22" s="650"/>
      <c r="I22" s="636"/>
    </row>
    <row r="23" spans="1:9" s="190" customFormat="1" ht="17.25" hidden="1" customHeight="1">
      <c r="A23" s="640" t="s">
        <v>207</v>
      </c>
      <c r="B23" s="180" t="s">
        <v>1187</v>
      </c>
      <c r="C23" s="4101" t="s">
        <v>1182</v>
      </c>
      <c r="D23" s="4124"/>
      <c r="E23" s="182"/>
      <c r="I23" s="636"/>
    </row>
    <row r="24" spans="1:9" s="190" customFormat="1" ht="31.2">
      <c r="A24" s="640">
        <v>1</v>
      </c>
      <c r="B24" s="180" t="s">
        <v>1179</v>
      </c>
      <c r="C24" s="4102"/>
      <c r="D24" s="4124"/>
      <c r="E24" s="182">
        <f>'Работы и услуги 2011г.'!E12*1.06</f>
        <v>7.2080000000000002</v>
      </c>
      <c r="I24" s="636"/>
    </row>
    <row r="25" spans="1:9" s="190" customFormat="1" ht="31.2">
      <c r="A25" s="640">
        <v>2</v>
      </c>
      <c r="B25" s="180" t="s">
        <v>1180</v>
      </c>
      <c r="C25" s="4102"/>
      <c r="D25" s="4124"/>
      <c r="E25" s="182">
        <f>'Работы и услуги 2011г.'!E10*1.06</f>
        <v>143.80702000000002</v>
      </c>
      <c r="H25" s="641">
        <f>SUM(E23:E25)+E9</f>
        <v>151.01502000000002</v>
      </c>
      <c r="I25" s="636"/>
    </row>
    <row r="26" spans="1:9" s="190" customFormat="1" ht="34.5" hidden="1" customHeight="1">
      <c r="A26" s="640" t="s">
        <v>212</v>
      </c>
      <c r="B26" s="180" t="s">
        <v>1165</v>
      </c>
      <c r="C26" s="4102"/>
      <c r="D26" s="4124"/>
      <c r="E26" s="182"/>
      <c r="I26" s="636">
        <f>(71.4+71+40+30)/1.18</f>
        <v>180.00000000000003</v>
      </c>
    </row>
    <row r="27" spans="1:9" s="198" customFormat="1" ht="28.5" hidden="1" customHeight="1">
      <c r="A27" s="657" t="s">
        <v>215</v>
      </c>
      <c r="B27" s="658" t="s">
        <v>1203</v>
      </c>
      <c r="C27" s="4103"/>
      <c r="D27" s="659"/>
      <c r="E27" s="660"/>
      <c r="I27" s="661"/>
    </row>
    <row r="28" spans="1:9" s="172" customFormat="1" ht="46.8">
      <c r="A28" s="180">
        <v>3</v>
      </c>
      <c r="B28" s="180" t="s">
        <v>1405</v>
      </c>
      <c r="C28" s="181" t="s">
        <v>619</v>
      </c>
      <c r="D28" s="308"/>
      <c r="E28" s="182">
        <f>'Работы и услуги 2011г.'!E13+'Работы и услуги 2011г.'!E14+'Работы и услуги 2011г.'!E15</f>
        <v>123.72883</v>
      </c>
    </row>
    <row r="29" spans="1:9" s="172" customFormat="1" ht="60.6">
      <c r="A29" s="180">
        <v>4</v>
      </c>
      <c r="B29" s="180" t="s">
        <v>1406</v>
      </c>
      <c r="C29" s="310" t="s">
        <v>1188</v>
      </c>
      <c r="D29" s="308" t="s">
        <v>1189</v>
      </c>
      <c r="E29" s="182">
        <f>'Работы и услуги 2011г.'!E11</f>
        <v>30</v>
      </c>
    </row>
    <row r="30" spans="1:9" s="186" customFormat="1" ht="26.25" customHeight="1">
      <c r="A30" s="184"/>
      <c r="B30" s="184" t="s">
        <v>1157</v>
      </c>
      <c r="C30" s="184"/>
      <c r="D30" s="184"/>
      <c r="E30" s="185">
        <f>SUM(E23:E29)+E9</f>
        <v>304.74385000000001</v>
      </c>
    </row>
    <row r="31" spans="1:9" s="186" customFormat="1" ht="18" hidden="1" customHeight="1">
      <c r="A31" s="184"/>
      <c r="B31" s="651" t="s">
        <v>1199</v>
      </c>
      <c r="C31" s="184"/>
      <c r="D31" s="184"/>
      <c r="E31" s="654">
        <f>E9+E27</f>
        <v>0</v>
      </c>
    </row>
    <row r="32" spans="1:9" ht="16.2">
      <c r="A32" s="177" t="s">
        <v>1198</v>
      </c>
      <c r="B32" s="178"/>
      <c r="C32" s="178"/>
      <c r="D32" s="179"/>
      <c r="E32" s="179"/>
    </row>
    <row r="33" spans="1:9" s="190" customFormat="1" ht="55.5" customHeight="1">
      <c r="A33" s="640">
        <v>5</v>
      </c>
      <c r="B33" s="180" t="s">
        <v>1183</v>
      </c>
      <c r="C33" s="310" t="s">
        <v>1182</v>
      </c>
      <c r="D33" s="308"/>
      <c r="E33" s="182">
        <f>8+4.5+7.5+12</f>
        <v>32</v>
      </c>
      <c r="I33" s="636"/>
    </row>
    <row r="34" spans="1:9" s="190" customFormat="1">
      <c r="A34" s="640">
        <v>6</v>
      </c>
      <c r="B34" s="180" t="s">
        <v>1181</v>
      </c>
      <c r="C34" s="310"/>
      <c r="D34" s="308"/>
      <c r="E34" s="1261">
        <f>ROUND((50.2958970767035),1)</f>
        <v>50.3</v>
      </c>
      <c r="H34" s="1243">
        <v>50.295897076703497</v>
      </c>
      <c r="I34" s="636"/>
    </row>
    <row r="35" spans="1:9" s="190" customFormat="1" ht="46.8" hidden="1">
      <c r="A35" s="640">
        <v>7</v>
      </c>
      <c r="B35" s="180" t="s">
        <v>1184</v>
      </c>
      <c r="C35" s="310"/>
      <c r="D35" s="308"/>
      <c r="E35" s="182"/>
      <c r="I35" s="636"/>
    </row>
    <row r="36" spans="1:9" s="190" customFormat="1" hidden="1">
      <c r="A36" s="640">
        <v>8</v>
      </c>
      <c r="B36" s="180" t="s">
        <v>1185</v>
      </c>
      <c r="C36" s="310"/>
      <c r="D36" s="308"/>
      <c r="E36" s="182"/>
      <c r="G36" s="641">
        <f>SUM(E33:E37)</f>
        <v>82.3</v>
      </c>
      <c r="I36" s="636"/>
    </row>
    <row r="37" spans="1:9" s="190" customFormat="1" ht="31.2" hidden="1">
      <c r="A37" s="640">
        <v>9</v>
      </c>
      <c r="B37" s="180" t="s">
        <v>1186</v>
      </c>
      <c r="C37" s="310"/>
      <c r="D37" s="308"/>
      <c r="E37" s="182"/>
      <c r="I37" s="636"/>
    </row>
    <row r="38" spans="1:9" s="172" customFormat="1" ht="32.25" customHeight="1">
      <c r="A38" s="180">
        <v>7</v>
      </c>
      <c r="B38" s="180" t="s">
        <v>1235</v>
      </c>
      <c r="C38" s="181" t="s">
        <v>1153</v>
      </c>
      <c r="D38" s="308" t="s">
        <v>1481</v>
      </c>
      <c r="E38" s="182">
        <f>'Реестр всп.мат.2010 пром.+ПСХ'!E94</f>
        <v>763.3718876144618</v>
      </c>
      <c r="H38" s="172">
        <f>710.2-'Реестр всп.мат.2010 пром.+ПСХ'!C89</f>
        <v>617.03221530883479</v>
      </c>
    </row>
    <row r="39" spans="1:9" s="186" customFormat="1" ht="26.25" customHeight="1">
      <c r="A39" s="184"/>
      <c r="B39" s="184" t="s">
        <v>1158</v>
      </c>
      <c r="C39" s="184"/>
      <c r="D39" s="184"/>
      <c r="E39" s="185">
        <f>SUM(E33:E38)</f>
        <v>845.67188761446175</v>
      </c>
    </row>
    <row r="40" spans="1:9" s="186" customFormat="1" ht="26.25" customHeight="1">
      <c r="A40" s="184"/>
      <c r="B40" s="184" t="s">
        <v>640</v>
      </c>
      <c r="C40" s="184"/>
      <c r="D40" s="184"/>
      <c r="E40" s="185">
        <f>E30+E39</f>
        <v>1150.4157376144617</v>
      </c>
      <c r="G40" s="662">
        <f>1115-90+E38</f>
        <v>1788.3718876144617</v>
      </c>
      <c r="H40" s="186">
        <v>1087.2641990986945</v>
      </c>
      <c r="I40" s="952">
        <f>'[16]РСЭО 2012г.'!$E$38+'Реестр всп.мат.2010 пром.+ПСХ'!C89</f>
        <v>1180.5156346911654</v>
      </c>
    </row>
    <row r="41" spans="1:9" s="172" customFormat="1" ht="11.25" customHeight="1">
      <c r="A41" s="183"/>
      <c r="B41" s="183"/>
      <c r="C41" s="183"/>
      <c r="D41" s="183"/>
      <c r="E41" s="183"/>
      <c r="I41" s="1262">
        <f>E40-H40</f>
        <v>63.151538515767243</v>
      </c>
    </row>
    <row r="42" spans="1:9" ht="16.2" hidden="1">
      <c r="D42" s="655" t="s">
        <v>1404</v>
      </c>
      <c r="I42" s="634">
        <f>'Реестр всп.мат.2010 пром.+ПСХ'!J77*1.07</f>
        <v>821.27141502824884</v>
      </c>
    </row>
    <row r="43" spans="1:9" s="187" customFormat="1" hidden="1">
      <c r="B43" s="188" t="s">
        <v>1403</v>
      </c>
      <c r="D43" s="656">
        <f>'Реестр всп.мат.2010 пром.+ПСХ'!F87*1.079*1.06</f>
        <v>100.52803968176734</v>
      </c>
      <c r="E43" s="186"/>
    </row>
    <row r="44" spans="1:9" s="106" customFormat="1" ht="22.5" customHeight="1">
      <c r="A44" s="106" t="s">
        <v>663</v>
      </c>
      <c r="C44" s="189"/>
      <c r="D44" s="189"/>
      <c r="E44" s="189"/>
    </row>
    <row r="45" spans="1:9" s="106" customFormat="1" ht="22.5" customHeight="1">
      <c r="A45" s="106" t="s">
        <v>1480</v>
      </c>
      <c r="C45" s="189"/>
      <c r="D45" s="189"/>
      <c r="E45" s="189"/>
    </row>
    <row r="46" spans="1:9" s="106" customFormat="1" ht="22.5" customHeight="1">
      <c r="A46" s="106" t="s">
        <v>1711</v>
      </c>
      <c r="C46" s="189"/>
      <c r="D46" s="189"/>
      <c r="E46" s="189"/>
    </row>
    <row r="47" spans="1:9" s="106" customFormat="1" ht="22.5" customHeight="1">
      <c r="C47" s="189"/>
      <c r="D47" s="189"/>
      <c r="E47" s="189"/>
    </row>
    <row r="48" spans="1:9">
      <c r="C48" s="80"/>
      <c r="D48" s="80"/>
      <c r="E48" s="80"/>
    </row>
    <row r="63" spans="1:2">
      <c r="A63" s="98" t="s">
        <v>614</v>
      </c>
      <c r="B63" s="80"/>
    </row>
    <row r="64" spans="1:2">
      <c r="A64" s="98" t="s">
        <v>627</v>
      </c>
    </row>
  </sheetData>
  <mergeCells count="3">
    <mergeCell ref="C9:C22"/>
    <mergeCell ref="C23:C27"/>
    <mergeCell ref="D9:D26"/>
  </mergeCells>
  <printOptions horizontalCentered="1"/>
  <pageMargins left="0.78740157480314965" right="0.78740157480314965" top="0.78740157480314965" bottom="3.937007874015748E-2" header="3.937007874015748E-2" footer="3.937007874015748E-2"/>
  <pageSetup paperSize="9" scale="77" orientation="portrait" r:id="rId1"/>
  <headerFooter alignWithMargins="0"/>
  <colBreaks count="1" manualBreakCount="1">
    <brk id="5" max="1048575" man="1"/>
  </colBreaks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1">
    <tabColor rgb="FF7030A0"/>
  </sheetPr>
  <dimension ref="A1:H44"/>
  <sheetViews>
    <sheetView workbookViewId="0">
      <selection activeCell="K8" sqref="K8"/>
    </sheetView>
  </sheetViews>
  <sheetFormatPr defaultColWidth="9.109375" defaultRowHeight="13.2"/>
  <cols>
    <col min="1" max="1" width="5.5546875" style="10" customWidth="1"/>
    <col min="2" max="2" width="42" style="10" customWidth="1"/>
    <col min="3" max="4" width="21.44140625" style="10" customWidth="1"/>
    <col min="5" max="16384" width="9.109375" style="10"/>
  </cols>
  <sheetData>
    <row r="1" spans="1:7">
      <c r="D1" s="11" t="s">
        <v>53</v>
      </c>
    </row>
    <row r="2" spans="1:7">
      <c r="A2" s="6"/>
    </row>
    <row r="3" spans="1:7" ht="15.6">
      <c r="A3" s="109" t="s">
        <v>629</v>
      </c>
      <c r="B3" s="110"/>
      <c r="C3" s="110"/>
      <c r="D3" s="110"/>
    </row>
    <row r="4" spans="1:7" ht="18" customHeight="1">
      <c r="A4" s="109" t="s">
        <v>630</v>
      </c>
      <c r="B4" s="109"/>
      <c r="C4" s="109"/>
      <c r="D4" s="109"/>
    </row>
    <row r="5" spans="1:7" ht="18" customHeight="1">
      <c r="A5" s="109" t="s">
        <v>1263</v>
      </c>
      <c r="B5" s="109"/>
      <c r="C5" s="109"/>
      <c r="D5" s="109"/>
      <c r="E5" s="84"/>
      <c r="F5" s="84"/>
      <c r="G5" s="84"/>
    </row>
    <row r="6" spans="1:7" ht="42" customHeight="1">
      <c r="A6" s="109"/>
      <c r="B6" s="762"/>
      <c r="C6" s="763"/>
      <c r="D6" s="764"/>
      <c r="E6" s="84"/>
      <c r="F6" s="84"/>
      <c r="G6" s="84"/>
    </row>
    <row r="7" spans="1:7">
      <c r="D7" s="11" t="s">
        <v>24</v>
      </c>
    </row>
    <row r="8" spans="1:7">
      <c r="A8" s="17" t="s">
        <v>54</v>
      </c>
      <c r="B8" s="17" t="s">
        <v>696</v>
      </c>
      <c r="C8" s="17" t="s">
        <v>799</v>
      </c>
      <c r="D8" s="17" t="s">
        <v>730</v>
      </c>
    </row>
    <row r="9" spans="1:7" ht="39.6">
      <c r="A9" s="14" t="s">
        <v>55</v>
      </c>
      <c r="B9" s="130" t="s">
        <v>635</v>
      </c>
      <c r="C9" s="141"/>
      <c r="D9" s="141"/>
    </row>
    <row r="10" spans="1:7" ht="39.6">
      <c r="A10" s="14" t="s">
        <v>207</v>
      </c>
      <c r="B10" s="16" t="s">
        <v>634</v>
      </c>
      <c r="C10" s="141"/>
      <c r="D10" s="141"/>
    </row>
    <row r="11" spans="1:7" ht="19.5" customHeight="1">
      <c r="A11" s="14" t="s">
        <v>208</v>
      </c>
      <c r="B11" s="9" t="s">
        <v>57</v>
      </c>
      <c r="C11" s="141"/>
      <c r="D11" s="141"/>
    </row>
    <row r="12" spans="1:7" ht="27.75" customHeight="1">
      <c r="A12" s="14" t="s">
        <v>210</v>
      </c>
      <c r="B12" s="9" t="s">
        <v>58</v>
      </c>
      <c r="C12" s="141"/>
      <c r="D12" s="141"/>
    </row>
    <row r="13" spans="1:7" ht="27" customHeight="1">
      <c r="A13" s="14" t="s">
        <v>212</v>
      </c>
      <c r="B13" s="9" t="s">
        <v>59</v>
      </c>
      <c r="C13" s="141"/>
      <c r="D13" s="141"/>
      <c r="F13" s="60"/>
      <c r="G13" s="192"/>
    </row>
    <row r="14" spans="1:7" ht="23.25" customHeight="1">
      <c r="A14" s="14" t="s">
        <v>215</v>
      </c>
      <c r="B14" s="9" t="s">
        <v>60</v>
      </c>
      <c r="C14" s="141"/>
      <c r="D14" s="141"/>
    </row>
    <row r="15" spans="1:7" ht="19.5" customHeight="1">
      <c r="A15" s="14" t="s">
        <v>218</v>
      </c>
      <c r="B15" s="9" t="s">
        <v>61</v>
      </c>
      <c r="C15" s="147">
        <f>'Амортизация цех10г. - 11г.'!K7*'Амортизация цех10г. - 11г.'!I13/1000</f>
        <v>0</v>
      </c>
      <c r="D15" s="147">
        <f>C15</f>
        <v>0</v>
      </c>
      <c r="E15" s="64"/>
    </row>
    <row r="16" spans="1:7" ht="27.75" customHeight="1">
      <c r="A16" s="18"/>
    </row>
    <row r="17" spans="1:8" ht="27.75" customHeight="1"/>
    <row r="18" spans="1:8" s="776" customFormat="1" ht="23.25" customHeight="1">
      <c r="A18" s="839" t="s">
        <v>1266</v>
      </c>
      <c r="B18" s="774"/>
      <c r="C18" s="775"/>
      <c r="H18" s="777"/>
    </row>
    <row r="19" spans="1:8" s="776" customFormat="1" ht="15" customHeight="1">
      <c r="A19" s="839" t="s">
        <v>1304</v>
      </c>
      <c r="B19" s="778"/>
      <c r="C19" s="775"/>
      <c r="D19" s="779" t="s">
        <v>1268</v>
      </c>
    </row>
    <row r="20" spans="1:8" s="52" customFormat="1"/>
    <row r="21" spans="1:8" s="52" customFormat="1"/>
    <row r="22" spans="1:8">
      <c r="A22" s="4189"/>
      <c r="B22" s="4190"/>
      <c r="C22" s="4190"/>
      <c r="D22" s="4190"/>
      <c r="E22" s="4190"/>
      <c r="F22" s="4190"/>
      <c r="G22" s="4190"/>
    </row>
    <row r="43" spans="2:2">
      <c r="B43" s="98" t="s">
        <v>614</v>
      </c>
    </row>
    <row r="44" spans="2:2">
      <c r="B44" s="98" t="s">
        <v>627</v>
      </c>
    </row>
  </sheetData>
  <mergeCells count="1">
    <mergeCell ref="A22:G22"/>
  </mergeCells>
  <pageMargins left="0.74803149606299213" right="0.74803149606299213" top="0.98425196850393704" bottom="0.98425196850393704" header="0.51181102362204722" footer="0.51181102362204722"/>
  <pageSetup paperSize="9" scale="97" orientation="portrait" r:id="rId1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2">
    <tabColor rgb="FF7030A0"/>
  </sheetPr>
  <dimension ref="A1:O25"/>
  <sheetViews>
    <sheetView workbookViewId="0">
      <selection activeCell="K8" sqref="K8"/>
    </sheetView>
  </sheetViews>
  <sheetFormatPr defaultColWidth="9.109375" defaultRowHeight="15.6"/>
  <cols>
    <col min="1" max="1" width="49.5546875" style="198" customWidth="1"/>
    <col min="2" max="2" width="8.109375" style="198" customWidth="1"/>
    <col min="3" max="3" width="7" style="198" customWidth="1"/>
    <col min="4" max="4" width="12.33203125" style="198" customWidth="1"/>
    <col min="5" max="5" width="12.109375" style="198" customWidth="1"/>
    <col min="6" max="6" width="11.5546875" style="198" hidden="1" customWidth="1"/>
    <col min="7" max="7" width="11.5546875" style="198" customWidth="1"/>
    <col min="8" max="8" width="12.33203125" style="198" hidden="1" customWidth="1"/>
    <col min="9" max="9" width="11.44140625" style="198" customWidth="1"/>
    <col min="10" max="10" width="12.109375" style="198" customWidth="1"/>
    <col min="11" max="11" width="11.33203125" style="198" customWidth="1"/>
    <col min="12" max="12" width="12.5546875" style="198" customWidth="1"/>
    <col min="13" max="13" width="8.109375" style="198" hidden="1" customWidth="1"/>
    <col min="14" max="14" width="9.109375" style="198"/>
    <col min="15" max="15" width="10.109375" style="198" customWidth="1"/>
    <col min="16" max="16384" width="9.109375" style="198"/>
  </cols>
  <sheetData>
    <row r="1" spans="1:15" ht="18">
      <c r="A1" s="950" t="s">
        <v>633</v>
      </c>
      <c r="B1" s="950"/>
      <c r="C1" s="950"/>
      <c r="D1" s="950"/>
      <c r="E1" s="950"/>
      <c r="F1" s="950"/>
      <c r="G1" s="950"/>
      <c r="H1" s="950"/>
      <c r="I1" s="950"/>
      <c r="J1" s="950"/>
      <c r="K1" s="950"/>
      <c r="L1" s="950"/>
      <c r="M1" s="951"/>
    </row>
    <row r="2" spans="1:15" ht="18">
      <c r="A2" s="950" t="s">
        <v>1212</v>
      </c>
      <c r="B2" s="950"/>
      <c r="C2" s="950"/>
      <c r="D2" s="950"/>
      <c r="E2" s="950"/>
      <c r="F2" s="950"/>
      <c r="G2" s="950"/>
      <c r="H2" s="950"/>
      <c r="I2" s="950"/>
      <c r="J2" s="950"/>
      <c r="K2" s="950"/>
      <c r="L2" s="950"/>
      <c r="M2" s="951"/>
    </row>
    <row r="3" spans="1:15" ht="18">
      <c r="A3" s="950" t="s">
        <v>1159</v>
      </c>
      <c r="B3" s="950"/>
      <c r="C3" s="950"/>
      <c r="D3" s="950"/>
      <c r="E3" s="950"/>
      <c r="F3" s="950"/>
      <c r="G3" s="950"/>
      <c r="H3" s="950"/>
      <c r="I3" s="950"/>
      <c r="J3" s="950"/>
      <c r="K3" s="950"/>
      <c r="L3" s="950"/>
      <c r="M3" s="951"/>
    </row>
    <row r="4" spans="1:15">
      <c r="H4" s="952" t="s">
        <v>1164</v>
      </c>
      <c r="J4" s="953"/>
      <c r="L4" s="953" t="s">
        <v>601</v>
      </c>
      <c r="M4" s="954"/>
    </row>
    <row r="5" spans="1:15" ht="64.5" customHeight="1">
      <c r="A5" s="955" t="s">
        <v>1162</v>
      </c>
      <c r="B5" s="956" t="s">
        <v>658</v>
      </c>
      <c r="C5" s="956" t="s">
        <v>1161</v>
      </c>
      <c r="D5" s="955" t="s">
        <v>877</v>
      </c>
      <c r="E5" s="955" t="s">
        <v>1205</v>
      </c>
      <c r="F5" s="955" t="s">
        <v>1163</v>
      </c>
      <c r="G5" s="955" t="s">
        <v>1206</v>
      </c>
      <c r="H5" s="955" t="s">
        <v>1207</v>
      </c>
      <c r="I5" s="955" t="s">
        <v>1208</v>
      </c>
      <c r="J5" s="955" t="s">
        <v>1209</v>
      </c>
      <c r="K5" s="955" t="s">
        <v>1210</v>
      </c>
      <c r="L5" s="955" t="s">
        <v>1211</v>
      </c>
      <c r="M5" s="759" t="s">
        <v>1204</v>
      </c>
      <c r="O5" s="957"/>
    </row>
    <row r="6" spans="1:15" ht="25.5" customHeight="1">
      <c r="A6" s="958" t="s">
        <v>1215</v>
      </c>
      <c r="B6" s="959">
        <v>100020</v>
      </c>
      <c r="C6" s="960">
        <v>1957</v>
      </c>
      <c r="D6" s="961"/>
      <c r="E6" s="962"/>
      <c r="F6" s="760"/>
      <c r="G6" s="962"/>
      <c r="H6" s="962">
        <f>E6-G6*10</f>
        <v>0</v>
      </c>
      <c r="I6" s="962">
        <f>G6*12</f>
        <v>0</v>
      </c>
      <c r="J6" s="962">
        <f>E6+F6-I6</f>
        <v>0</v>
      </c>
      <c r="K6" s="962">
        <f>I6</f>
        <v>0</v>
      </c>
      <c r="L6" s="962">
        <f>J6-K6</f>
        <v>0</v>
      </c>
      <c r="M6" s="962" t="e">
        <f>K6/D6*100</f>
        <v>#DIV/0!</v>
      </c>
      <c r="O6" s="963"/>
    </row>
    <row r="7" spans="1:15" s="874" customFormat="1" ht="25.5" customHeight="1">
      <c r="A7" s="964" t="s">
        <v>419</v>
      </c>
      <c r="B7" s="965"/>
      <c r="C7" s="966"/>
      <c r="D7" s="967">
        <f>D6</f>
        <v>0</v>
      </c>
      <c r="E7" s="968">
        <f t="shared" ref="E7:M7" si="0">E6</f>
        <v>0</v>
      </c>
      <c r="F7" s="944">
        <f t="shared" si="0"/>
        <v>0</v>
      </c>
      <c r="G7" s="968">
        <f t="shared" si="0"/>
        <v>0</v>
      </c>
      <c r="H7" s="968">
        <f t="shared" si="0"/>
        <v>0</v>
      </c>
      <c r="I7" s="968">
        <f t="shared" si="0"/>
        <v>0</v>
      </c>
      <c r="J7" s="968">
        <f t="shared" si="0"/>
        <v>0</v>
      </c>
      <c r="K7" s="968">
        <f t="shared" si="0"/>
        <v>0</v>
      </c>
      <c r="L7" s="968">
        <f t="shared" si="0"/>
        <v>0</v>
      </c>
      <c r="M7" s="968" t="e">
        <f t="shared" si="0"/>
        <v>#DIV/0!</v>
      </c>
      <c r="O7" s="969"/>
    </row>
    <row r="8" spans="1:15">
      <c r="A8" s="970"/>
      <c r="B8" s="970"/>
      <c r="C8" s="970"/>
      <c r="D8" s="970"/>
      <c r="E8" s="971"/>
      <c r="F8" s="971"/>
      <c r="G8" s="971"/>
      <c r="H8" s="971"/>
      <c r="I8" s="971"/>
      <c r="J8" s="971"/>
      <c r="K8" s="971"/>
      <c r="L8" s="971"/>
      <c r="M8" s="971"/>
    </row>
    <row r="9" spans="1:15" s="978" customFormat="1" ht="22.5" hidden="1" customHeight="1">
      <c r="A9" s="972" t="s">
        <v>1213</v>
      </c>
      <c r="B9" s="973"/>
      <c r="C9" s="974"/>
      <c r="D9" s="974"/>
      <c r="E9" s="974"/>
      <c r="F9" s="974"/>
      <c r="G9" s="974"/>
      <c r="H9" s="975"/>
      <c r="I9" s="976"/>
      <c r="J9" s="976"/>
      <c r="K9" s="977"/>
      <c r="L9" s="977"/>
      <c r="M9" s="605"/>
      <c r="N9" s="606"/>
    </row>
    <row r="10" spans="1:15" s="987" customFormat="1" ht="17.25" hidden="1" customHeight="1">
      <c r="A10" s="972" t="s">
        <v>1144</v>
      </c>
      <c r="B10" s="979"/>
      <c r="C10" s="980"/>
      <c r="D10" s="980"/>
      <c r="E10" s="980"/>
      <c r="F10" s="980"/>
      <c r="G10" s="980"/>
      <c r="H10" s="981"/>
      <c r="I10" s="982"/>
      <c r="J10" s="983"/>
      <c r="K10" s="984"/>
      <c r="L10" s="985"/>
      <c r="M10" s="984"/>
      <c r="N10" s="986"/>
    </row>
    <row r="11" spans="1:15" s="986" customFormat="1" ht="21" hidden="1" customHeight="1">
      <c r="A11" s="988" t="s">
        <v>1146</v>
      </c>
      <c r="B11" s="989"/>
      <c r="C11" s="980"/>
      <c r="D11" s="990"/>
      <c r="F11" s="991"/>
      <c r="G11" s="992"/>
      <c r="H11" s="985"/>
      <c r="I11" s="984"/>
    </row>
    <row r="12" spans="1:15" s="986" customFormat="1" ht="21" hidden="1" customHeight="1">
      <c r="A12" s="988" t="s">
        <v>1147</v>
      </c>
      <c r="B12" s="989"/>
      <c r="C12" s="980"/>
      <c r="D12" s="990"/>
      <c r="E12" s="991"/>
      <c r="F12" s="993"/>
      <c r="H12" s="985"/>
      <c r="I12" s="984"/>
      <c r="K12" s="994"/>
      <c r="L12" s="995"/>
    </row>
    <row r="13" spans="1:15" s="986" customFormat="1" ht="21" hidden="1" customHeight="1">
      <c r="B13" s="989"/>
      <c r="C13" s="980"/>
      <c r="E13" s="996"/>
      <c r="G13" s="997" t="s">
        <v>1214</v>
      </c>
      <c r="I13" s="998">
        <f>30070/98604.6</f>
        <v>0.30495534691079318</v>
      </c>
    </row>
    <row r="14" spans="1:15" hidden="1">
      <c r="A14" s="198" t="s">
        <v>1216</v>
      </c>
      <c r="L14" s="873">
        <f>K7/1000*I13</f>
        <v>0</v>
      </c>
      <c r="M14" s="874"/>
      <c r="N14" s="874" t="s">
        <v>238</v>
      </c>
      <c r="O14" s="874"/>
    </row>
    <row r="15" spans="1:15" hidden="1">
      <c r="A15" s="198" t="s">
        <v>1217</v>
      </c>
    </row>
    <row r="17" spans="1:10">
      <c r="A17" s="761" t="s">
        <v>614</v>
      </c>
      <c r="B17" s="761"/>
      <c r="C17" s="761"/>
    </row>
    <row r="18" spans="1:10">
      <c r="A18" s="761" t="s">
        <v>627</v>
      </c>
      <c r="B18" s="761"/>
      <c r="C18" s="761"/>
    </row>
    <row r="21" spans="1:10">
      <c r="J21" s="999"/>
    </row>
    <row r="24" spans="1:10">
      <c r="C24" s="198" t="s">
        <v>659</v>
      </c>
      <c r="H24" s="1000"/>
    </row>
    <row r="25" spans="1:10">
      <c r="H25" s="1001"/>
    </row>
  </sheetData>
  <printOptions horizontalCentered="1"/>
  <pageMargins left="0.19685039370078741" right="0.19685039370078741" top="0.98425196850393704" bottom="0.11811023622047245" header="0.51181102362204722" footer="3.937007874015748E-2"/>
  <pageSetup paperSize="9" scale="87" orientation="landscape" r:id="rId1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3" enableFormatConditionsCalculation="0">
    <tabColor rgb="FFCCCCFF"/>
  </sheetPr>
  <dimension ref="A1:H46"/>
  <sheetViews>
    <sheetView topLeftCell="A4" workbookViewId="0">
      <selection activeCell="K8" sqref="K8"/>
    </sheetView>
  </sheetViews>
  <sheetFormatPr defaultColWidth="9.109375" defaultRowHeight="13.2"/>
  <cols>
    <col min="1" max="1" width="5.5546875" style="201" customWidth="1"/>
    <col min="2" max="2" width="38.5546875" style="201" customWidth="1"/>
    <col min="3" max="3" width="22.33203125" style="201" customWidth="1"/>
    <col min="4" max="4" width="21.5546875" style="201" customWidth="1"/>
    <col min="5" max="16384" width="9.109375" style="10"/>
  </cols>
  <sheetData>
    <row r="1" spans="1:7">
      <c r="D1" s="278" t="s">
        <v>53</v>
      </c>
    </row>
    <row r="2" spans="1:7">
      <c r="A2" s="670"/>
    </row>
    <row r="3" spans="1:7" ht="15.6">
      <c r="A3" s="280" t="s">
        <v>629</v>
      </c>
      <c r="B3" s="301"/>
      <c r="C3" s="301"/>
      <c r="D3" s="301"/>
    </row>
    <row r="4" spans="1:7" ht="18" customHeight="1">
      <c r="A4" s="280" t="s">
        <v>630</v>
      </c>
      <c r="B4" s="280"/>
      <c r="C4" s="280"/>
      <c r="D4" s="280"/>
    </row>
    <row r="5" spans="1:7" ht="18" customHeight="1">
      <c r="A5" s="280" t="s">
        <v>1264</v>
      </c>
      <c r="B5" s="280"/>
      <c r="C5" s="280"/>
      <c r="D5" s="280"/>
      <c r="E5" s="84"/>
      <c r="F5" s="84"/>
      <c r="G5" s="84"/>
    </row>
    <row r="6" spans="1:7" ht="18" customHeight="1">
      <c r="A6" s="280"/>
      <c r="B6" s="280"/>
      <c r="C6" s="280"/>
      <c r="D6" s="765"/>
      <c r="E6" s="84"/>
      <c r="F6" s="84"/>
      <c r="G6" s="84"/>
    </row>
    <row r="7" spans="1:7">
      <c r="D7" s="278" t="s">
        <v>24</v>
      </c>
    </row>
    <row r="8" spans="1:7">
      <c r="A8" s="281" t="s">
        <v>54</v>
      </c>
      <c r="B8" s="281" t="s">
        <v>696</v>
      </c>
      <c r="C8" s="281" t="s">
        <v>799</v>
      </c>
      <c r="D8" s="281" t="s">
        <v>730</v>
      </c>
    </row>
    <row r="9" spans="1:7" ht="39.6">
      <c r="A9" s="671" t="s">
        <v>55</v>
      </c>
      <c r="B9" s="672" t="s">
        <v>635</v>
      </c>
      <c r="C9" s="141"/>
      <c r="D9" s="141"/>
    </row>
    <row r="10" spans="1:7" ht="39.6">
      <c r="A10" s="671" t="s">
        <v>207</v>
      </c>
      <c r="B10" s="673" t="s">
        <v>634</v>
      </c>
      <c r="C10" s="141"/>
      <c r="D10" s="141"/>
    </row>
    <row r="11" spans="1:7" ht="19.5" customHeight="1">
      <c r="A11" s="671" t="s">
        <v>208</v>
      </c>
      <c r="B11" s="202" t="s">
        <v>57</v>
      </c>
      <c r="C11" s="141"/>
      <c r="D11" s="141"/>
    </row>
    <row r="12" spans="1:7" ht="27.75" customHeight="1">
      <c r="A12" s="671" t="s">
        <v>210</v>
      </c>
      <c r="B12" s="202" t="s">
        <v>58</v>
      </c>
      <c r="C12" s="141"/>
      <c r="D12" s="141"/>
    </row>
    <row r="13" spans="1:7" ht="27" customHeight="1">
      <c r="A13" s="671" t="s">
        <v>212</v>
      </c>
      <c r="B13" s="202" t="s">
        <v>59</v>
      </c>
      <c r="C13" s="141"/>
      <c r="D13" s="141"/>
      <c r="F13" s="60"/>
      <c r="G13" s="192"/>
    </row>
    <row r="14" spans="1:7" ht="13.5" customHeight="1">
      <c r="A14" s="671" t="s">
        <v>215</v>
      </c>
      <c r="B14" s="202" t="s">
        <v>60</v>
      </c>
      <c r="C14" s="141"/>
      <c r="D14" s="141"/>
    </row>
    <row r="15" spans="1:7" ht="16.5" customHeight="1">
      <c r="A15" s="671" t="s">
        <v>218</v>
      </c>
      <c r="B15" s="202" t="s">
        <v>61</v>
      </c>
      <c r="C15" s="148">
        <f>'ОХР '!F10</f>
        <v>0</v>
      </c>
      <c r="D15" s="148">
        <f>'ОХР '!H10</f>
        <v>0</v>
      </c>
      <c r="E15" s="64"/>
    </row>
    <row r="16" spans="1:7">
      <c r="A16" s="674"/>
    </row>
    <row r="17" spans="1:8">
      <c r="A17" s="674"/>
    </row>
    <row r="18" spans="1:8">
      <c r="A18" s="588"/>
    </row>
    <row r="19" spans="1:8">
      <c r="A19" s="588"/>
      <c r="E19" s="34"/>
    </row>
    <row r="20" spans="1:8">
      <c r="A20" s="588"/>
      <c r="E20" s="34"/>
    </row>
    <row r="22" spans="1:8" s="776" customFormat="1" ht="23.25" customHeight="1">
      <c r="A22" s="839" t="s">
        <v>1266</v>
      </c>
      <c r="B22" s="774"/>
      <c r="C22" s="775"/>
      <c r="H22" s="777"/>
    </row>
    <row r="23" spans="1:8" s="776" customFormat="1" ht="15" customHeight="1">
      <c r="A23" s="839" t="s">
        <v>1304</v>
      </c>
      <c r="B23" s="778"/>
      <c r="C23" s="775"/>
      <c r="D23" s="779" t="s">
        <v>1268</v>
      </c>
    </row>
    <row r="24" spans="1:8" s="52" customFormat="1">
      <c r="A24" s="201"/>
      <c r="B24" s="201"/>
      <c r="C24" s="201"/>
      <c r="D24" s="201"/>
    </row>
    <row r="25" spans="1:8" s="52" customFormat="1">
      <c r="A25" s="201"/>
      <c r="B25" s="201"/>
      <c r="C25" s="201"/>
      <c r="D25" s="201"/>
    </row>
    <row r="26" spans="1:8">
      <c r="A26" s="4189"/>
      <c r="B26" s="4190"/>
      <c r="C26" s="4190"/>
      <c r="D26" s="4190"/>
      <c r="E26" s="4190"/>
      <c r="F26" s="4190"/>
      <c r="G26" s="4190"/>
    </row>
    <row r="45" spans="2:2">
      <c r="B45" s="113" t="s">
        <v>614</v>
      </c>
    </row>
    <row r="46" spans="2:2">
      <c r="B46" s="113" t="s">
        <v>627</v>
      </c>
    </row>
  </sheetData>
  <mergeCells count="1">
    <mergeCell ref="A26:G26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4"/>
  <dimension ref="A1:Q124"/>
  <sheetViews>
    <sheetView topLeftCell="A85" workbookViewId="0">
      <selection activeCell="K8" sqref="K8"/>
    </sheetView>
  </sheetViews>
  <sheetFormatPr defaultColWidth="9.109375" defaultRowHeight="14.4" outlineLevelRow="1"/>
  <cols>
    <col min="1" max="1" width="9.109375" style="1469"/>
    <col min="2" max="2" width="13.33203125" style="1469" customWidth="1"/>
    <col min="3" max="3" width="8.5546875" style="1470" customWidth="1"/>
    <col min="4" max="4" width="13.33203125" style="1469" customWidth="1"/>
    <col min="5" max="5" width="8.5546875" style="1469" customWidth="1"/>
    <col min="6" max="6" width="13.33203125" style="1469" customWidth="1"/>
    <col min="7" max="7" width="8.5546875" style="1469" customWidth="1"/>
    <col min="8" max="16384" width="9.109375" style="1469"/>
  </cols>
  <sheetData>
    <row r="1" spans="1:17" ht="15.6">
      <c r="A1" s="1546" t="s">
        <v>1807</v>
      </c>
      <c r="B1" s="1546"/>
      <c r="C1" s="1547"/>
      <c r="D1" s="1546"/>
      <c r="E1" s="1546"/>
      <c r="F1" s="1546"/>
      <c r="G1" s="1546"/>
      <c r="I1" s="1469" t="s">
        <v>1840</v>
      </c>
    </row>
    <row r="2" spans="1:17" ht="18.75" customHeight="1">
      <c r="A2" s="1546" t="s">
        <v>1808</v>
      </c>
      <c r="B2" s="1546"/>
      <c r="C2" s="1547"/>
      <c r="D2" s="1546"/>
      <c r="E2" s="1546"/>
      <c r="F2" s="1546"/>
      <c r="G2" s="1546"/>
    </row>
    <row r="3" spans="1:17" ht="52.5" hidden="1" customHeight="1" outlineLevel="1">
      <c r="L3" s="1763" t="s">
        <v>1929</v>
      </c>
    </row>
    <row r="4" spans="1:17" s="1475" customFormat="1" ht="15.6" hidden="1" outlineLevel="1">
      <c r="A4" s="1548" t="s">
        <v>668</v>
      </c>
      <c r="B4" s="1472"/>
      <c r="C4" s="1473"/>
      <c r="D4" s="1472"/>
      <c r="E4" s="1472"/>
      <c r="F4" s="1549"/>
      <c r="G4" s="1472"/>
      <c r="N4" s="1476"/>
      <c r="O4" s="1476"/>
      <c r="P4" s="1476"/>
    </row>
    <row r="5" spans="1:17" s="1475" customFormat="1" ht="15.75" hidden="1" customHeight="1" outlineLevel="1">
      <c r="A5" s="4378" t="s">
        <v>1809</v>
      </c>
      <c r="B5" s="1477" t="s">
        <v>1810</v>
      </c>
      <c r="C5" s="1478"/>
      <c r="D5" s="1479"/>
      <c r="E5" s="1477"/>
      <c r="F5" s="1477" t="s">
        <v>1811</v>
      </c>
      <c r="G5" s="1477"/>
      <c r="H5" s="4378" t="s">
        <v>835</v>
      </c>
      <c r="O5" s="1476"/>
      <c r="P5" s="1476"/>
      <c r="Q5" s="1476"/>
    </row>
    <row r="6" spans="1:17" s="1475" customFormat="1" ht="69" hidden="1" customHeight="1" outlineLevel="1">
      <c r="A6" s="4379"/>
      <c r="B6" s="1480" t="s">
        <v>837</v>
      </c>
      <c r="C6" s="1481" t="s">
        <v>1812</v>
      </c>
      <c r="D6" s="1480" t="s">
        <v>898</v>
      </c>
      <c r="E6" s="1482" t="s">
        <v>1812</v>
      </c>
      <c r="F6" s="1483" t="s">
        <v>839</v>
      </c>
      <c r="G6" s="1482" t="s">
        <v>1812</v>
      </c>
      <c r="H6" s="4380"/>
      <c r="N6" s="1476"/>
    </row>
    <row r="7" spans="1:17" s="1475" customFormat="1" ht="15.6" hidden="1" outlineLevel="1">
      <c r="A7" s="4379"/>
      <c r="B7" s="1484" t="s">
        <v>1813</v>
      </c>
      <c r="C7" s="1485" t="s">
        <v>244</v>
      </c>
      <c r="D7" s="1484" t="s">
        <v>1814</v>
      </c>
      <c r="E7" s="1486" t="s">
        <v>244</v>
      </c>
      <c r="F7" s="1483"/>
      <c r="G7" s="1486" t="s">
        <v>244</v>
      </c>
      <c r="H7" s="1484" t="s">
        <v>963</v>
      </c>
      <c r="O7" s="1476"/>
      <c r="P7" s="1476"/>
      <c r="Q7" s="1476"/>
    </row>
    <row r="8" spans="1:17" s="1476" customFormat="1" ht="15.6" hidden="1" outlineLevel="1">
      <c r="A8" s="4380"/>
      <c r="B8" s="1487" t="s">
        <v>291</v>
      </c>
      <c r="C8" s="1488"/>
      <c r="D8" s="1487" t="s">
        <v>843</v>
      </c>
      <c r="E8" s="1488"/>
      <c r="F8" s="1487" t="s">
        <v>843</v>
      </c>
      <c r="G8" s="1488"/>
      <c r="H8" s="1487" t="s">
        <v>1815</v>
      </c>
    </row>
    <row r="9" spans="1:17" s="1476" customFormat="1" ht="15.6" hidden="1" outlineLevel="1">
      <c r="A9" s="1489" t="s">
        <v>697</v>
      </c>
      <c r="B9" s="1490">
        <v>124404</v>
      </c>
      <c r="C9" s="1488"/>
      <c r="D9" s="1490">
        <v>228.06</v>
      </c>
      <c r="E9" s="1488"/>
      <c r="F9" s="1490">
        <v>433</v>
      </c>
      <c r="G9" s="1488"/>
      <c r="H9" s="1491">
        <f>(B9*12/(F9-D9))</f>
        <v>7284.3173611788816</v>
      </c>
    </row>
    <row r="10" spans="1:17" s="1476" customFormat="1" ht="15.6" hidden="1" outlineLevel="1">
      <c r="A10" s="1489" t="s">
        <v>676</v>
      </c>
      <c r="B10" s="1490">
        <v>166069</v>
      </c>
      <c r="C10" s="1488"/>
      <c r="D10" s="1490">
        <v>749.32</v>
      </c>
      <c r="E10" s="1488"/>
      <c r="F10" s="1490">
        <v>1022.95</v>
      </c>
      <c r="G10" s="1488"/>
      <c r="H10" s="1491">
        <f>(B10*12/(F10-D10))</f>
        <v>7282.9295033439321</v>
      </c>
    </row>
    <row r="11" spans="1:17" s="1476" customFormat="1" ht="15.6" hidden="1" outlineLevel="1">
      <c r="A11" s="1489" t="s">
        <v>847</v>
      </c>
      <c r="B11" s="1490">
        <v>417747</v>
      </c>
      <c r="C11" s="1488"/>
      <c r="D11" s="1490">
        <v>810.58</v>
      </c>
      <c r="E11" s="1488"/>
      <c r="F11" s="1490">
        <v>1498.78</v>
      </c>
      <c r="G11" s="1488"/>
      <c r="H11" s="1491">
        <f>(B11*12/(F11-D11))</f>
        <v>7284.167393199652</v>
      </c>
    </row>
    <row r="12" spans="1:17" s="1476" customFormat="1" ht="15.6" hidden="1" outlineLevel="1">
      <c r="A12" s="1489" t="s">
        <v>681</v>
      </c>
      <c r="B12" s="1490">
        <v>481133</v>
      </c>
      <c r="C12" s="1488"/>
      <c r="D12" s="1490">
        <v>1074.45</v>
      </c>
      <c r="E12" s="1488"/>
      <c r="F12" s="1490">
        <v>1903</v>
      </c>
      <c r="G12" s="1488"/>
      <c r="H12" s="1491">
        <f>(B12*12/(F12-D12))</f>
        <v>6968.3133184478911</v>
      </c>
    </row>
    <row r="13" spans="1:17" s="1476" customFormat="1" ht="21.75" hidden="1" customHeight="1" outlineLevel="1">
      <c r="A13" s="1489" t="s">
        <v>962</v>
      </c>
      <c r="B13" s="1490"/>
      <c r="C13" s="1488"/>
      <c r="D13" s="1490"/>
      <c r="E13" s="1488"/>
      <c r="F13" s="1490"/>
      <c r="G13" s="1488"/>
      <c r="H13" s="1491" t="e">
        <f>(B13*12/(F13-D13))</f>
        <v>#DIV/0!</v>
      </c>
    </row>
    <row r="14" spans="1:17" s="1476" customFormat="1" ht="21.75" hidden="1" customHeight="1" outlineLevel="1">
      <c r="A14" s="1492"/>
      <c r="B14" s="1493"/>
      <c r="C14" s="1494"/>
      <c r="D14" s="1493"/>
      <c r="E14" s="1494"/>
      <c r="F14" s="1493"/>
      <c r="G14" s="1494"/>
      <c r="H14" s="1495"/>
    </row>
    <row r="15" spans="1:17" s="1475" customFormat="1" ht="15.6" hidden="1" outlineLevel="1">
      <c r="A15" s="1548" t="s">
        <v>669</v>
      </c>
      <c r="B15" s="1472"/>
      <c r="C15" s="1473"/>
      <c r="D15" s="1472"/>
      <c r="E15" s="1472"/>
      <c r="F15" s="1549"/>
      <c r="G15" s="1472"/>
      <c r="N15" s="1476"/>
      <c r="O15" s="1476"/>
      <c r="P15" s="1476"/>
    </row>
    <row r="16" spans="1:17" s="1475" customFormat="1" ht="15.75" hidden="1" customHeight="1" outlineLevel="1" collapsed="1">
      <c r="A16" s="4378" t="s">
        <v>1809</v>
      </c>
      <c r="B16" s="1477" t="s">
        <v>1810</v>
      </c>
      <c r="C16" s="1478"/>
      <c r="D16" s="1479"/>
      <c r="E16" s="1477"/>
      <c r="F16" s="1477" t="s">
        <v>1811</v>
      </c>
      <c r="G16" s="1477"/>
      <c r="H16" s="4378" t="s">
        <v>835</v>
      </c>
      <c r="O16" s="1476"/>
      <c r="P16" s="1476"/>
      <c r="Q16" s="1476"/>
    </row>
    <row r="17" spans="1:17" s="1475" customFormat="1" ht="69" hidden="1" customHeight="1" outlineLevel="1">
      <c r="A17" s="4379"/>
      <c r="B17" s="1480" t="s">
        <v>837</v>
      </c>
      <c r="C17" s="1481" t="s">
        <v>1812</v>
      </c>
      <c r="D17" s="1480" t="s">
        <v>898</v>
      </c>
      <c r="E17" s="1482" t="s">
        <v>1812</v>
      </c>
      <c r="F17" s="1483" t="s">
        <v>839</v>
      </c>
      <c r="G17" s="1482" t="s">
        <v>1812</v>
      </c>
      <c r="H17" s="4380"/>
      <c r="N17" s="1476"/>
    </row>
    <row r="18" spans="1:17" s="1475" customFormat="1" ht="15.6" hidden="1" outlineLevel="1">
      <c r="A18" s="4379"/>
      <c r="B18" s="1484" t="s">
        <v>1813</v>
      </c>
      <c r="C18" s="1485" t="s">
        <v>244</v>
      </c>
      <c r="D18" s="1484" t="s">
        <v>1814</v>
      </c>
      <c r="E18" s="1486" t="s">
        <v>244</v>
      </c>
      <c r="F18" s="1483"/>
      <c r="G18" s="1486" t="s">
        <v>244</v>
      </c>
      <c r="H18" s="1484" t="s">
        <v>963</v>
      </c>
      <c r="O18" s="1476"/>
      <c r="P18" s="1476"/>
      <c r="Q18" s="1476"/>
    </row>
    <row r="19" spans="1:17" s="1476" customFormat="1" ht="15.6" hidden="1" outlineLevel="1">
      <c r="A19" s="4380"/>
      <c r="B19" s="1487" t="s">
        <v>291</v>
      </c>
      <c r="C19" s="1488"/>
      <c r="D19" s="1487" t="s">
        <v>843</v>
      </c>
      <c r="E19" s="1488"/>
      <c r="F19" s="1487" t="s">
        <v>843</v>
      </c>
      <c r="G19" s="1488"/>
      <c r="H19" s="1487" t="s">
        <v>1815</v>
      </c>
    </row>
    <row r="20" spans="1:17" s="1476" customFormat="1" ht="15.6" hidden="1" outlineLevel="1">
      <c r="A20" s="1489" t="s">
        <v>697</v>
      </c>
      <c r="B20" s="1490">
        <v>300621.82</v>
      </c>
      <c r="C20" s="1488">
        <f>B20/B9-1</f>
        <v>1.4164964149062733</v>
      </c>
      <c r="D20" s="1490">
        <v>176.8</v>
      </c>
      <c r="E20" s="1488">
        <f>D20/D9-1</f>
        <v>-0.22476541261071648</v>
      </c>
      <c r="F20" s="1490">
        <v>592.41</v>
      </c>
      <c r="G20" s="1488">
        <f>F20/F9-1</f>
        <v>0.36815242494226319</v>
      </c>
      <c r="H20" s="1491">
        <f>(B20*12/(F20-D20))</f>
        <v>8679.9206948822211</v>
      </c>
    </row>
    <row r="21" spans="1:17" s="1476" customFormat="1" ht="15.6" hidden="1" outlineLevel="1">
      <c r="A21" s="1489" t="s">
        <v>676</v>
      </c>
      <c r="B21" s="1490">
        <v>490793.23</v>
      </c>
      <c r="C21" s="1488">
        <f>B21/B10-1</f>
        <v>1.9553572912464094</v>
      </c>
      <c r="D21" s="1490">
        <v>180</v>
      </c>
      <c r="E21" s="1488">
        <f>D21/D10-1</f>
        <v>-0.75978220253029416</v>
      </c>
      <c r="F21" s="1490">
        <v>969.48</v>
      </c>
      <c r="G21" s="1488">
        <f>F21/F10-1</f>
        <v>-5.2270394447431423E-2</v>
      </c>
      <c r="H21" s="1491">
        <f>(B21*12/(F21-D21))</f>
        <v>7459.9974160206712</v>
      </c>
    </row>
    <row r="22" spans="1:17" s="1476" customFormat="1" ht="15.6" hidden="1" outlineLevel="1">
      <c r="A22" s="1489" t="s">
        <v>847</v>
      </c>
      <c r="B22" s="1490">
        <v>680321</v>
      </c>
      <c r="C22" s="1488">
        <f>B22/B11-1</f>
        <v>0.6285479010022812</v>
      </c>
      <c r="D22" s="1490">
        <v>210</v>
      </c>
      <c r="E22" s="1488">
        <f>D22/D11-1</f>
        <v>-0.74092625033926329</v>
      </c>
      <c r="F22" s="1490">
        <v>1441.35</v>
      </c>
      <c r="G22" s="1488">
        <f>F22/F11-1</f>
        <v>-3.8317831836560456E-2</v>
      </c>
      <c r="H22" s="1491">
        <f>(B22*12/(F22-D22))</f>
        <v>6630.0012181751745</v>
      </c>
    </row>
    <row r="23" spans="1:17" s="1476" customFormat="1" ht="15.6" hidden="1" outlineLevel="1">
      <c r="A23" s="1489" t="s">
        <v>681</v>
      </c>
      <c r="B23" s="1490">
        <v>851305.82</v>
      </c>
      <c r="C23" s="1488">
        <f>B23/B12-1</f>
        <v>0.76937732394161262</v>
      </c>
      <c r="D23" s="1490">
        <v>432</v>
      </c>
      <c r="E23" s="1488">
        <f>D23/D12-1</f>
        <v>-0.59793382660896266</v>
      </c>
      <c r="F23" s="1490">
        <v>2296.17</v>
      </c>
      <c r="G23" s="1488">
        <f>F23/F12-1</f>
        <v>0.20660535995796114</v>
      </c>
      <c r="H23" s="1491">
        <f>(B23*12/(F23-D23))</f>
        <v>5480.0097845153605</v>
      </c>
    </row>
    <row r="24" spans="1:17" s="1476" customFormat="1" ht="21.75" hidden="1" customHeight="1" outlineLevel="1">
      <c r="A24" s="1489" t="s">
        <v>962</v>
      </c>
      <c r="B24" s="1490">
        <v>116581.82</v>
      </c>
      <c r="C24" s="1488"/>
      <c r="D24" s="1490">
        <v>162.69999999999999</v>
      </c>
      <c r="E24" s="1488"/>
      <c r="F24" s="1490">
        <v>380.24</v>
      </c>
      <c r="G24" s="1488"/>
      <c r="H24" s="1491">
        <f>(B24*12/(F24-D24))</f>
        <v>6430.9177162820624</v>
      </c>
    </row>
    <row r="25" spans="1:17" s="1476" customFormat="1" ht="21.75" hidden="1" customHeight="1" collapsed="1">
      <c r="A25" s="1492"/>
      <c r="B25" s="1493"/>
      <c r="C25" s="1494"/>
      <c r="D25" s="1493"/>
      <c r="E25" s="1493"/>
      <c r="F25" s="1550" t="s">
        <v>1816</v>
      </c>
      <c r="G25" s="1493"/>
      <c r="H25" s="1495"/>
    </row>
    <row r="26" spans="1:17" s="1475" customFormat="1" ht="15.6" hidden="1">
      <c r="A26" s="1551" t="s">
        <v>1120</v>
      </c>
      <c r="B26" s="1498"/>
      <c r="C26" s="1499"/>
      <c r="D26" s="1498"/>
      <c r="E26" s="1498"/>
      <c r="F26" s="1552"/>
      <c r="G26" s="1498"/>
      <c r="H26" s="1501"/>
      <c r="J26" s="1553" t="s">
        <v>1817</v>
      </c>
      <c r="K26" s="1553"/>
      <c r="N26" s="1476"/>
      <c r="O26" s="1476"/>
      <c r="P26" s="1476"/>
    </row>
    <row r="27" spans="1:17" s="1475" customFormat="1" ht="15.75" hidden="1" customHeight="1">
      <c r="A27" s="4384" t="s">
        <v>1809</v>
      </c>
      <c r="B27" s="1503" t="s">
        <v>1810</v>
      </c>
      <c r="C27" s="1504"/>
      <c r="D27" s="1505"/>
      <c r="E27" s="1503"/>
      <c r="F27" s="1503" t="s">
        <v>1811</v>
      </c>
      <c r="G27" s="1503"/>
      <c r="H27" s="4384" t="s">
        <v>835</v>
      </c>
      <c r="O27" s="1476"/>
      <c r="P27" s="1476"/>
      <c r="Q27" s="1476"/>
    </row>
    <row r="28" spans="1:17" s="1475" customFormat="1" ht="69" hidden="1" customHeight="1">
      <c r="A28" s="4124"/>
      <c r="B28" s="1506" t="s">
        <v>837</v>
      </c>
      <c r="C28" s="1507" t="s">
        <v>1812</v>
      </c>
      <c r="D28" s="1506" t="s">
        <v>898</v>
      </c>
      <c r="E28" s="1508" t="s">
        <v>1812</v>
      </c>
      <c r="F28" s="1509" t="s">
        <v>839</v>
      </c>
      <c r="G28" s="1508" t="s">
        <v>1812</v>
      </c>
      <c r="H28" s="4124"/>
      <c r="J28" s="1554" t="s">
        <v>1818</v>
      </c>
      <c r="K28" s="1554"/>
      <c r="L28" s="1554"/>
      <c r="N28" s="1476"/>
    </row>
    <row r="29" spans="1:17" s="1475" customFormat="1" ht="15.6" hidden="1">
      <c r="A29" s="4124"/>
      <c r="B29" s="1511" t="s">
        <v>1813</v>
      </c>
      <c r="C29" s="1512" t="s">
        <v>244</v>
      </c>
      <c r="D29" s="1511" t="s">
        <v>1814</v>
      </c>
      <c r="E29" s="1509" t="s">
        <v>244</v>
      </c>
      <c r="F29" s="1509"/>
      <c r="G29" s="1509" t="s">
        <v>244</v>
      </c>
      <c r="H29" s="1511" t="s">
        <v>1841</v>
      </c>
      <c r="J29" s="1555" t="s">
        <v>1819</v>
      </c>
      <c r="K29" s="1555"/>
      <c r="L29" s="1556" t="s">
        <v>1820</v>
      </c>
      <c r="O29" s="1476"/>
      <c r="P29" s="1476"/>
      <c r="Q29" s="1476"/>
    </row>
    <row r="30" spans="1:17" s="1475" customFormat="1" ht="15.6" hidden="1">
      <c r="A30" s="4124"/>
      <c r="B30" s="1509" t="s">
        <v>291</v>
      </c>
      <c r="C30" s="1512"/>
      <c r="D30" s="1509" t="s">
        <v>843</v>
      </c>
      <c r="E30" s="1509"/>
      <c r="F30" s="1509" t="s">
        <v>843</v>
      </c>
      <c r="G30" s="1509"/>
      <c r="H30" s="1509" t="s">
        <v>1815</v>
      </c>
      <c r="J30" s="1557" t="s">
        <v>1821</v>
      </c>
      <c r="K30" s="1558" t="s">
        <v>1822</v>
      </c>
      <c r="L30" s="1559"/>
      <c r="O30" s="1476"/>
      <c r="P30" s="1476"/>
      <c r="Q30" s="1476"/>
    </row>
    <row r="31" spans="1:17" s="1475" customFormat="1" ht="15.6" hidden="1">
      <c r="A31" s="1506" t="s">
        <v>697</v>
      </c>
      <c r="B31" s="1560">
        <v>364484.63</v>
      </c>
      <c r="C31" s="1519">
        <f>B31/B20-1</f>
        <v>0.2124357107544621</v>
      </c>
      <c r="D31" s="1560">
        <v>151.36000000000001</v>
      </c>
      <c r="E31" s="1519">
        <f>D31/D20-1</f>
        <v>-0.14389140271493206</v>
      </c>
      <c r="F31" s="1560">
        <v>671</v>
      </c>
      <c r="G31" s="1519">
        <f>F31/F20-1</f>
        <v>0.1326615013250958</v>
      </c>
      <c r="H31" s="1520">
        <f>(B31*12/(F31-D31))</f>
        <v>8417.0109306442937</v>
      </c>
      <c r="J31" s="1561">
        <f>B31/B9-1</f>
        <v>1.9298465483424971</v>
      </c>
      <c r="K31" s="1561">
        <f>D31/D9-1</f>
        <v>-0.33631500482329202</v>
      </c>
      <c r="L31" s="1561">
        <f>F31/F9-1</f>
        <v>0.54965357967667439</v>
      </c>
      <c r="N31" s="1561">
        <v>0.21461487820934821</v>
      </c>
      <c r="O31" s="1476"/>
      <c r="P31" s="1476"/>
      <c r="Q31" s="1476"/>
    </row>
    <row r="32" spans="1:17" s="1475" customFormat="1" ht="15.6" hidden="1">
      <c r="A32" s="1506" t="s">
        <v>676</v>
      </c>
      <c r="B32" s="1560">
        <v>684381.17</v>
      </c>
      <c r="C32" s="1519">
        <f>B32/B21-1</f>
        <v>0.3944388963963501</v>
      </c>
      <c r="D32" s="1560">
        <v>162.12</v>
      </c>
      <c r="E32" s="1519">
        <f>D32/D21-1</f>
        <v>-9.9333333333333274E-2</v>
      </c>
      <c r="F32" s="1560">
        <v>1153.6500000000001</v>
      </c>
      <c r="G32" s="1519">
        <f>F32/F21-1</f>
        <v>0.18996781779923255</v>
      </c>
      <c r="H32" s="1520">
        <f>(B32*12/(F32-D32))</f>
        <v>8282.7287525339634</v>
      </c>
      <c r="J32" s="1561">
        <f>B32/B10-1</f>
        <v>3.1210651596625505</v>
      </c>
      <c r="K32" s="1561">
        <f>D32/D10-1</f>
        <v>-0.78364383707895158</v>
      </c>
      <c r="L32" s="1561">
        <f>F32/F10-1</f>
        <v>0.12776773058311752</v>
      </c>
      <c r="N32" s="1561">
        <v>0.24512109584519526</v>
      </c>
      <c r="O32" s="1476"/>
      <c r="P32" s="1476"/>
      <c r="Q32" s="1476"/>
    </row>
    <row r="33" spans="1:17" s="1475" customFormat="1" ht="15.6" hidden="1">
      <c r="A33" s="1506" t="s">
        <v>847</v>
      </c>
      <c r="B33" s="1560">
        <v>942948.34</v>
      </c>
      <c r="C33" s="1519">
        <f>B33/B22-1</f>
        <v>0.38603444550440158</v>
      </c>
      <c r="D33" s="1764"/>
      <c r="E33" s="1488"/>
      <c r="F33" s="1764"/>
      <c r="G33" s="1488"/>
      <c r="H33" s="1765"/>
      <c r="I33" s="1766"/>
      <c r="J33" s="1561">
        <f>B33/B11-1</f>
        <v>1.2572234869430541</v>
      </c>
      <c r="K33" s="1561">
        <f>D33/D11-1</f>
        <v>-1</v>
      </c>
      <c r="L33" s="1561">
        <f>F33/F11-1</f>
        <v>-1</v>
      </c>
      <c r="N33" s="1561">
        <v>0.35747736497034044</v>
      </c>
      <c r="O33" s="1476"/>
      <c r="P33" s="1476"/>
      <c r="Q33" s="1476"/>
    </row>
    <row r="34" spans="1:17" s="1475" customFormat="1" ht="15.6" hidden="1">
      <c r="A34" s="1506" t="s">
        <v>681</v>
      </c>
      <c r="B34" s="1560">
        <v>1640145.12</v>
      </c>
      <c r="C34" s="1519">
        <f>B34/B23-1</f>
        <v>0.92662270299056604</v>
      </c>
      <c r="D34" s="1560">
        <v>472.06</v>
      </c>
      <c r="E34" s="1519">
        <f>D34/D23-1</f>
        <v>9.273148148148147E-2</v>
      </c>
      <c r="F34" s="1560">
        <v>2747.68</v>
      </c>
      <c r="G34" s="1519">
        <f>F34/F23-1</f>
        <v>0.1966361375682113</v>
      </c>
      <c r="H34" s="1520">
        <f>(B34*12/(F34-D34))</f>
        <v>8648.9578400611717</v>
      </c>
      <c r="J34" s="1561">
        <f>B34/B12-1</f>
        <v>2.4089225224626043</v>
      </c>
      <c r="K34" s="1561">
        <f>D34/D12-1</f>
        <v>-0.56064963469682172</v>
      </c>
      <c r="L34" s="1561">
        <f>F34/F12-1</f>
        <v>0.44386757750919581</v>
      </c>
      <c r="N34" s="1561">
        <v>0.32037262049412729</v>
      </c>
      <c r="O34" s="1476"/>
      <c r="P34" s="1476"/>
      <c r="Q34" s="1476"/>
    </row>
    <row r="35" spans="1:17" s="1475" customFormat="1" ht="21.75" hidden="1" customHeight="1">
      <c r="A35" s="1506" t="s">
        <v>962</v>
      </c>
      <c r="B35" s="1560">
        <v>133702.84</v>
      </c>
      <c r="C35" s="1519">
        <f>B35/B24-1</f>
        <v>0.14685840382316884</v>
      </c>
      <c r="D35" s="1560">
        <v>150</v>
      </c>
      <c r="E35" s="1519">
        <f>D35/D24-1</f>
        <v>-7.8057775046097011E-2</v>
      </c>
      <c r="F35" s="1560">
        <v>437.28</v>
      </c>
      <c r="G35" s="1519">
        <f>F35/F24-1</f>
        <v>0.15001051967178625</v>
      </c>
      <c r="H35" s="1520">
        <f>(B35*12/(F35-D35))</f>
        <v>5584.9139515455308</v>
      </c>
      <c r="J35" s="1554"/>
      <c r="K35" s="1554"/>
      <c r="L35" s="1554"/>
      <c r="N35" s="1561">
        <v>-0.3810225120976225</v>
      </c>
      <c r="O35" s="1476"/>
      <c r="P35" s="1476"/>
      <c r="Q35" s="1476"/>
    </row>
    <row r="36" spans="1:17" hidden="1"/>
    <row r="37" spans="1:17" hidden="1">
      <c r="A37" s="1551" t="s">
        <v>1265</v>
      </c>
      <c r="B37" s="1498"/>
      <c r="C37" s="1499"/>
      <c r="D37" s="1498"/>
      <c r="E37" s="1498"/>
      <c r="F37" s="1552"/>
      <c r="G37" s="1498"/>
      <c r="H37" s="1767"/>
    </row>
    <row r="38" spans="1:17" ht="18.75" hidden="1" customHeight="1">
      <c r="A38" s="4384" t="s">
        <v>1809</v>
      </c>
      <c r="B38" s="1503" t="s">
        <v>1810</v>
      </c>
      <c r="C38" s="1504"/>
      <c r="D38" s="1503"/>
      <c r="E38" s="1503"/>
      <c r="F38" s="1503" t="s">
        <v>1811</v>
      </c>
      <c r="G38" s="1503"/>
      <c r="H38" s="4384" t="s">
        <v>835</v>
      </c>
    </row>
    <row r="39" spans="1:17" ht="66" hidden="1">
      <c r="A39" s="4124"/>
      <c r="B39" s="1506" t="s">
        <v>837</v>
      </c>
      <c r="C39" s="1507" t="s">
        <v>1812</v>
      </c>
      <c r="D39" s="1506" t="s">
        <v>898</v>
      </c>
      <c r="E39" s="1508" t="s">
        <v>1812</v>
      </c>
      <c r="F39" s="1509" t="s">
        <v>839</v>
      </c>
      <c r="G39" s="1508" t="s">
        <v>1812</v>
      </c>
      <c r="H39" s="4124"/>
    </row>
    <row r="40" spans="1:17" ht="15.6" hidden="1">
      <c r="A40" s="4124"/>
      <c r="B40" s="1511" t="s">
        <v>1813</v>
      </c>
      <c r="C40" s="1512" t="s">
        <v>244</v>
      </c>
      <c r="D40" s="1511" t="s">
        <v>1814</v>
      </c>
      <c r="E40" s="1509" t="s">
        <v>244</v>
      </c>
      <c r="F40" s="1509"/>
      <c r="G40" s="1511"/>
      <c r="H40" s="1511" t="s">
        <v>1841</v>
      </c>
    </row>
    <row r="41" spans="1:17" hidden="1">
      <c r="A41" s="4124"/>
      <c r="B41" s="1509" t="s">
        <v>291</v>
      </c>
      <c r="C41" s="1512"/>
      <c r="D41" s="1509" t="s">
        <v>843</v>
      </c>
      <c r="E41" s="1509"/>
      <c r="F41" s="1509" t="s">
        <v>843</v>
      </c>
      <c r="G41" s="1509" t="s">
        <v>244</v>
      </c>
      <c r="H41" s="1509" t="s">
        <v>1815</v>
      </c>
    </row>
    <row r="42" spans="1:17" hidden="1">
      <c r="A42" s="1506" t="s">
        <v>697</v>
      </c>
      <c r="B42" s="1768">
        <v>427956.36</v>
      </c>
      <c r="C42" s="1519">
        <f>B42/B31-1</f>
        <v>0.17414103305261452</v>
      </c>
      <c r="D42" s="1768">
        <v>179.28</v>
      </c>
      <c r="E42" s="1519">
        <f>D42/D31-1</f>
        <v>0.18446088794925997</v>
      </c>
      <c r="F42" s="1768">
        <v>789.41</v>
      </c>
      <c r="G42" s="1519">
        <f>F42/F31-1</f>
        <v>0.17646795827123696</v>
      </c>
      <c r="H42" s="1520">
        <f>(B42*12/(F42-D42))</f>
        <v>8417.0198482290671</v>
      </c>
    </row>
    <row r="43" spans="1:17" hidden="1">
      <c r="A43" s="1506" t="s">
        <v>676</v>
      </c>
      <c r="B43" s="1768">
        <v>781756.21</v>
      </c>
      <c r="C43" s="1519">
        <f>B43/B32-1</f>
        <v>0.14228188072445058</v>
      </c>
      <c r="D43" s="1768">
        <v>191.71</v>
      </c>
      <c r="E43" s="1519">
        <f>D43/D32-1</f>
        <v>0.18251912163829265</v>
      </c>
      <c r="F43" s="1768">
        <v>1324.32</v>
      </c>
      <c r="G43" s="1519">
        <f>F43/F32-1</f>
        <v>0.14793914965544119</v>
      </c>
      <c r="H43" s="1520">
        <f>(B43*12/(F43-D43))</f>
        <v>8282.7050087850184</v>
      </c>
    </row>
    <row r="44" spans="1:17" hidden="1">
      <c r="A44" s="1506" t="s">
        <v>847</v>
      </c>
      <c r="B44" s="1768">
        <v>1110334.72</v>
      </c>
      <c r="C44" s="1519">
        <f>B44/B33-1</f>
        <v>0.17751383919929276</v>
      </c>
      <c r="D44" s="1768">
        <v>469.5</v>
      </c>
      <c r="E44" s="1519" t="e">
        <f>D44/D33-1</f>
        <v>#DIV/0!</v>
      </c>
      <c r="F44" s="1768">
        <v>2146.56</v>
      </c>
      <c r="G44" s="1519" t="e">
        <f>F44/F33-1</f>
        <v>#DIV/0!</v>
      </c>
      <c r="H44" s="1520">
        <f>(B44*12/(F44-D44))</f>
        <v>7944.8658008658012</v>
      </c>
    </row>
    <row r="45" spans="1:17" hidden="1">
      <c r="A45" s="1506" t="s">
        <v>681</v>
      </c>
      <c r="B45" s="1768">
        <v>2019526.48</v>
      </c>
      <c r="C45" s="1519">
        <f>B45/B34-1</f>
        <v>0.23130962947961575</v>
      </c>
      <c r="D45" s="1768">
        <v>535.79999999999995</v>
      </c>
      <c r="E45" s="1519">
        <f>D45/D34-1</f>
        <v>0.13502520865991596</v>
      </c>
      <c r="F45" s="1768">
        <v>3325.91</v>
      </c>
      <c r="G45" s="1519">
        <f>F45/F34-1</f>
        <v>0.21044299190589877</v>
      </c>
      <c r="H45" s="1520">
        <f>(B45*12/(F45-D45))</f>
        <v>8685.7929472314718</v>
      </c>
    </row>
    <row r="46" spans="1:17" ht="27" hidden="1">
      <c r="A46" s="1506" t="s">
        <v>962</v>
      </c>
      <c r="B46" s="1768">
        <v>22308.959999999999</v>
      </c>
      <c r="C46" s="1519">
        <f>B46/B35-1</f>
        <v>-0.83314520469423092</v>
      </c>
      <c r="D46" s="1768">
        <v>210.28899999999999</v>
      </c>
      <c r="E46" s="1519">
        <f>D46/D35-1</f>
        <v>0.40192666666666654</v>
      </c>
      <c r="F46" s="1768">
        <v>258.20999999999998</v>
      </c>
      <c r="G46" s="1519">
        <f>F46/F35-1</f>
        <v>-0.40950878155872672</v>
      </c>
      <c r="H46" s="1520">
        <f>(B46*12/(F46-D46))</f>
        <v>5586.4343398510064</v>
      </c>
    </row>
    <row r="47" spans="1:17" hidden="1"/>
    <row r="48" spans="1:17" s="1475" customFormat="1" ht="15.6" hidden="1">
      <c r="A48" s="1548" t="s">
        <v>1838</v>
      </c>
      <c r="B48" s="1472"/>
      <c r="C48" s="1473"/>
      <c r="D48" s="1472"/>
      <c r="E48" s="1472"/>
      <c r="F48" s="1549"/>
      <c r="G48" s="1472"/>
      <c r="H48" s="1469"/>
      <c r="J48" s="1476"/>
      <c r="K48" s="1476"/>
    </row>
    <row r="49" spans="1:12" s="1475" customFormat="1" ht="15.75" hidden="1" customHeight="1">
      <c r="A49" s="4378" t="s">
        <v>1809</v>
      </c>
      <c r="B49" s="1639" t="s">
        <v>1810</v>
      </c>
      <c r="C49" s="1478"/>
      <c r="D49" s="1477"/>
      <c r="E49" s="1477"/>
      <c r="F49" s="1477" t="s">
        <v>1811</v>
      </c>
      <c r="G49" s="1477"/>
      <c r="H49" s="4378" t="s">
        <v>1869</v>
      </c>
      <c r="J49" s="1476"/>
      <c r="K49" s="1476"/>
      <c r="L49" s="1476"/>
    </row>
    <row r="50" spans="1:12" s="1475" customFormat="1" ht="69" hidden="1" customHeight="1">
      <c r="A50" s="4124"/>
      <c r="B50" s="1480" t="s">
        <v>837</v>
      </c>
      <c r="C50" s="1481" t="s">
        <v>1812</v>
      </c>
      <c r="D50" s="1480" t="s">
        <v>898</v>
      </c>
      <c r="E50" s="1482" t="s">
        <v>1812</v>
      </c>
      <c r="F50" s="1483" t="s">
        <v>839</v>
      </c>
      <c r="G50" s="1482" t="s">
        <v>1812</v>
      </c>
      <c r="H50" s="4380"/>
    </row>
    <row r="51" spans="1:12" s="1475" customFormat="1" ht="15.6" hidden="1">
      <c r="A51" s="4124"/>
      <c r="B51" s="1484" t="s">
        <v>1813</v>
      </c>
      <c r="C51" s="1485" t="s">
        <v>244</v>
      </c>
      <c r="D51" s="1484" t="s">
        <v>1814</v>
      </c>
      <c r="E51" s="1486" t="s">
        <v>244</v>
      </c>
      <c r="F51" s="1483"/>
      <c r="G51" s="1522" t="s">
        <v>244</v>
      </c>
      <c r="H51" s="1562" t="s">
        <v>1841</v>
      </c>
      <c r="J51" s="1476"/>
      <c r="K51" s="1476"/>
      <c r="L51" s="1476"/>
    </row>
    <row r="52" spans="1:12" s="1475" customFormat="1" ht="15.6" hidden="1">
      <c r="A52" s="4124"/>
      <c r="B52" s="1483" t="s">
        <v>291</v>
      </c>
      <c r="C52" s="1485"/>
      <c r="D52" s="1483" t="s">
        <v>843</v>
      </c>
      <c r="E52" s="1486"/>
      <c r="F52" s="1483" t="s">
        <v>843</v>
      </c>
      <c r="G52" s="1486"/>
      <c r="H52" s="1483" t="s">
        <v>1815</v>
      </c>
      <c r="J52" s="1476"/>
      <c r="K52" s="1476"/>
      <c r="L52" s="1476"/>
    </row>
    <row r="53" spans="1:12" s="1475" customFormat="1" ht="15.6" hidden="1">
      <c r="A53" s="1489" t="s">
        <v>697</v>
      </c>
      <c r="B53" s="1490">
        <v>364484.63</v>
      </c>
      <c r="C53" s="1488">
        <f>B53/B31-1</f>
        <v>0</v>
      </c>
      <c r="D53" s="1490">
        <v>151.36000000000001</v>
      </c>
      <c r="E53" s="1488">
        <f>D53/D31-1</f>
        <v>0</v>
      </c>
      <c r="F53" s="1490">
        <v>671</v>
      </c>
      <c r="G53" s="1488">
        <f>F53/F31-1</f>
        <v>0</v>
      </c>
      <c r="H53" s="1491">
        <f>(B53*6/(F53-D53))</f>
        <v>4208.5054653221468</v>
      </c>
      <c r="J53" s="1476"/>
      <c r="K53" s="1476"/>
      <c r="L53" s="1476"/>
    </row>
    <row r="54" spans="1:12" s="1475" customFormat="1" ht="15.6" hidden="1">
      <c r="A54" s="1489" t="s">
        <v>676</v>
      </c>
      <c r="B54" s="1490">
        <v>684381.17</v>
      </c>
      <c r="C54" s="1488">
        <f>B54/B32-1</f>
        <v>0</v>
      </c>
      <c r="D54" s="1490">
        <v>162.12</v>
      </c>
      <c r="E54" s="1488">
        <f>D54/D32-1</f>
        <v>0</v>
      </c>
      <c r="F54" s="1490">
        <v>1153.6500000000001</v>
      </c>
      <c r="G54" s="1488">
        <f>F54/F32-1</f>
        <v>0</v>
      </c>
      <c r="H54" s="1491">
        <f>(B54*6/(F54-D54))</f>
        <v>4141.3643762669817</v>
      </c>
      <c r="J54" s="1476"/>
      <c r="K54" s="1476"/>
      <c r="L54" s="1476"/>
    </row>
    <row r="55" spans="1:12" s="1475" customFormat="1" ht="15.6" hidden="1">
      <c r="A55" s="1489" t="s">
        <v>847</v>
      </c>
      <c r="B55" s="1490">
        <v>942948.34</v>
      </c>
      <c r="C55" s="1488">
        <f>B55/B33-1</f>
        <v>0</v>
      </c>
      <c r="D55" s="1490">
        <v>414.16</v>
      </c>
      <c r="E55" s="1488" t="e">
        <f>D55/D33-1</f>
        <v>#DIV/0!</v>
      </c>
      <c r="F55" s="1490">
        <v>1847.1</v>
      </c>
      <c r="G55" s="1488" t="e">
        <f>F55/F33-1</f>
        <v>#DIV/0!</v>
      </c>
      <c r="H55" s="1491">
        <f>(B55*6/(F55-D55))</f>
        <v>3948.3090987759438</v>
      </c>
      <c r="J55" s="1476"/>
      <c r="K55" s="1476"/>
      <c r="L55" s="1476"/>
    </row>
    <row r="56" spans="1:12" s="1475" customFormat="1" ht="15.6" hidden="1">
      <c r="A56" s="1489" t="s">
        <v>681</v>
      </c>
      <c r="B56" s="1490">
        <v>1640145.12</v>
      </c>
      <c r="C56" s="1488">
        <f>B56/B34-1</f>
        <v>0</v>
      </c>
      <c r="D56" s="1490">
        <v>472.06</v>
      </c>
      <c r="E56" s="1488">
        <f>D56/D34-1</f>
        <v>0</v>
      </c>
      <c r="F56" s="1490">
        <v>2747.68</v>
      </c>
      <c r="G56" s="1488">
        <f>F56/F34-1</f>
        <v>0</v>
      </c>
      <c r="H56" s="1491">
        <f>(B56*6/(F56-D56))</f>
        <v>4324.4789200305859</v>
      </c>
      <c r="J56" s="1476"/>
      <c r="K56" s="1476"/>
      <c r="L56" s="1476"/>
    </row>
    <row r="57" spans="1:12" s="1475" customFormat="1" ht="21.75" hidden="1" customHeight="1">
      <c r="A57" s="1489" t="s">
        <v>962</v>
      </c>
      <c r="B57" s="1490"/>
      <c r="C57" s="1488"/>
      <c r="D57" s="1490"/>
      <c r="E57" s="1488"/>
      <c r="F57" s="1490">
        <v>437.28</v>
      </c>
      <c r="G57" s="1488">
        <f>F57/F35-1</f>
        <v>0</v>
      </c>
      <c r="H57" s="1491"/>
      <c r="J57" s="1476"/>
      <c r="K57" s="1476"/>
      <c r="L57" s="1476"/>
    </row>
    <row r="58" spans="1:12" s="1475" customFormat="1" ht="21.75" customHeight="1">
      <c r="A58" s="1492"/>
      <c r="B58" s="1493"/>
      <c r="C58" s="1563"/>
      <c r="D58" s="1493"/>
      <c r="E58" s="1563"/>
      <c r="F58" s="1493"/>
      <c r="G58" s="1563"/>
      <c r="H58" s="1495"/>
      <c r="J58" s="1476"/>
      <c r="K58" s="1476"/>
      <c r="L58" s="1476"/>
    </row>
    <row r="59" spans="1:12" s="1475" customFormat="1" ht="15.6">
      <c r="A59" s="1548" t="s">
        <v>1842</v>
      </c>
      <c r="B59" s="1472"/>
      <c r="C59" s="1473"/>
      <c r="D59" s="1472"/>
      <c r="E59" s="1472"/>
      <c r="F59" s="1549"/>
      <c r="G59" s="1472"/>
      <c r="H59" s="1469"/>
      <c r="J59" s="1476"/>
      <c r="K59" s="1476"/>
    </row>
    <row r="60" spans="1:12" s="1475" customFormat="1" ht="15.75" customHeight="1">
      <c r="A60" s="4378" t="s">
        <v>1809</v>
      </c>
      <c r="B60" s="1639" t="s">
        <v>1810</v>
      </c>
      <c r="C60" s="1478"/>
      <c r="D60" s="1477"/>
      <c r="E60" s="1477"/>
      <c r="F60" s="1477" t="s">
        <v>1811</v>
      </c>
      <c r="G60" s="1477"/>
      <c r="H60" s="4378" t="s">
        <v>1870</v>
      </c>
      <c r="I60" s="4378" t="s">
        <v>835</v>
      </c>
      <c r="J60" s="1476"/>
      <c r="K60" s="1476"/>
      <c r="L60" s="1476"/>
    </row>
    <row r="61" spans="1:12" s="1475" customFormat="1" ht="69" customHeight="1">
      <c r="A61" s="4124"/>
      <c r="B61" s="1480" t="s">
        <v>837</v>
      </c>
      <c r="C61" s="1481" t="s">
        <v>1812</v>
      </c>
      <c r="D61" s="1480" t="s">
        <v>898</v>
      </c>
      <c r="E61" s="1482" t="s">
        <v>1812</v>
      </c>
      <c r="F61" s="1483" t="s">
        <v>839</v>
      </c>
      <c r="G61" s="1482" t="s">
        <v>1812</v>
      </c>
      <c r="H61" s="4380"/>
      <c r="I61" s="4380"/>
    </row>
    <row r="62" spans="1:12" s="1475" customFormat="1" ht="15.6">
      <c r="A62" s="4124"/>
      <c r="B62" s="1484" t="s">
        <v>1813</v>
      </c>
      <c r="C62" s="1485" t="s">
        <v>244</v>
      </c>
      <c r="D62" s="1484" t="s">
        <v>1814</v>
      </c>
      <c r="E62" s="1486" t="s">
        <v>244</v>
      </c>
      <c r="F62" s="1483"/>
      <c r="G62" s="1522" t="s">
        <v>244</v>
      </c>
      <c r="H62" s="1562" t="s">
        <v>1841</v>
      </c>
      <c r="I62" s="1562" t="s">
        <v>1841</v>
      </c>
      <c r="J62" s="1476"/>
      <c r="K62" s="1476"/>
      <c r="L62" s="1476"/>
    </row>
    <row r="63" spans="1:12" s="1475" customFormat="1" ht="15.6">
      <c r="A63" s="4124"/>
      <c r="B63" s="1483" t="s">
        <v>291</v>
      </c>
      <c r="C63" s="1485"/>
      <c r="D63" s="1483" t="s">
        <v>843</v>
      </c>
      <c r="E63" s="1486"/>
      <c r="F63" s="1483" t="s">
        <v>843</v>
      </c>
      <c r="G63" s="1486"/>
      <c r="H63" s="1483" t="s">
        <v>1815</v>
      </c>
      <c r="I63" s="1483" t="s">
        <v>1815</v>
      </c>
      <c r="J63" s="1476"/>
      <c r="K63" s="1476"/>
      <c r="L63" s="1476"/>
    </row>
    <row r="64" spans="1:12" s="1475" customFormat="1" ht="15.6">
      <c r="A64" s="1489" t="s">
        <v>697</v>
      </c>
      <c r="B64" s="1490">
        <v>397387.35</v>
      </c>
      <c r="C64" s="1488">
        <f>B64/B53-1</f>
        <v>9.0271899805486999E-2</v>
      </c>
      <c r="D64" s="1490">
        <v>158.29</v>
      </c>
      <c r="E64" s="1488">
        <f>D64/D53-1</f>
        <v>4.5784883720930036E-2</v>
      </c>
      <c r="F64" s="1490">
        <v>690.41</v>
      </c>
      <c r="G64" s="1488">
        <f>F64/F53-1</f>
        <v>2.8926974664679639E-2</v>
      </c>
      <c r="H64" s="1491">
        <f>(B64*6/(F64-D64))</f>
        <v>4480.8015109373819</v>
      </c>
      <c r="I64" s="1491">
        <f>H53+H64</f>
        <v>8689.3069762595296</v>
      </c>
      <c r="J64" s="1476"/>
      <c r="K64" s="1476"/>
      <c r="L64" s="1476"/>
    </row>
    <row r="65" spans="1:12" s="1475" customFormat="1" ht="15.6">
      <c r="A65" s="1489" t="s">
        <v>676</v>
      </c>
      <c r="B65" s="1490">
        <v>740597.33</v>
      </c>
      <c r="C65" s="1488">
        <f>B65/B54-1</f>
        <v>8.2141593696974269E-2</v>
      </c>
      <c r="D65" s="1490">
        <v>168.14</v>
      </c>
      <c r="E65" s="1488">
        <f>D65/D54-1</f>
        <v>3.7132987910189819E-2</v>
      </c>
      <c r="F65" s="1490">
        <v>1174.03</v>
      </c>
      <c r="G65" s="1488">
        <f>F65/F54-1</f>
        <v>1.7665669830537745E-2</v>
      </c>
      <c r="H65" s="1491">
        <f>(B65*6/(F65-D65))</f>
        <v>4417.5645249480558</v>
      </c>
      <c r="I65" s="1491">
        <f>H54+H65</f>
        <v>8558.9289012150366</v>
      </c>
      <c r="J65" s="1476"/>
      <c r="K65" s="1476"/>
      <c r="L65" s="1476"/>
    </row>
    <row r="66" spans="1:12" s="1475" customFormat="1" ht="15.6">
      <c r="A66" s="1489" t="s">
        <v>847</v>
      </c>
      <c r="B66" s="1490">
        <v>1021368.45</v>
      </c>
      <c r="C66" s="1488">
        <f>B66/B55-1</f>
        <v>8.3164799887128549E-2</v>
      </c>
      <c r="D66" s="1490">
        <v>432.48</v>
      </c>
      <c r="E66" s="1488">
        <f>D66/D55-1</f>
        <v>4.4234112420320715E-2</v>
      </c>
      <c r="F66" s="1490">
        <v>1817.25</v>
      </c>
      <c r="G66" s="1488">
        <f>F66/F55-1</f>
        <v>-1.6160467760272801E-2</v>
      </c>
      <c r="H66" s="1491">
        <f>(B66*6/(F66-D66))</f>
        <v>4425.4357763383086</v>
      </c>
      <c r="I66" s="1491">
        <f>H55+H66</f>
        <v>8373.7448751142529</v>
      </c>
      <c r="J66" s="1476"/>
      <c r="K66" s="1476"/>
      <c r="L66" s="1476"/>
    </row>
    <row r="67" spans="1:12" s="1475" customFormat="1" ht="15.6">
      <c r="A67" s="1489" t="s">
        <v>681</v>
      </c>
      <c r="B67" s="1490">
        <v>1766107.62</v>
      </c>
      <c r="C67" s="1488">
        <f>B67/B56-1</f>
        <v>7.6799606610419957E-2</v>
      </c>
      <c r="D67" s="1490">
        <v>495.34</v>
      </c>
      <c r="E67" s="1488">
        <f>D67/D56-1</f>
        <v>4.9315764945134122E-2</v>
      </c>
      <c r="F67" s="1490">
        <v>2688.41</v>
      </c>
      <c r="G67" s="1488">
        <f>F67/F56-1</f>
        <v>-2.157092528969895E-2</v>
      </c>
      <c r="H67" s="1491">
        <f>(B67*6/(F67-D67))</f>
        <v>4831.877559767815</v>
      </c>
      <c r="I67" s="1769">
        <f>H56+H67</f>
        <v>9156.3564797984</v>
      </c>
      <c r="J67" s="1476"/>
      <c r="K67" s="1476"/>
      <c r="L67" s="1476"/>
    </row>
    <row r="68" spans="1:12" s="1475" customFormat="1" ht="21.75" customHeight="1">
      <c r="A68" s="1489" t="s">
        <v>962</v>
      </c>
      <c r="B68" s="1490"/>
      <c r="C68" s="1488"/>
      <c r="D68" s="1490"/>
      <c r="E68" s="1488"/>
      <c r="F68" s="1490">
        <v>422.2</v>
      </c>
      <c r="G68" s="1488">
        <f>F68/F57-1</f>
        <v>-3.4485912916209283E-2</v>
      </c>
      <c r="H68" s="1491"/>
      <c r="I68" s="1491"/>
      <c r="J68" s="1476"/>
      <c r="K68" s="1476"/>
      <c r="L68" s="1476"/>
    </row>
    <row r="69" spans="1:12" s="1475" customFormat="1" ht="21.75" customHeight="1">
      <c r="A69" s="1492"/>
      <c r="B69" s="1493"/>
      <c r="C69" s="1563"/>
      <c r="D69" s="1493"/>
      <c r="E69" s="1563"/>
      <c r="F69" s="1493"/>
      <c r="G69" s="1563"/>
      <c r="H69" s="1495"/>
      <c r="J69" s="1476"/>
      <c r="K69" s="1476"/>
      <c r="L69" s="1476"/>
    </row>
    <row r="70" spans="1:12">
      <c r="A70" s="1548" t="s">
        <v>1930</v>
      </c>
      <c r="B70" s="1472"/>
      <c r="C70" s="1473"/>
      <c r="D70" s="1472"/>
      <c r="E70" s="1472"/>
      <c r="F70" s="1549"/>
      <c r="G70" s="1472"/>
    </row>
    <row r="71" spans="1:12" ht="18.75" customHeight="1">
      <c r="A71" s="4378" t="s">
        <v>1809</v>
      </c>
      <c r="B71" s="1477" t="s">
        <v>1810</v>
      </c>
      <c r="C71" s="1478"/>
      <c r="D71" s="1477"/>
      <c r="E71" s="1477"/>
      <c r="F71" s="1477" t="s">
        <v>1811</v>
      </c>
      <c r="G71" s="1477"/>
      <c r="H71" s="4378" t="s">
        <v>1869</v>
      </c>
    </row>
    <row r="72" spans="1:12" ht="66">
      <c r="A72" s="4379"/>
      <c r="B72" s="1480" t="s">
        <v>837</v>
      </c>
      <c r="C72" s="1481" t="s">
        <v>1812</v>
      </c>
      <c r="D72" s="1480" t="s">
        <v>898</v>
      </c>
      <c r="E72" s="1482" t="s">
        <v>1812</v>
      </c>
      <c r="F72" s="1483" t="s">
        <v>839</v>
      </c>
      <c r="G72" s="1482" t="s">
        <v>1812</v>
      </c>
      <c r="H72" s="4380"/>
    </row>
    <row r="73" spans="1:12" ht="15.6">
      <c r="A73" s="4379"/>
      <c r="B73" s="1484" t="s">
        <v>1813</v>
      </c>
      <c r="C73" s="1485" t="s">
        <v>244</v>
      </c>
      <c r="D73" s="1484" t="s">
        <v>1814</v>
      </c>
      <c r="E73" s="1486" t="s">
        <v>244</v>
      </c>
      <c r="F73" s="1483"/>
      <c r="G73" s="1522"/>
      <c r="H73" s="1562" t="s">
        <v>1841</v>
      </c>
    </row>
    <row r="74" spans="1:12">
      <c r="A74" s="4380"/>
      <c r="B74" s="1483" t="s">
        <v>291</v>
      </c>
      <c r="C74" s="1485"/>
      <c r="D74" s="1483" t="s">
        <v>843</v>
      </c>
      <c r="E74" s="1486"/>
      <c r="F74" s="1483" t="s">
        <v>843</v>
      </c>
      <c r="G74" s="1486" t="s">
        <v>244</v>
      </c>
      <c r="H74" s="1483" t="s">
        <v>1815</v>
      </c>
    </row>
    <row r="75" spans="1:12">
      <c r="A75" s="1489" t="s">
        <v>697</v>
      </c>
      <c r="B75" s="1490">
        <v>397387.35</v>
      </c>
      <c r="C75" s="1488">
        <f>B75/B64-1</f>
        <v>0</v>
      </c>
      <c r="D75" s="1490">
        <v>158.29</v>
      </c>
      <c r="E75" s="1488">
        <f>D75/D64-1</f>
        <v>0</v>
      </c>
      <c r="F75" s="1490">
        <v>690.41</v>
      </c>
      <c r="G75" s="1488">
        <f>F75/F64-1</f>
        <v>0</v>
      </c>
      <c r="H75" s="1491">
        <f>(B75*6/(F75-D75))</f>
        <v>4480.8015109373819</v>
      </c>
    </row>
    <row r="76" spans="1:12">
      <c r="A76" s="1489" t="s">
        <v>676</v>
      </c>
      <c r="B76" s="1490">
        <v>740597.33</v>
      </c>
      <c r="C76" s="1488">
        <f>B76/B65-1</f>
        <v>0</v>
      </c>
      <c r="D76" s="1490">
        <v>168.14</v>
      </c>
      <c r="E76" s="1488">
        <f>D76/D65-1</f>
        <v>0</v>
      </c>
      <c r="F76" s="1490">
        <v>1174.03</v>
      </c>
      <c r="G76" s="1488">
        <f>F76/F65-1</f>
        <v>0</v>
      </c>
      <c r="H76" s="1491">
        <f>(B76*6/(F76-D76))</f>
        <v>4417.5645249480558</v>
      </c>
    </row>
    <row r="77" spans="1:12">
      <c r="A77" s="1489" t="s">
        <v>847</v>
      </c>
      <c r="B77" s="1490">
        <v>1021368.45</v>
      </c>
      <c r="C77" s="1488">
        <f>B77/B66-1</f>
        <v>0</v>
      </c>
      <c r="D77" s="1490">
        <v>432.48</v>
      </c>
      <c r="E77" s="1488">
        <f>D77/D66-1</f>
        <v>0</v>
      </c>
      <c r="F77" s="1490">
        <v>1817.25</v>
      </c>
      <c r="G77" s="1488">
        <f>F77/F66-1</f>
        <v>0</v>
      </c>
      <c r="H77" s="1491">
        <f>(B77*6/(F77-D77))</f>
        <v>4425.4357763383086</v>
      </c>
    </row>
    <row r="78" spans="1:12">
      <c r="A78" s="1489" t="s">
        <v>681</v>
      </c>
      <c r="B78" s="1490">
        <v>1766107.62</v>
      </c>
      <c r="C78" s="1488">
        <f>B78/B67-1</f>
        <v>0</v>
      </c>
      <c r="D78" s="1490">
        <v>495.34</v>
      </c>
      <c r="E78" s="1488">
        <f>D78/D67-1</f>
        <v>0</v>
      </c>
      <c r="F78" s="1490">
        <v>2688.41</v>
      </c>
      <c r="G78" s="1488">
        <f>F78/F67-1</f>
        <v>0</v>
      </c>
      <c r="H78" s="1491">
        <f>(B78*6/(F78-D78))</f>
        <v>4831.877559767815</v>
      </c>
    </row>
    <row r="79" spans="1:12" ht="27">
      <c r="A79" s="1489" t="s">
        <v>962</v>
      </c>
      <c r="B79" s="1490"/>
      <c r="C79" s="1488"/>
      <c r="D79" s="1490"/>
      <c r="E79" s="1488"/>
      <c r="F79" s="1490">
        <v>422.2</v>
      </c>
      <c r="G79" s="1488">
        <f>F79/F68-1</f>
        <v>0</v>
      </c>
      <c r="H79" s="1491"/>
    </row>
    <row r="81" spans="1:9">
      <c r="A81" s="1548" t="s">
        <v>1931</v>
      </c>
      <c r="B81" s="1472"/>
      <c r="C81" s="1473"/>
      <c r="D81" s="1472"/>
      <c r="E81" s="1472"/>
      <c r="F81" s="1549"/>
      <c r="G81" s="1472"/>
    </row>
    <row r="82" spans="1:9" ht="18.75" customHeight="1">
      <c r="A82" s="4378" t="s">
        <v>1809</v>
      </c>
      <c r="B82" s="1477" t="s">
        <v>1810</v>
      </c>
      <c r="C82" s="1478"/>
      <c r="D82" s="1477"/>
      <c r="E82" s="1477"/>
      <c r="F82" s="1477" t="s">
        <v>1811</v>
      </c>
      <c r="G82" s="1477"/>
      <c r="H82" s="4378" t="s">
        <v>1870</v>
      </c>
      <c r="I82" s="4378" t="s">
        <v>835</v>
      </c>
    </row>
    <row r="83" spans="1:9" ht="66">
      <c r="A83" s="4379"/>
      <c r="B83" s="1480" t="s">
        <v>837</v>
      </c>
      <c r="C83" s="1481" t="s">
        <v>1812</v>
      </c>
      <c r="D83" s="1480" t="s">
        <v>898</v>
      </c>
      <c r="E83" s="1482" t="s">
        <v>1812</v>
      </c>
      <c r="F83" s="1483" t="s">
        <v>839</v>
      </c>
      <c r="G83" s="1482" t="s">
        <v>1812</v>
      </c>
      <c r="H83" s="4380"/>
      <c r="I83" s="4380"/>
    </row>
    <row r="84" spans="1:9" ht="15.6">
      <c r="A84" s="4379"/>
      <c r="B84" s="1484" t="s">
        <v>1813</v>
      </c>
      <c r="C84" s="1485" t="s">
        <v>244</v>
      </c>
      <c r="D84" s="1484" t="s">
        <v>1814</v>
      </c>
      <c r="E84" s="1486" t="s">
        <v>244</v>
      </c>
      <c r="F84" s="1483"/>
      <c r="G84" s="1522"/>
      <c r="H84" s="1562" t="s">
        <v>1841</v>
      </c>
      <c r="I84" s="1562" t="s">
        <v>1841</v>
      </c>
    </row>
    <row r="85" spans="1:9">
      <c r="A85" s="4380"/>
      <c r="B85" s="1483" t="s">
        <v>291</v>
      </c>
      <c r="C85" s="1485"/>
      <c r="D85" s="1483" t="s">
        <v>843</v>
      </c>
      <c r="E85" s="1486"/>
      <c r="F85" s="1483" t="s">
        <v>843</v>
      </c>
      <c r="G85" s="1486" t="s">
        <v>244</v>
      </c>
      <c r="H85" s="1483" t="s">
        <v>1815</v>
      </c>
      <c r="I85" s="1483" t="s">
        <v>1815</v>
      </c>
    </row>
    <row r="86" spans="1:9">
      <c r="A86" s="1489" t="s">
        <v>697</v>
      </c>
      <c r="B86" s="1490">
        <v>448807.96</v>
      </c>
      <c r="C86" s="1488">
        <f>B86/B75-1</f>
        <v>0.12939669569250256</v>
      </c>
      <c r="D86" s="1490">
        <v>182.92</v>
      </c>
      <c r="E86" s="1488">
        <f>D86/D75-1</f>
        <v>0.15560048013140437</v>
      </c>
      <c r="F86" s="1490">
        <v>779.62</v>
      </c>
      <c r="G86" s="1488">
        <f>F86/F75-1</f>
        <v>0.12921307628800283</v>
      </c>
      <c r="H86" s="1491">
        <f>(B86*6/(F86-D86))</f>
        <v>4512.9005530417298</v>
      </c>
      <c r="I86" s="1491">
        <f>H75+H86</f>
        <v>8993.7020639791117</v>
      </c>
    </row>
    <row r="87" spans="1:9">
      <c r="A87" s="1489" t="s">
        <v>676</v>
      </c>
      <c r="B87" s="1490">
        <v>815684.34</v>
      </c>
      <c r="C87" s="1488">
        <f>B87/B76-1</f>
        <v>0.10138709249734945</v>
      </c>
      <c r="D87" s="1490">
        <v>173.48</v>
      </c>
      <c r="E87" s="1488">
        <f>D87/D76-1</f>
        <v>3.1759248245509797E-2</v>
      </c>
      <c r="F87" s="1490">
        <v>1325.68</v>
      </c>
      <c r="G87" s="1488">
        <f>F87/F76-1</f>
        <v>0.12917046412783328</v>
      </c>
      <c r="H87" s="1491">
        <f>(B87*6/(F87-D87))</f>
        <v>4247.618503731991</v>
      </c>
      <c r="I87" s="1491">
        <f>H76+H87</f>
        <v>8665.1830286800468</v>
      </c>
    </row>
    <row r="88" spans="1:9">
      <c r="A88" s="1489" t="s">
        <v>847</v>
      </c>
      <c r="B88" s="1490">
        <v>1123518.33</v>
      </c>
      <c r="C88" s="1488">
        <f>B88/B77-1</f>
        <v>0.10001276228965184</v>
      </c>
      <c r="D88" s="1490">
        <v>480.74</v>
      </c>
      <c r="E88" s="1488">
        <f>D88/D77-1</f>
        <v>0.11158897521272659</v>
      </c>
      <c r="F88" s="1490">
        <v>2041.19</v>
      </c>
      <c r="G88" s="1488">
        <f>F88/F77-1</f>
        <v>0.12323015545467064</v>
      </c>
      <c r="H88" s="1491">
        <f>(B88*6/(F88-D88))</f>
        <v>4319.9781985965592</v>
      </c>
      <c r="I88" s="1491">
        <f>H77+H88</f>
        <v>8745.4139749348687</v>
      </c>
    </row>
    <row r="89" spans="1:9">
      <c r="A89" s="1489" t="s">
        <v>681</v>
      </c>
      <c r="B89" s="1490">
        <v>1832395.98</v>
      </c>
      <c r="C89" s="1488">
        <f>B89/B78-1</f>
        <v>3.7533590393545646E-2</v>
      </c>
      <c r="D89" s="1490">
        <v>509.65</v>
      </c>
      <c r="E89" s="1488">
        <f>D89/D78-1</f>
        <v>2.8889247789397166E-2</v>
      </c>
      <c r="F89" s="1490">
        <v>3019.54</v>
      </c>
      <c r="G89" s="1488">
        <f>F89/F78-1</f>
        <v>0.12316945703966287</v>
      </c>
      <c r="H89" s="1491">
        <f>(B89*6/(F89-D89))</f>
        <v>4380.4214049221282</v>
      </c>
      <c r="I89" s="1769">
        <f>H78+H89</f>
        <v>9212.2989646899441</v>
      </c>
    </row>
    <row r="90" spans="1:9" ht="27">
      <c r="A90" s="1489" t="s">
        <v>962</v>
      </c>
      <c r="B90" s="1490"/>
      <c r="C90" s="1488"/>
      <c r="D90" s="1490"/>
      <c r="E90" s="1488"/>
      <c r="F90" s="1490">
        <v>632.74</v>
      </c>
      <c r="G90" s="1488">
        <f>F90/F79-1</f>
        <v>0.49867361440075797</v>
      </c>
      <c r="H90" s="1491"/>
      <c r="I90" s="1491"/>
    </row>
    <row r="92" spans="1:9" s="2496" customFormat="1" hidden="1">
      <c r="A92" s="2492" t="s">
        <v>1824</v>
      </c>
      <c r="B92" s="2493"/>
      <c r="C92" s="2494"/>
      <c r="D92" s="2493"/>
      <c r="E92" s="2493"/>
      <c r="F92" s="2495"/>
      <c r="G92" s="2493"/>
      <c r="I92" s="2508" t="s">
        <v>2486</v>
      </c>
    </row>
    <row r="93" spans="1:9" s="2496" customFormat="1" ht="18.75" hidden="1" customHeight="1">
      <c r="A93" s="4381" t="s">
        <v>1809</v>
      </c>
      <c r="B93" s="2497" t="s">
        <v>1810</v>
      </c>
      <c r="C93" s="2498"/>
      <c r="D93" s="2497"/>
      <c r="E93" s="2497"/>
      <c r="F93" s="2497" t="s">
        <v>1811</v>
      </c>
      <c r="G93" s="2497"/>
      <c r="H93" s="4381" t="s">
        <v>835</v>
      </c>
    </row>
    <row r="94" spans="1:9" s="2496" customFormat="1" ht="66" hidden="1">
      <c r="A94" s="4382"/>
      <c r="B94" s="2499" t="s">
        <v>837</v>
      </c>
      <c r="C94" s="2500" t="s">
        <v>1812</v>
      </c>
      <c r="D94" s="2499" t="s">
        <v>898</v>
      </c>
      <c r="E94" s="2501" t="s">
        <v>1812</v>
      </c>
      <c r="F94" s="2502" t="s">
        <v>839</v>
      </c>
      <c r="G94" s="2501" t="s">
        <v>1812</v>
      </c>
      <c r="H94" s="4383"/>
    </row>
    <row r="95" spans="1:9" s="2496" customFormat="1" ht="15.6" hidden="1">
      <c r="A95" s="4382"/>
      <c r="B95" s="2503" t="s">
        <v>1813</v>
      </c>
      <c r="C95" s="2504" t="s">
        <v>244</v>
      </c>
      <c r="D95" s="2503" t="s">
        <v>1814</v>
      </c>
      <c r="E95" s="2502" t="s">
        <v>244</v>
      </c>
      <c r="F95" s="2502"/>
      <c r="G95" s="2503"/>
      <c r="H95" s="2503" t="s">
        <v>1841</v>
      </c>
    </row>
    <row r="96" spans="1:9" s="2496" customFormat="1" hidden="1">
      <c r="A96" s="4383"/>
      <c r="B96" s="2502" t="s">
        <v>291</v>
      </c>
      <c r="C96" s="2504"/>
      <c r="D96" s="2502" t="s">
        <v>843</v>
      </c>
      <c r="E96" s="2502"/>
      <c r="F96" s="2502" t="s">
        <v>843</v>
      </c>
      <c r="G96" s="2502" t="s">
        <v>244</v>
      </c>
      <c r="H96" s="2502" t="s">
        <v>1815</v>
      </c>
    </row>
    <row r="97" spans="1:9" s="2496" customFormat="1" hidden="1">
      <c r="A97" s="2499" t="s">
        <v>697</v>
      </c>
      <c r="B97" s="2505">
        <v>556235.52000000002</v>
      </c>
      <c r="C97" s="2506">
        <f>B97/B86-1</f>
        <v>0.23936197566549389</v>
      </c>
      <c r="D97" s="2505">
        <v>233.02</v>
      </c>
      <c r="E97" s="2506">
        <f>D97/D75-1</f>
        <v>0.47210815591635624</v>
      </c>
      <c r="F97" s="2505">
        <v>1026.03</v>
      </c>
      <c r="G97" s="2506">
        <f>F97/F75-1</f>
        <v>0.48611694500369351</v>
      </c>
      <c r="H97" s="2507">
        <f>(B97*12/(F97-D97))</f>
        <v>8417.0770103781797</v>
      </c>
    </row>
    <row r="98" spans="1:9" s="2496" customFormat="1" hidden="1">
      <c r="A98" s="2499" t="s">
        <v>676</v>
      </c>
      <c r="B98" s="2505">
        <v>1016086.23</v>
      </c>
      <c r="C98" s="2506">
        <f>B98/B76-1</f>
        <v>0.37198203239539085</v>
      </c>
      <c r="D98" s="2505">
        <v>249.17</v>
      </c>
      <c r="E98" s="2506">
        <f>D98/D76-1</f>
        <v>0.48191982871416683</v>
      </c>
      <c r="F98" s="2505">
        <v>1721.28</v>
      </c>
      <c r="G98" s="2506">
        <f>F98/F76-1</f>
        <v>0.46612948561791434</v>
      </c>
      <c r="H98" s="2507">
        <f>(B98*12/(F98-D98))</f>
        <v>8282.69270638743</v>
      </c>
    </row>
    <row r="99" spans="1:9" s="2496" customFormat="1" hidden="1">
      <c r="A99" s="2499" t="s">
        <v>847</v>
      </c>
      <c r="B99" s="2505">
        <v>1443155.57</v>
      </c>
      <c r="C99" s="2506">
        <f>B99/B77-1</f>
        <v>0.41296274620583806</v>
      </c>
      <c r="D99" s="2505">
        <v>600.1</v>
      </c>
      <c r="E99" s="2506">
        <f>D99/D77-1</f>
        <v>0.38757861635220126</v>
      </c>
      <c r="F99" s="2505">
        <v>2789.99</v>
      </c>
      <c r="G99" s="2506">
        <f>F99/F77-1</f>
        <v>0.53528133168248715</v>
      </c>
      <c r="H99" s="2507">
        <f>(B99*12/(F99-D99))</f>
        <v>7908.0989638748979</v>
      </c>
    </row>
    <row r="100" spans="1:9" s="2496" customFormat="1" hidden="1">
      <c r="A100" s="2499" t="s">
        <v>681</v>
      </c>
      <c r="B100" s="2505">
        <v>2624875.9300000002</v>
      </c>
      <c r="C100" s="2506">
        <f>B100/B78-1</f>
        <v>0.48624913922289736</v>
      </c>
      <c r="D100" s="2505">
        <v>684.4</v>
      </c>
      <c r="E100" s="2506">
        <f>D100/D78-1</f>
        <v>0.3816772318003796</v>
      </c>
      <c r="F100" s="2505">
        <v>4322.84</v>
      </c>
      <c r="G100" s="2506">
        <f>F100/F78-1</f>
        <v>0.60795414389918223</v>
      </c>
      <c r="H100" s="2507">
        <f>(B100*12/(F100-D100))</f>
        <v>8657.1473378700775</v>
      </c>
    </row>
    <row r="101" spans="1:9" s="2496" customFormat="1" ht="27" hidden="1">
      <c r="A101" s="2499" t="s">
        <v>962</v>
      </c>
      <c r="B101" s="2505">
        <v>28996.04</v>
      </c>
      <c r="C101" s="2506" t="e">
        <f>B101/B79-1</f>
        <v>#DIV/0!</v>
      </c>
      <c r="D101" s="2505">
        <v>273.31</v>
      </c>
      <c r="E101" s="2506" t="e">
        <f>D101/D79-1</f>
        <v>#DIV/0!</v>
      </c>
      <c r="F101" s="2505">
        <v>335.61</v>
      </c>
      <c r="G101" s="2506">
        <f>F101/F79-1</f>
        <v>-0.20509237328280427</v>
      </c>
      <c r="H101" s="2507">
        <f>(B101*12/(F101-D101))</f>
        <v>5585.1120385232734</v>
      </c>
    </row>
    <row r="102" spans="1:9" hidden="1"/>
    <row r="103" spans="1:9" hidden="1"/>
    <row r="104" spans="1:9">
      <c r="A104" s="1548" t="s">
        <v>2144</v>
      </c>
      <c r="B104" s="1472"/>
      <c r="C104" s="1473"/>
      <c r="D104" s="1472"/>
      <c r="E104" s="1472"/>
      <c r="F104" s="1549"/>
      <c r="G104" s="1472"/>
    </row>
    <row r="105" spans="1:9" ht="18.75" customHeight="1">
      <c r="A105" s="4378" t="s">
        <v>1809</v>
      </c>
      <c r="B105" s="1477" t="s">
        <v>1810</v>
      </c>
      <c r="C105" s="1478"/>
      <c r="D105" s="1477"/>
      <c r="E105" s="1477"/>
      <c r="F105" s="1477" t="s">
        <v>1811</v>
      </c>
      <c r="G105" s="1477"/>
      <c r="H105" s="4378" t="s">
        <v>835</v>
      </c>
      <c r="I105" s="2509" t="s">
        <v>1492</v>
      </c>
    </row>
    <row r="106" spans="1:9" ht="66">
      <c r="A106" s="4379"/>
      <c r="B106" s="1480" t="s">
        <v>837</v>
      </c>
      <c r="C106" s="1481" t="s">
        <v>1812</v>
      </c>
      <c r="D106" s="1480" t="s">
        <v>898</v>
      </c>
      <c r="E106" s="1482" t="s">
        <v>1812</v>
      </c>
      <c r="F106" s="1483" t="s">
        <v>839</v>
      </c>
      <c r="G106" s="1482" t="s">
        <v>1812</v>
      </c>
      <c r="H106" s="4380"/>
    </row>
    <row r="107" spans="1:9" ht="15.6">
      <c r="A107" s="4379"/>
      <c r="B107" s="1484" t="s">
        <v>1813</v>
      </c>
      <c r="C107" s="1485" t="s">
        <v>244</v>
      </c>
      <c r="D107" s="1484" t="s">
        <v>1814</v>
      </c>
      <c r="E107" s="1486" t="s">
        <v>244</v>
      </c>
      <c r="F107" s="1483"/>
      <c r="G107" s="1522"/>
      <c r="H107" s="1562" t="s">
        <v>1841</v>
      </c>
    </row>
    <row r="108" spans="1:9">
      <c r="A108" s="4380"/>
      <c r="B108" s="1483" t="s">
        <v>291</v>
      </c>
      <c r="C108" s="1485"/>
      <c r="D108" s="1483" t="s">
        <v>843</v>
      </c>
      <c r="E108" s="1486"/>
      <c r="F108" s="1483" t="s">
        <v>843</v>
      </c>
      <c r="G108" s="1486" t="s">
        <v>244</v>
      </c>
      <c r="H108" s="1483" t="s">
        <v>1815</v>
      </c>
    </row>
    <row r="109" spans="1:9">
      <c r="A109" s="1489" t="s">
        <v>697</v>
      </c>
      <c r="B109" s="1490">
        <v>446315.56</v>
      </c>
      <c r="C109" s="1488">
        <f>B109/B97-1</f>
        <v>-0.19761406103659118</v>
      </c>
      <c r="D109" s="1490">
        <v>182.68</v>
      </c>
      <c r="E109" s="1488">
        <f>D109/D97-1</f>
        <v>-0.21603295854433091</v>
      </c>
      <c r="F109" s="1490">
        <v>783.69</v>
      </c>
      <c r="G109" s="1488">
        <f>F109/F97-1</f>
        <v>-0.23619192421274227</v>
      </c>
      <c r="H109" s="1491">
        <f>(B109*12/(F109-D109))</f>
        <v>8911.3104940017638</v>
      </c>
    </row>
    <row r="110" spans="1:9">
      <c r="A110" s="1489" t="s">
        <v>676</v>
      </c>
      <c r="B110" s="1490">
        <v>847448.2</v>
      </c>
      <c r="C110" s="1488">
        <f>B110/B98-1</f>
        <v>-0.1659682269289291</v>
      </c>
      <c r="D110" s="1490">
        <v>189.4</v>
      </c>
      <c r="E110" s="1488">
        <f>D110/D98-1</f>
        <v>-0.23987638961351676</v>
      </c>
      <c r="F110" s="1490">
        <v>1348.38</v>
      </c>
      <c r="G110" s="1488">
        <f>F110/F98-1</f>
        <v>-0.21664110429447847</v>
      </c>
      <c r="H110" s="1491">
        <f>(B110*12/(F110-D110))</f>
        <v>8774.4209563581753</v>
      </c>
    </row>
    <row r="111" spans="1:9">
      <c r="A111" s="1489" t="s">
        <v>847</v>
      </c>
      <c r="B111" s="1490">
        <v>1156955</v>
      </c>
      <c r="C111" s="1488">
        <f>B111/B99-1</f>
        <v>-0.1983158128960415</v>
      </c>
      <c r="D111" s="1490">
        <v>482.36</v>
      </c>
      <c r="E111" s="1488">
        <f>D111/D99-1</f>
        <v>-0.19620063322779535</v>
      </c>
      <c r="F111" s="1490">
        <v>2064.62</v>
      </c>
      <c r="G111" s="1488">
        <f>F111/F99-1</f>
        <v>-0.25999017917626943</v>
      </c>
      <c r="H111" s="1491">
        <f>(B111*12/(F111-D111))</f>
        <v>8774.4492055667215</v>
      </c>
    </row>
    <row r="112" spans="1:9">
      <c r="A112" s="1489" t="s">
        <v>681</v>
      </c>
      <c r="B112" s="1490">
        <v>1853656.95</v>
      </c>
      <c r="C112" s="1488">
        <f>B112/B100-1</f>
        <v>-0.29381159360168319</v>
      </c>
      <c r="D112" s="1490">
        <v>519.70000000000005</v>
      </c>
      <c r="E112" s="1488">
        <f>D112/D100-1</f>
        <v>-0.24064874342489762</v>
      </c>
      <c r="F112" s="1490">
        <v>3054.78</v>
      </c>
      <c r="G112" s="1488">
        <f>F112/F100-1</f>
        <v>-0.29333956380527615</v>
      </c>
      <c r="H112" s="1491">
        <f>(B112*12/(F112-D112))</f>
        <v>8774.4305505151715</v>
      </c>
    </row>
    <row r="113" spans="1:8" ht="27">
      <c r="A113" s="1489" t="s">
        <v>962</v>
      </c>
      <c r="B113" s="1490"/>
      <c r="C113" s="1488"/>
      <c r="D113" s="1490"/>
      <c r="E113" s="1488"/>
      <c r="F113" s="1490"/>
      <c r="G113" s="1488"/>
      <c r="H113" s="1491"/>
    </row>
    <row r="115" spans="1:8">
      <c r="A115" s="1548" t="s">
        <v>2145</v>
      </c>
      <c r="B115" s="1472"/>
      <c r="C115" s="1473"/>
      <c r="D115" s="1472"/>
      <c r="E115" s="1472"/>
      <c r="F115" s="1549"/>
      <c r="G115" s="1472"/>
    </row>
    <row r="116" spans="1:8" ht="18.75" customHeight="1">
      <c r="A116" s="4378" t="s">
        <v>1809</v>
      </c>
      <c r="B116" s="1477" t="s">
        <v>1810</v>
      </c>
      <c r="C116" s="1478"/>
      <c r="D116" s="1477"/>
      <c r="E116" s="1477"/>
      <c r="F116" s="1477" t="s">
        <v>1811</v>
      </c>
      <c r="G116" s="1477"/>
      <c r="H116" s="4378" t="s">
        <v>835</v>
      </c>
    </row>
    <row r="117" spans="1:8" ht="66">
      <c r="A117" s="4379"/>
      <c r="B117" s="1480" t="s">
        <v>837</v>
      </c>
      <c r="C117" s="1481" t="s">
        <v>1812</v>
      </c>
      <c r="D117" s="1480" t="s">
        <v>898</v>
      </c>
      <c r="E117" s="1482" t="s">
        <v>1812</v>
      </c>
      <c r="F117" s="1483" t="s">
        <v>839</v>
      </c>
      <c r="G117" s="1482" t="s">
        <v>1812</v>
      </c>
      <c r="H117" s="4380"/>
    </row>
    <row r="118" spans="1:8" ht="15.6">
      <c r="A118" s="4379"/>
      <c r="B118" s="1484" t="s">
        <v>1813</v>
      </c>
      <c r="C118" s="1485" t="s">
        <v>244</v>
      </c>
      <c r="D118" s="1484" t="s">
        <v>1814</v>
      </c>
      <c r="E118" s="1486" t="s">
        <v>244</v>
      </c>
      <c r="F118" s="1483"/>
      <c r="G118" s="1522"/>
      <c r="H118" s="1562" t="s">
        <v>1841</v>
      </c>
    </row>
    <row r="119" spans="1:8">
      <c r="A119" s="4380"/>
      <c r="B119" s="1483" t="s">
        <v>291</v>
      </c>
      <c r="C119" s="1485"/>
      <c r="D119" s="1483" t="s">
        <v>843</v>
      </c>
      <c r="E119" s="1486"/>
      <c r="F119" s="1483" t="s">
        <v>843</v>
      </c>
      <c r="G119" s="1486" t="s">
        <v>244</v>
      </c>
      <c r="H119" s="1483" t="s">
        <v>1815</v>
      </c>
    </row>
    <row r="120" spans="1:8">
      <c r="A120" s="1489" t="s">
        <v>697</v>
      </c>
      <c r="B120" s="1490">
        <v>696788.79</v>
      </c>
      <c r="C120" s="1488">
        <f>B120/B109-1</f>
        <v>0.56120210104258983</v>
      </c>
      <c r="D120" s="1490">
        <v>93.89</v>
      </c>
      <c r="E120" s="1488">
        <f>D120/D109-1</f>
        <v>-0.48604116487847604</v>
      </c>
      <c r="F120" s="1490">
        <v>1048.4000000000001</v>
      </c>
      <c r="G120" s="1488">
        <f>F120/F109-1</f>
        <v>0.33777386466587567</v>
      </c>
      <c r="H120" s="1491">
        <f>(B120*12/(F120-D120))</f>
        <v>8759.9558726466985</v>
      </c>
    </row>
    <row r="121" spans="1:8">
      <c r="A121" s="1489" t="s">
        <v>676</v>
      </c>
      <c r="B121" s="1490">
        <v>1170896.3600000001</v>
      </c>
      <c r="C121" s="1488">
        <f>B121/B110-1</f>
        <v>0.3816730745312813</v>
      </c>
      <c r="D121" s="1490">
        <v>198.82</v>
      </c>
      <c r="E121" s="1488">
        <f>D121/D110-1</f>
        <v>4.9736008447729629E-2</v>
      </c>
      <c r="F121" s="1490">
        <v>1802.78</v>
      </c>
      <c r="G121" s="1488">
        <f>F121/F110-1</f>
        <v>0.33699698897936781</v>
      </c>
      <c r="H121" s="1491">
        <f>(B121*12/(F121-D121))</f>
        <v>8760.0415970473077</v>
      </c>
    </row>
    <row r="122" spans="1:8">
      <c r="A122" s="1489" t="s">
        <v>847</v>
      </c>
      <c r="B122" s="1490">
        <v>1821035.14</v>
      </c>
      <c r="C122" s="1488">
        <f>B122/B111-1</f>
        <v>0.57398960201563587</v>
      </c>
      <c r="D122" s="1490">
        <v>261.7</v>
      </c>
      <c r="E122" s="1488">
        <f>D122/D111-1</f>
        <v>-0.45745915913425661</v>
      </c>
      <c r="F122" s="1490">
        <v>2756.27</v>
      </c>
      <c r="G122" s="1488">
        <f>F122/F111-1</f>
        <v>0.33500111400645172</v>
      </c>
      <c r="H122" s="1491">
        <f>(B122*12/(F122-D122))</f>
        <v>8759.9953819696366</v>
      </c>
    </row>
    <row r="123" spans="1:8">
      <c r="A123" s="1489" t="s">
        <v>681</v>
      </c>
      <c r="B123" s="1490">
        <v>2450996.14</v>
      </c>
      <c r="C123" s="1488">
        <f>B123/B112-1</f>
        <v>0.32224904937237731</v>
      </c>
      <c r="D123" s="1490">
        <v>714.49</v>
      </c>
      <c r="E123" s="1488">
        <f>D123/D112-1</f>
        <v>0.37481239176447945</v>
      </c>
      <c r="F123" s="1490">
        <v>4072.02</v>
      </c>
      <c r="G123" s="1488">
        <f>F123/F112-1</f>
        <v>0.33299943040087987</v>
      </c>
      <c r="H123" s="1491">
        <f>(B123*12/(F123-D123))</f>
        <v>8759.9972837174955</v>
      </c>
    </row>
    <row r="124" spans="1:8" ht="27">
      <c r="A124" s="1489" t="s">
        <v>962</v>
      </c>
      <c r="B124" s="1490"/>
      <c r="C124" s="1488"/>
      <c r="D124" s="1490"/>
      <c r="E124" s="1488"/>
      <c r="F124" s="1490"/>
      <c r="G124" s="1488"/>
      <c r="H124" s="1491"/>
    </row>
  </sheetData>
  <mergeCells count="24">
    <mergeCell ref="A38:A41"/>
    <mergeCell ref="H38:H39"/>
    <mergeCell ref="A49:A52"/>
    <mergeCell ref="H49:H50"/>
    <mergeCell ref="A60:A63"/>
    <mergeCell ref="H60:H61"/>
    <mergeCell ref="A5:A8"/>
    <mergeCell ref="H5:H6"/>
    <mergeCell ref="A16:A19"/>
    <mergeCell ref="H16:H17"/>
    <mergeCell ref="A27:A30"/>
    <mergeCell ref="H27:H28"/>
    <mergeCell ref="A116:A119"/>
    <mergeCell ref="H116:H117"/>
    <mergeCell ref="I60:I61"/>
    <mergeCell ref="A71:A74"/>
    <mergeCell ref="H71:H72"/>
    <mergeCell ref="A82:A85"/>
    <mergeCell ref="H82:H83"/>
    <mergeCell ref="I82:I83"/>
    <mergeCell ref="A93:A96"/>
    <mergeCell ref="H93:H94"/>
    <mergeCell ref="A105:A108"/>
    <mergeCell ref="H105:H10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&amp;R&amp;8&amp;P</oddFooter>
  </headerFooter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5">
    <tabColor rgb="FFFFC000"/>
  </sheetPr>
  <dimension ref="A1:S69"/>
  <sheetViews>
    <sheetView workbookViewId="0">
      <selection activeCell="K8" sqref="K8"/>
    </sheetView>
  </sheetViews>
  <sheetFormatPr defaultColWidth="9.109375" defaultRowHeight="15.6"/>
  <cols>
    <col min="1" max="1" width="6" style="26" customWidth="1"/>
    <col min="2" max="2" width="42.6640625" style="26" customWidth="1"/>
    <col min="3" max="3" width="7.6640625" style="26" customWidth="1"/>
    <col min="4" max="4" width="11.109375" style="26" customWidth="1"/>
    <col min="5" max="5" width="12.44140625" style="26" customWidth="1"/>
    <col min="6" max="6" width="12.88671875" style="26" customWidth="1"/>
    <col min="7" max="7" width="12.44140625" style="26" customWidth="1"/>
    <col min="8" max="8" width="11" style="26" customWidth="1"/>
    <col min="9" max="9" width="13.109375" style="26" customWidth="1"/>
    <col min="10" max="10" width="10.44140625" style="26" customWidth="1"/>
    <col min="11" max="11" width="12" style="26" customWidth="1"/>
    <col min="12" max="13" width="11.5546875" style="172" customWidth="1"/>
    <col min="14" max="14" width="12.5546875" style="172" bestFit="1" customWidth="1"/>
    <col min="15" max="15" width="9.109375" style="26"/>
    <col min="16" max="16" width="10.44140625" style="26" customWidth="1"/>
    <col min="17" max="18" width="9.109375" style="26"/>
    <col min="19" max="19" width="11.6640625" style="26" customWidth="1"/>
    <col min="20" max="16384" width="9.109375" style="26"/>
  </cols>
  <sheetData>
    <row r="1" spans="1:14">
      <c r="A1" s="109" t="s">
        <v>1826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321"/>
      <c r="M1" s="321"/>
      <c r="N1" s="321"/>
    </row>
    <row r="2" spans="1:14">
      <c r="A2" s="109" t="s">
        <v>1262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321"/>
      <c r="M2" s="321"/>
      <c r="N2" s="321"/>
    </row>
    <row r="3" spans="1:14" ht="16.2" thickBot="1">
      <c r="A3" s="1523" t="s">
        <v>1829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321"/>
      <c r="M3" s="321"/>
      <c r="N3" s="321"/>
    </row>
    <row r="4" spans="1:14" ht="16.2" hidden="1" thickBot="1">
      <c r="B4" s="322" t="s">
        <v>893</v>
      </c>
      <c r="C4" s="322"/>
      <c r="D4" s="172"/>
      <c r="E4" s="172"/>
      <c r="F4" s="172"/>
      <c r="G4" s="172"/>
      <c r="H4" s="172"/>
      <c r="I4" s="172"/>
    </row>
    <row r="5" spans="1:14" ht="16.2" hidden="1" thickBot="1">
      <c r="B5" s="172"/>
      <c r="C5" s="172"/>
      <c r="D5" s="172"/>
      <c r="E5" s="172"/>
      <c r="H5" s="172"/>
      <c r="I5" s="172"/>
    </row>
    <row r="6" spans="1:14" ht="27.75" hidden="1" customHeight="1">
      <c r="B6" s="4202" t="s">
        <v>836</v>
      </c>
      <c r="C6" s="679"/>
      <c r="D6" s="4397" t="s">
        <v>837</v>
      </c>
      <c r="E6" s="4397" t="s">
        <v>898</v>
      </c>
      <c r="F6" s="4399" t="s">
        <v>839</v>
      </c>
    </row>
    <row r="7" spans="1:14" ht="48" hidden="1" customHeight="1">
      <c r="B7" s="4203"/>
      <c r="C7" s="680"/>
      <c r="D7" s="4398"/>
      <c r="E7" s="4398"/>
      <c r="F7" s="4399"/>
    </row>
    <row r="8" spans="1:14" ht="18.600000000000001" hidden="1" thickBot="1">
      <c r="B8" s="4203"/>
      <c r="C8" s="680"/>
      <c r="D8" s="323" t="s">
        <v>899</v>
      </c>
      <c r="E8" s="323" t="s">
        <v>900</v>
      </c>
      <c r="F8" s="81"/>
    </row>
    <row r="9" spans="1:14" ht="31.8" hidden="1" thickBot="1">
      <c r="B9" s="4204"/>
      <c r="C9" s="681"/>
      <c r="D9" s="81" t="s">
        <v>291</v>
      </c>
      <c r="E9" s="81" t="s">
        <v>251</v>
      </c>
      <c r="F9" s="81" t="s">
        <v>251</v>
      </c>
      <c r="G9" s="322" t="s">
        <v>835</v>
      </c>
    </row>
    <row r="10" spans="1:14" ht="16.2" hidden="1" thickBot="1">
      <c r="B10" s="81" t="s">
        <v>697</v>
      </c>
      <c r="C10" s="81"/>
      <c r="D10" s="324">
        <v>300621.82</v>
      </c>
      <c r="E10" s="324">
        <v>176.8</v>
      </c>
      <c r="F10" s="325">
        <v>592.41</v>
      </c>
      <c r="G10" s="326">
        <f>(D10*12/(F10-E10))</f>
        <v>8679.9206948822211</v>
      </c>
    </row>
    <row r="11" spans="1:14" ht="16.2" hidden="1" thickBot="1">
      <c r="B11" s="81" t="s">
        <v>676</v>
      </c>
      <c r="C11" s="81"/>
      <c r="D11" s="324">
        <v>490793.23</v>
      </c>
      <c r="E11" s="324">
        <v>180</v>
      </c>
      <c r="F11" s="325">
        <v>969.48</v>
      </c>
      <c r="G11" s="326">
        <f>(D11*12/(F11-E11))</f>
        <v>7459.9974160206712</v>
      </c>
      <c r="H11" s="327"/>
      <c r="I11" s="328"/>
      <c r="L11" s="329"/>
    </row>
    <row r="12" spans="1:14" ht="16.2" hidden="1" thickBot="1">
      <c r="B12" s="330" t="s">
        <v>847</v>
      </c>
      <c r="C12" s="330"/>
      <c r="D12" s="324">
        <v>680321</v>
      </c>
      <c r="E12" s="324">
        <v>210</v>
      </c>
      <c r="F12" s="325">
        <v>1441.35</v>
      </c>
      <c r="G12" s="326">
        <f>(D12*12/(F12-E12))</f>
        <v>6630.0012181751745</v>
      </c>
      <c r="H12" s="99" t="s">
        <v>901</v>
      </c>
    </row>
    <row r="13" spans="1:14" ht="16.2" hidden="1" thickBot="1">
      <c r="B13" s="81" t="s">
        <v>681</v>
      </c>
      <c r="C13" s="81"/>
      <c r="D13" s="324">
        <v>851305.82</v>
      </c>
      <c r="E13" s="324">
        <v>432</v>
      </c>
      <c r="F13" s="325">
        <v>2296.17</v>
      </c>
      <c r="G13" s="326">
        <f>(D13*12/(F13-E13))</f>
        <v>5480.0097845153605</v>
      </c>
      <c r="H13" s="331">
        <f>(365-53)*16</f>
        <v>4992</v>
      </c>
      <c r="I13" s="26" t="s">
        <v>892</v>
      </c>
      <c r="L13" s="172" t="s">
        <v>892</v>
      </c>
    </row>
    <row r="14" spans="1:14" ht="16.2" hidden="1" thickBot="1">
      <c r="B14" s="85"/>
      <c r="C14" s="85"/>
      <c r="D14" s="332"/>
      <c r="E14" s="332"/>
      <c r="F14" s="333"/>
      <c r="G14" s="326"/>
      <c r="H14" s="331"/>
    </row>
    <row r="15" spans="1:14" ht="16.2" thickBot="1">
      <c r="A15" s="4400"/>
      <c r="B15" s="4403" t="s">
        <v>902</v>
      </c>
      <c r="C15" s="683"/>
      <c r="D15" s="4406" t="s">
        <v>903</v>
      </c>
      <c r="E15" s="4407"/>
      <c r="F15" s="334" t="s">
        <v>904</v>
      </c>
      <c r="G15" s="335"/>
      <c r="H15" s="336"/>
      <c r="I15" s="337" t="s">
        <v>905</v>
      </c>
      <c r="J15" s="338"/>
      <c r="K15" s="338"/>
      <c r="L15" s="339"/>
      <c r="M15" s="340"/>
      <c r="N15" s="341"/>
    </row>
    <row r="16" spans="1:14" ht="27.6">
      <c r="A16" s="4401"/>
      <c r="B16" s="4404"/>
      <c r="C16" s="711"/>
      <c r="D16" s="4408"/>
      <c r="E16" s="4409"/>
      <c r="F16" s="342" t="s">
        <v>906</v>
      </c>
      <c r="G16" s="343"/>
      <c r="H16" s="344" t="s">
        <v>907</v>
      </c>
      <c r="I16" s="345" t="s">
        <v>1872</v>
      </c>
      <c r="J16" s="346"/>
      <c r="K16" s="347"/>
      <c r="L16" s="756" t="s">
        <v>1837</v>
      </c>
      <c r="M16" s="348"/>
      <c r="N16" s="1448"/>
    </row>
    <row r="17" spans="1:19" s="357" customFormat="1" ht="80.25" customHeight="1">
      <c r="A17" s="4402"/>
      <c r="B17" s="4405"/>
      <c r="C17" s="682"/>
      <c r="D17" s="174" t="s">
        <v>909</v>
      </c>
      <c r="E17" s="349" t="s">
        <v>910</v>
      </c>
      <c r="F17" s="350" t="s">
        <v>911</v>
      </c>
      <c r="G17" s="17" t="s">
        <v>912</v>
      </c>
      <c r="H17" s="351" t="s">
        <v>913</v>
      </c>
      <c r="I17" s="352" t="s">
        <v>914</v>
      </c>
      <c r="J17" s="174" t="s">
        <v>915</v>
      </c>
      <c r="K17" s="353" t="s">
        <v>419</v>
      </c>
      <c r="L17" s="354" t="s">
        <v>1260</v>
      </c>
      <c r="M17" s="355" t="s">
        <v>915</v>
      </c>
      <c r="N17" s="356" t="s">
        <v>419</v>
      </c>
    </row>
    <row r="18" spans="1:19" s="369" customFormat="1" ht="28.5" customHeight="1">
      <c r="A18" s="358">
        <v>1</v>
      </c>
      <c r="B18" s="359">
        <v>2</v>
      </c>
      <c r="C18" s="359"/>
      <c r="D18" s="360">
        <v>3</v>
      </c>
      <c r="E18" s="361">
        <v>4</v>
      </c>
      <c r="F18" s="362">
        <v>5</v>
      </c>
      <c r="G18" s="360">
        <v>6</v>
      </c>
      <c r="H18" s="363">
        <v>7</v>
      </c>
      <c r="I18" s="364" t="s">
        <v>916</v>
      </c>
      <c r="J18" s="365" t="s">
        <v>917</v>
      </c>
      <c r="K18" s="366" t="s">
        <v>918</v>
      </c>
      <c r="L18" s="362">
        <v>11</v>
      </c>
      <c r="M18" s="360">
        <v>12</v>
      </c>
      <c r="N18" s="363">
        <v>13</v>
      </c>
      <c r="O18" s="367" t="s">
        <v>919</v>
      </c>
      <c r="P18" s="368"/>
      <c r="Q18" s="1452" t="s">
        <v>1806</v>
      </c>
      <c r="R18" s="1453"/>
      <c r="S18" s="1454"/>
    </row>
    <row r="19" spans="1:19" ht="27.6">
      <c r="A19" s="370" t="s">
        <v>920</v>
      </c>
      <c r="B19" s="300" t="s">
        <v>921</v>
      </c>
      <c r="C19" s="300"/>
      <c r="D19" s="371"/>
      <c r="E19" s="372"/>
      <c r="F19" s="373"/>
      <c r="G19" s="371"/>
      <c r="H19" s="374"/>
      <c r="I19" s="375">
        <v>2744.8</v>
      </c>
      <c r="J19" s="1654">
        <f>E42*E43/1000</f>
        <v>2216.7543228830214</v>
      </c>
      <c r="K19" s="377">
        <f>ROUND((I19+J19),1)</f>
        <v>4961.6000000000004</v>
      </c>
      <c r="L19" s="1544" t="s">
        <v>1873</v>
      </c>
      <c r="M19" s="1545"/>
      <c r="N19" s="380">
        <f>N23-N31+N36</f>
        <v>5002.0370641783866</v>
      </c>
      <c r="O19" s="367">
        <f>$E$42*$E$43/1000</f>
        <v>2216.7543228830214</v>
      </c>
      <c r="Q19" s="1452">
        <f>N23+K36-N32-K35</f>
        <v>15947.5353648</v>
      </c>
      <c r="R19" s="1454"/>
      <c r="S19" s="1455"/>
    </row>
    <row r="20" spans="1:19" ht="43.5" customHeight="1" thickBot="1">
      <c r="A20" s="381"/>
      <c r="B20" s="371" t="s">
        <v>922</v>
      </c>
      <c r="C20" s="371"/>
      <c r="D20" s="371"/>
      <c r="E20" s="372"/>
      <c r="F20" s="382"/>
      <c r="G20" s="383"/>
      <c r="H20" s="384"/>
      <c r="I20" s="729">
        <f>I23+I36-I31</f>
        <v>3764.1667443999995</v>
      </c>
      <c r="J20" s="385">
        <f>ROUND((J23+J36-J31),1)</f>
        <v>2944.4</v>
      </c>
      <c r="K20" s="377">
        <f>ROUND((I20+J20),1)</f>
        <v>6708.6</v>
      </c>
      <c r="L20" s="1544" t="s">
        <v>1839</v>
      </c>
      <c r="M20" s="1545"/>
      <c r="N20" s="1593">
        <f>N23-K31+N36</f>
        <v>5009.7353955999988</v>
      </c>
      <c r="Q20" s="367"/>
    </row>
    <row r="21" spans="1:19" ht="1.5" hidden="1" customHeight="1">
      <c r="A21" s="388"/>
      <c r="B21" s="389" t="s">
        <v>923</v>
      </c>
      <c r="C21" s="389"/>
      <c r="D21" s="389"/>
      <c r="E21" s="390"/>
      <c r="F21" s="391"/>
      <c r="G21" s="392"/>
      <c r="H21" s="393"/>
      <c r="I21" s="394">
        <f>K19-K20</f>
        <v>-1747</v>
      </c>
      <c r="J21" s="395"/>
      <c r="K21" s="396"/>
      <c r="L21" s="397"/>
      <c r="M21" s="398"/>
      <c r="N21" s="399"/>
    </row>
    <row r="22" spans="1:19" ht="15.75" customHeight="1">
      <c r="A22" s="4385" t="s">
        <v>924</v>
      </c>
      <c r="B22" s="4387" t="s">
        <v>1799</v>
      </c>
      <c r="C22" s="4388"/>
      <c r="D22" s="4389"/>
      <c r="E22" s="4389"/>
      <c r="F22" s="400"/>
      <c r="G22" s="401"/>
      <c r="H22" s="402"/>
      <c r="I22" s="403" t="s">
        <v>925</v>
      </c>
      <c r="J22" s="404"/>
      <c r="K22" s="405"/>
      <c r="L22" s="406" t="s">
        <v>926</v>
      </c>
      <c r="M22" s="404"/>
      <c r="N22" s="407"/>
    </row>
    <row r="23" spans="1:19" ht="24" customHeight="1">
      <c r="A23" s="4386"/>
      <c r="B23" s="4390"/>
      <c r="C23" s="4391"/>
      <c r="D23" s="4391"/>
      <c r="E23" s="4391"/>
      <c r="F23" s="408"/>
      <c r="G23" s="409"/>
      <c r="H23" s="410"/>
      <c r="I23" s="411">
        <f>SUM(I25:I29)</f>
        <v>11373.244758000001</v>
      </c>
      <c r="J23" s="412">
        <f>SUM(J25:J29)</f>
        <v>2756.1878400000005</v>
      </c>
      <c r="K23" s="413">
        <f>I23+J23</f>
        <v>14129.432598000001</v>
      </c>
      <c r="L23" s="386"/>
      <c r="M23" s="298"/>
      <c r="N23" s="413">
        <f>SUM(N25:N29)</f>
        <v>12425.6</v>
      </c>
      <c r="O23" s="716">
        <f>N23-K23</f>
        <v>-1703.8325980000009</v>
      </c>
      <c r="P23" s="730">
        <f>N19-K20</f>
        <v>-1706.5629358216138</v>
      </c>
    </row>
    <row r="24" spans="1:19" ht="27.75" customHeight="1">
      <c r="A24" s="373"/>
      <c r="B24" s="371" t="s">
        <v>927</v>
      </c>
      <c r="C24" s="712" t="s">
        <v>1250</v>
      </c>
      <c r="D24" s="1575">
        <f>SUM(D25:D29)</f>
        <v>1.3699999999999999</v>
      </c>
      <c r="E24" s="1441">
        <f>SUM(E25:E29)</f>
        <v>9367.7000000000007</v>
      </c>
      <c r="F24" s="373"/>
      <c r="G24" s="371"/>
      <c r="H24" s="374"/>
      <c r="I24" s="411"/>
      <c r="J24" s="412"/>
      <c r="K24" s="413"/>
      <c r="L24" s="386"/>
      <c r="M24" s="298"/>
      <c r="N24" s="413"/>
    </row>
    <row r="25" spans="1:19">
      <c r="A25" s="381"/>
      <c r="B25" s="415" t="s">
        <v>1798</v>
      </c>
      <c r="C25" s="1457">
        <f>E25/D25</f>
        <v>7140.3508771929828</v>
      </c>
      <c r="D25" s="1575">
        <v>0.56999999999999995</v>
      </c>
      <c r="E25" s="1441">
        <f>2033.37+2036.63</f>
        <v>4070</v>
      </c>
      <c r="F25" s="416">
        <v>364484.63</v>
      </c>
      <c r="G25" s="417">
        <v>151.36000000000001</v>
      </c>
      <c r="H25" s="418">
        <v>671</v>
      </c>
      <c r="I25" s="664">
        <f>D25*F25*12/1000</f>
        <v>2493.0748691999997</v>
      </c>
      <c r="J25" s="664">
        <f>E25*G25/1000</f>
        <v>616.03520000000003</v>
      </c>
      <c r="K25" s="669">
        <f>I25+J25</f>
        <v>3109.1100692</v>
      </c>
      <c r="L25" s="1444"/>
      <c r="M25" s="664"/>
      <c r="N25" s="669">
        <f>ROUND((E25*H25/1000),1)</f>
        <v>2731</v>
      </c>
      <c r="O25" s="1533">
        <f>'2012г.об.под факт2010'!N23-'2012'!N23</f>
        <v>3125.1999999999989</v>
      </c>
    </row>
    <row r="26" spans="1:19">
      <c r="A26" s="381"/>
      <c r="B26" s="415" t="s">
        <v>928</v>
      </c>
      <c r="C26" s="1457">
        <f>E26/D26</f>
        <v>6689.333333333333</v>
      </c>
      <c r="D26" s="1575">
        <v>0.75</v>
      </c>
      <c r="E26" s="1441">
        <f>2506.49+2510.51</f>
        <v>5017</v>
      </c>
      <c r="F26" s="416">
        <v>942948.34</v>
      </c>
      <c r="G26" s="417">
        <v>414.16</v>
      </c>
      <c r="H26" s="418">
        <v>1847.1</v>
      </c>
      <c r="I26" s="664">
        <f>D26*F26*12/1000</f>
        <v>8486.5350600000002</v>
      </c>
      <c r="J26" s="664">
        <f>E26*G26/1000</f>
        <v>2077.8407200000001</v>
      </c>
      <c r="K26" s="669">
        <f>I26+J26</f>
        <v>10564.37578</v>
      </c>
      <c r="L26" s="1444"/>
      <c r="M26" s="664"/>
      <c r="N26" s="669">
        <f>ROUND((E26*H26/1000),1)</f>
        <v>9266.9</v>
      </c>
      <c r="O26" s="1534" t="s">
        <v>1828</v>
      </c>
    </row>
    <row r="27" spans="1:19" ht="26.4">
      <c r="A27" s="381"/>
      <c r="B27" s="419" t="s">
        <v>1797</v>
      </c>
      <c r="C27" s="1457">
        <f>E27/D27</f>
        <v>6600</v>
      </c>
      <c r="D27" s="1575">
        <v>0.02</v>
      </c>
      <c r="E27" s="1441">
        <f>65.4+66.6</f>
        <v>132</v>
      </c>
      <c r="F27" s="416">
        <v>1640145.12</v>
      </c>
      <c r="G27" s="417">
        <v>472.06</v>
      </c>
      <c r="H27" s="418">
        <v>2747.68</v>
      </c>
      <c r="I27" s="664">
        <f>D27*F27*12/1000</f>
        <v>393.63482880000009</v>
      </c>
      <c r="J27" s="664">
        <f>E27*G27/1000</f>
        <v>62.311920000000001</v>
      </c>
      <c r="K27" s="669">
        <f>I27+J27</f>
        <v>455.94674880000008</v>
      </c>
      <c r="L27" s="1444"/>
      <c r="M27" s="664"/>
      <c r="N27" s="669">
        <f>ROUND((E27*H27/1000),1)</f>
        <v>362.7</v>
      </c>
      <c r="Q27" s="1619" t="s">
        <v>1855</v>
      </c>
      <c r="R27" s="1619" t="s">
        <v>641</v>
      </c>
      <c r="S27" s="1619" t="s">
        <v>871</v>
      </c>
    </row>
    <row r="28" spans="1:19" s="485" customFormat="1" ht="28.2">
      <c r="A28" s="381"/>
      <c r="B28" s="419" t="s">
        <v>1796</v>
      </c>
      <c r="C28" s="1457" t="e">
        <f>E28/D28</f>
        <v>#DIV/0!</v>
      </c>
      <c r="D28" s="1649">
        <v>0</v>
      </c>
      <c r="E28" s="1441">
        <f>7.75+8.95</f>
        <v>16.7</v>
      </c>
      <c r="F28" s="416"/>
      <c r="G28" s="417"/>
      <c r="H28" s="418">
        <v>437.28</v>
      </c>
      <c r="I28" s="664">
        <f>D28*F28*12/1000</f>
        <v>0</v>
      </c>
      <c r="J28" s="664">
        <f>E28*G28/1000</f>
        <v>0</v>
      </c>
      <c r="K28" s="669">
        <f>E28*H28/1000</f>
        <v>7.3025759999999993</v>
      </c>
      <c r="L28" s="1444"/>
      <c r="M28" s="664"/>
      <c r="N28" s="669">
        <f>ROUND((E28*H28/1000),1)</f>
        <v>7.3</v>
      </c>
      <c r="Q28" s="1620">
        <v>2006.8</v>
      </c>
      <c r="R28" s="1620">
        <v>2623.4</v>
      </c>
      <c r="S28" s="1620">
        <f>SUM(Q28:R28)</f>
        <v>4630.2</v>
      </c>
    </row>
    <row r="29" spans="1:19" s="485" customFormat="1" ht="28.8" thickBot="1">
      <c r="A29" s="495"/>
      <c r="B29" s="419" t="s">
        <v>929</v>
      </c>
      <c r="C29" s="734">
        <f>E29/D29</f>
        <v>4400</v>
      </c>
      <c r="D29" s="1648">
        <v>0.03</v>
      </c>
      <c r="E29" s="421">
        <f>61.29+70.71</f>
        <v>132</v>
      </c>
      <c r="F29" s="502"/>
      <c r="G29" s="503"/>
      <c r="H29" s="504">
        <f>H28</f>
        <v>437.28</v>
      </c>
      <c r="I29" s="422"/>
      <c r="J29" s="423"/>
      <c r="K29" s="424">
        <f>H29*E29/1000</f>
        <v>57.720959999999998</v>
      </c>
      <c r="L29" s="422"/>
      <c r="M29" s="1445"/>
      <c r="N29" s="424">
        <f>ROUND((E29*H29/1000),1)</f>
        <v>57.7</v>
      </c>
      <c r="O29" s="26"/>
    </row>
    <row r="30" spans="1:19" ht="16.5" customHeight="1">
      <c r="A30" s="4392" t="s">
        <v>930</v>
      </c>
      <c r="B30" s="4393" t="s">
        <v>1800</v>
      </c>
      <c r="C30" s="1458"/>
      <c r="D30" s="1650" t="s">
        <v>931</v>
      </c>
      <c r="E30" s="456"/>
      <c r="F30" s="458" t="s">
        <v>932</v>
      </c>
      <c r="G30" s="425"/>
      <c r="H30" s="425"/>
      <c r="I30" s="426" t="s">
        <v>925</v>
      </c>
      <c r="J30" s="427"/>
      <c r="K30" s="428"/>
      <c r="L30" s="406" t="s">
        <v>926</v>
      </c>
      <c r="M30" s="427"/>
      <c r="N30" s="428"/>
    </row>
    <row r="31" spans="1:19" ht="27.6">
      <c r="A31" s="4386"/>
      <c r="B31" s="4394"/>
      <c r="C31" s="1459"/>
      <c r="D31" s="1651" t="s">
        <v>909</v>
      </c>
      <c r="E31" s="457" t="s">
        <v>910</v>
      </c>
      <c r="F31" s="459" t="s">
        <v>933</v>
      </c>
      <c r="G31" s="429" t="s">
        <v>251</v>
      </c>
      <c r="H31" s="506" t="s">
        <v>1118</v>
      </c>
      <c r="I31" s="1444">
        <f>SUM(I32:I35)</f>
        <v>10236.2379404</v>
      </c>
      <c r="J31" s="664">
        <f>SUM(J32:J35)</f>
        <v>1118.5294308</v>
      </c>
      <c r="K31" s="1456">
        <f>SUM(K32:K35)</f>
        <v>11354.767371200001</v>
      </c>
      <c r="L31" s="722">
        <f>SUM(L35:L35)</f>
        <v>0</v>
      </c>
      <c r="M31" s="573">
        <f>SUM(M35:M35)</f>
        <v>0</v>
      </c>
      <c r="N31" s="735">
        <f>SUM(N32:N35)</f>
        <v>11362.465702621614</v>
      </c>
    </row>
    <row r="32" spans="1:19" ht="22.5" customHeight="1">
      <c r="A32" s="430">
        <v>1</v>
      </c>
      <c r="B32" s="371" t="s">
        <v>1844</v>
      </c>
      <c r="C32" s="733">
        <f>E32/D32</f>
        <v>7593.7142857142844</v>
      </c>
      <c r="D32" s="1575">
        <v>7.0000000000000007E-2</v>
      </c>
      <c r="E32" s="1441">
        <v>531.55999999999995</v>
      </c>
      <c r="F32" s="1574">
        <v>397902.31</v>
      </c>
      <c r="G32" s="1575">
        <v>93.93</v>
      </c>
      <c r="H32" s="1577">
        <f>K32/E32*1000+35.93</f>
        <v>758.64685454135008</v>
      </c>
      <c r="I32" s="386">
        <f>$D32*$F32*12/1000</f>
        <v>334.23794040000007</v>
      </c>
      <c r="J32" s="298">
        <f>$E32*$G32/1000</f>
        <v>49.929430799999999</v>
      </c>
      <c r="K32" s="387">
        <f>I32+J32</f>
        <v>384.16737120000005</v>
      </c>
      <c r="L32" s="573"/>
      <c r="M32" s="573"/>
      <c r="N32" s="710">
        <f>E32*H32/1000</f>
        <v>403.266322</v>
      </c>
    </row>
    <row r="33" spans="1:15" ht="22.5" customHeight="1">
      <c r="A33" s="1539">
        <v>2</v>
      </c>
      <c r="B33" s="1540" t="s">
        <v>1847</v>
      </c>
      <c r="C33" s="1541">
        <f>E33/D33</f>
        <v>6602.9999999999991</v>
      </c>
      <c r="D33" s="1575">
        <v>7.0000000000000007E-2</v>
      </c>
      <c r="E33" s="1441">
        <v>462.21</v>
      </c>
      <c r="F33" s="1574">
        <v>139799.97</v>
      </c>
      <c r="G33" s="1575">
        <v>95.89</v>
      </c>
      <c r="H33" s="1577">
        <f>K33/E33*1000-18.03</f>
        <v>331.81098137210358</v>
      </c>
      <c r="I33" s="664">
        <f>ROUND(($D$33*$F$33*12/1000),1)</f>
        <v>117.4</v>
      </c>
      <c r="J33" s="664">
        <f>ROUND(($E$33*$G$33/1000),1)</f>
        <v>44.3</v>
      </c>
      <c r="K33" s="669">
        <f>I33+J33</f>
        <v>161.69999999999999</v>
      </c>
      <c r="L33" s="573"/>
      <c r="M33" s="573"/>
      <c r="N33" s="710">
        <f>E33*H33/1000</f>
        <v>153.36635369999999</v>
      </c>
    </row>
    <row r="34" spans="1:15" ht="22.5" customHeight="1">
      <c r="A34" s="1578">
        <v>3</v>
      </c>
      <c r="B34" s="454" t="s">
        <v>1848</v>
      </c>
      <c r="C34" s="1541">
        <f>E34/D34</f>
        <v>7634.3020868457552</v>
      </c>
      <c r="D34" s="1652">
        <f>D24+D32+D35+D38+D39+G42-D33+0.01</f>
        <v>2.87</v>
      </c>
      <c r="E34" s="1643">
        <f>$E$24+$E$38+$E$39+$E$32+$E$35+$E$42-$E$33</f>
        <v>21910.446989247317</v>
      </c>
      <c r="F34" s="1574">
        <v>283891.76</v>
      </c>
      <c r="G34" s="1575">
        <v>46.69</v>
      </c>
      <c r="H34" s="1577">
        <f>K34/E34*1000-0.15</f>
        <v>492.77467676721807</v>
      </c>
      <c r="I34" s="664">
        <f>ROUND(($D$34*$F$34*12/1000),1)</f>
        <v>9777.2000000000007</v>
      </c>
      <c r="J34" s="664">
        <f>ROUND(($E$34*$G$34/1000),1)</f>
        <v>1023</v>
      </c>
      <c r="K34" s="669">
        <f>I34+J34</f>
        <v>10800.2</v>
      </c>
      <c r="L34" s="573"/>
      <c r="M34" s="573"/>
      <c r="N34" s="710">
        <f>E34*H34/1000</f>
        <v>10796.913432951613</v>
      </c>
    </row>
    <row r="35" spans="1:15" ht="22.5" customHeight="1" thickBot="1">
      <c r="A35" s="430">
        <v>4</v>
      </c>
      <c r="B35" s="371" t="s">
        <v>1845</v>
      </c>
      <c r="C35" s="733">
        <f>E35/D35</f>
        <v>9036.7888888888901</v>
      </c>
      <c r="D35" s="1575">
        <v>0.09</v>
      </c>
      <c r="E35" s="1440">
        <v>813.31100000000004</v>
      </c>
      <c r="F35" s="1574">
        <v>6820.2</v>
      </c>
      <c r="G35" s="1575">
        <v>1.61</v>
      </c>
      <c r="H35" s="1577">
        <f>K35/E35*1000+0.27</f>
        <v>10.967015040986782</v>
      </c>
      <c r="I35" s="664">
        <f>ROUND(($D$35*$F$35*12/1000),1)</f>
        <v>7.4</v>
      </c>
      <c r="J35" s="664">
        <f>ROUND(($E$35*$G$35/1000),1)</f>
        <v>1.3</v>
      </c>
      <c r="K35" s="669">
        <f>I35+J35</f>
        <v>8.7000000000000011</v>
      </c>
      <c r="L35" s="573"/>
      <c r="M35" s="573"/>
      <c r="N35" s="710">
        <f>E35*H35/1000</f>
        <v>8.9195939700000011</v>
      </c>
    </row>
    <row r="36" spans="1:15" ht="46.8">
      <c r="A36" s="1579" t="s">
        <v>935</v>
      </c>
      <c r="B36" s="1580" t="s">
        <v>1801</v>
      </c>
      <c r="C36" s="1581"/>
      <c r="D36" s="1646"/>
      <c r="E36" s="1583"/>
      <c r="F36" s="1584" t="s">
        <v>933</v>
      </c>
      <c r="G36" s="1585" t="s">
        <v>251</v>
      </c>
      <c r="H36" s="1586" t="s">
        <v>251</v>
      </c>
      <c r="I36" s="1587">
        <f>SUM(I37:I39)</f>
        <v>2627.1599268</v>
      </c>
      <c r="J36" s="1588">
        <f>SUM(J37:J39)</f>
        <v>1306.7417600000001</v>
      </c>
      <c r="K36" s="1589">
        <f>SUM(K37:K39)</f>
        <v>3933.9016868000003</v>
      </c>
      <c r="L36" s="1590">
        <f>SUM(L38:L39)</f>
        <v>0</v>
      </c>
      <c r="M36" s="1591">
        <f>SUM(M38:M39)</f>
        <v>0</v>
      </c>
      <c r="N36" s="1589">
        <f>SUM(N37:N39)</f>
        <v>3938.9027667999999</v>
      </c>
    </row>
    <row r="37" spans="1:15" hidden="1">
      <c r="A37" s="430">
        <v>1</v>
      </c>
      <c r="B37" s="371" t="s">
        <v>1834</v>
      </c>
      <c r="C37" s="733">
        <f>E37/D37</f>
        <v>7660.9954507857756</v>
      </c>
      <c r="D37" s="1642">
        <f>$D$24+$D$38+$D$39+$D$32+$D$35+$G$42-$D$33</f>
        <v>2.86</v>
      </c>
      <c r="E37" s="1462">
        <f>$E$24+$E$38+$E$39+$E$32+$E$35+$E$42-$E$33</f>
        <v>21910.446989247317</v>
      </c>
      <c r="F37" s="723"/>
      <c r="G37" s="724"/>
      <c r="H37" s="1592">
        <f>K37/E37*1000</f>
        <v>0</v>
      </c>
      <c r="I37" s="1564">
        <f>$D$37*$F$37*12/1000</f>
        <v>0</v>
      </c>
      <c r="J37" s="1565">
        <f>$E$37*$G$37/1000</f>
        <v>0</v>
      </c>
      <c r="K37" s="1566">
        <f>I37+J37</f>
        <v>0</v>
      </c>
      <c r="L37" s="1567"/>
      <c r="M37" s="1565"/>
      <c r="N37" s="1566">
        <f>E37*H37/1000</f>
        <v>0</v>
      </c>
    </row>
    <row r="38" spans="1:15" ht="16.2">
      <c r="A38" s="430">
        <v>1</v>
      </c>
      <c r="B38" s="371" t="s">
        <v>1846</v>
      </c>
      <c r="C38" s="733">
        <f>E38/D38</f>
        <v>8642.2018348623842</v>
      </c>
      <c r="D38" s="1575">
        <f>'[12]П1.30 -01.11.11г.'!$D$22</f>
        <v>1.0900000000000001</v>
      </c>
      <c r="E38" s="713">
        <f>'[12]П1.30 -01.11.11г.'!$C$22</f>
        <v>9420</v>
      </c>
      <c r="F38" s="416">
        <v>181738.41</v>
      </c>
      <c r="G38" s="417">
        <v>125.28</v>
      </c>
      <c r="H38" s="1573">
        <f>K38/E38*1000</f>
        <v>377.63014891719746</v>
      </c>
      <c r="I38" s="1564">
        <f>$D38*$F38*12/1000</f>
        <v>2377.1384028000002</v>
      </c>
      <c r="J38" s="1565">
        <f>$E38*$G38/1000</f>
        <v>1180.1376</v>
      </c>
      <c r="K38" s="1566">
        <f>I38+J38</f>
        <v>3557.2760028000002</v>
      </c>
      <c r="L38" s="1567"/>
      <c r="M38" s="1565"/>
      <c r="N38" s="1566">
        <f>E38*H38/1000</f>
        <v>3557.2760027999998</v>
      </c>
    </row>
    <row r="39" spans="1:15" ht="32.25" customHeight="1" thickBot="1">
      <c r="A39" s="431">
        <v>2</v>
      </c>
      <c r="B39" s="1543" t="s">
        <v>1843</v>
      </c>
      <c r="C39" s="734">
        <f>E39/D39</f>
        <v>6740</v>
      </c>
      <c r="D39" s="1648">
        <v>0.1</v>
      </c>
      <c r="E39" s="714">
        <v>674</v>
      </c>
      <c r="F39" s="502">
        <v>208351.27</v>
      </c>
      <c r="G39" s="503">
        <v>187.84</v>
      </c>
      <c r="H39" s="1644">
        <f>K39/E39*1000+7.42</f>
        <v>566.21181602373883</v>
      </c>
      <c r="I39" s="1568">
        <f>$D$39*$F$39*12/1000</f>
        <v>250.021524</v>
      </c>
      <c r="J39" s="1569">
        <f>$E$39*$G$39/1000</f>
        <v>126.60416000000001</v>
      </c>
      <c r="K39" s="1570">
        <f>I39+J39</f>
        <v>376.62568399999998</v>
      </c>
      <c r="L39" s="731"/>
      <c r="M39" s="732"/>
      <c r="N39" s="1571">
        <f>E39*H39/1000</f>
        <v>381.62676399999998</v>
      </c>
    </row>
    <row r="40" spans="1:15" hidden="1">
      <c r="F40" s="172"/>
      <c r="G40" s="172"/>
      <c r="H40" s="172"/>
      <c r="L40" s="26"/>
      <c r="M40" s="26"/>
      <c r="N40" s="26"/>
    </row>
    <row r="41" spans="1:15">
      <c r="B41" s="99" t="s">
        <v>851</v>
      </c>
      <c r="C41" s="99"/>
      <c r="L41" s="26"/>
      <c r="M41" s="26"/>
      <c r="N41" s="26"/>
    </row>
    <row r="42" spans="1:15">
      <c r="D42" s="99" t="s">
        <v>1805</v>
      </c>
      <c r="E42" s="999">
        <f>(E24+E32+E35+E38+E39)/(1-7/100)*7/100</f>
        <v>1566.085989247312</v>
      </c>
      <c r="F42" s="26" t="s">
        <v>936</v>
      </c>
      <c r="G42" s="26">
        <v>0.21</v>
      </c>
      <c r="H42" s="1641">
        <f>E42/(E34+E33)</f>
        <v>6.9999999999999993E-2</v>
      </c>
      <c r="L42" s="26"/>
      <c r="M42" s="26"/>
      <c r="N42" s="26"/>
    </row>
    <row r="43" spans="1:15">
      <c r="D43" s="99" t="s">
        <v>937</v>
      </c>
      <c r="E43" s="1640">
        <f>2216.76/1566.09*1000</f>
        <v>1415.4742064632301</v>
      </c>
      <c r="F43" s="26" t="s">
        <v>938</v>
      </c>
      <c r="L43" s="26"/>
      <c r="M43" s="26"/>
      <c r="N43" s="26"/>
    </row>
    <row r="44" spans="1:15" hidden="1"/>
    <row r="45" spans="1:15" hidden="1">
      <c r="E45" s="26" t="s">
        <v>938</v>
      </c>
      <c r="G45" s="507" t="s">
        <v>1257</v>
      </c>
      <c r="H45" s="507"/>
      <c r="I45" s="507"/>
      <c r="J45" s="507"/>
      <c r="K45" s="507"/>
    </row>
    <row r="46" spans="1:15" hidden="1">
      <c r="E46" s="514"/>
      <c r="F46" s="513"/>
      <c r="G46" s="508" t="s">
        <v>932</v>
      </c>
      <c r="H46" s="508"/>
      <c r="I46" s="508"/>
      <c r="J46" s="512" t="s">
        <v>1119</v>
      </c>
      <c r="K46" s="512"/>
      <c r="L46" s="26"/>
      <c r="M46" s="26"/>
      <c r="N46" s="26"/>
      <c r="O46" s="433"/>
    </row>
    <row r="47" spans="1:15" ht="27" hidden="1">
      <c r="E47" s="514"/>
      <c r="F47" s="513"/>
      <c r="G47" s="509" t="s">
        <v>933</v>
      </c>
      <c r="H47" s="509" t="s">
        <v>251</v>
      </c>
      <c r="I47" s="510" t="s">
        <v>1118</v>
      </c>
      <c r="J47" s="507"/>
      <c r="K47" s="507"/>
      <c r="L47" s="26"/>
      <c r="M47" s="26"/>
      <c r="N47" s="26"/>
      <c r="O47" s="434"/>
    </row>
    <row r="48" spans="1:15" hidden="1">
      <c r="E48" s="514"/>
      <c r="F48" s="513"/>
      <c r="G48" s="231"/>
      <c r="H48" s="231"/>
      <c r="I48" s="231"/>
      <c r="J48" s="507"/>
      <c r="K48" s="507"/>
      <c r="L48" s="26"/>
      <c r="M48" s="26"/>
      <c r="N48" s="26"/>
      <c r="O48" s="433"/>
    </row>
    <row r="49" spans="2:14" hidden="1">
      <c r="E49" s="514"/>
      <c r="F49" s="513" t="s">
        <v>1258</v>
      </c>
      <c r="G49" s="231"/>
      <c r="H49" s="231"/>
      <c r="I49" s="231"/>
      <c r="J49" s="507"/>
      <c r="K49" s="507"/>
    </row>
    <row r="50" spans="2:14" hidden="1">
      <c r="E50" s="514"/>
      <c r="F50" s="513" t="s">
        <v>934</v>
      </c>
      <c r="G50" s="511"/>
      <c r="H50" s="511"/>
      <c r="I50" s="511"/>
      <c r="J50" s="507"/>
      <c r="K50" s="511"/>
    </row>
    <row r="51" spans="2:14" hidden="1">
      <c r="E51" s="514"/>
      <c r="F51" s="513" t="s">
        <v>960</v>
      </c>
      <c r="G51" s="511"/>
      <c r="H51" s="511"/>
      <c r="I51" s="511"/>
      <c r="J51" s="507"/>
      <c r="K51" s="511"/>
    </row>
    <row r="52" spans="2:14" hidden="1">
      <c r="E52" s="514"/>
      <c r="F52" s="513" t="s">
        <v>1255</v>
      </c>
      <c r="G52" s="511"/>
      <c r="H52" s="511"/>
      <c r="I52" s="511"/>
      <c r="J52" s="507"/>
      <c r="K52" s="511"/>
    </row>
    <row r="53" spans="2:14" hidden="1">
      <c r="E53" s="514"/>
      <c r="F53" s="513" t="s">
        <v>640</v>
      </c>
      <c r="G53" s="511"/>
      <c r="H53" s="511"/>
      <c r="I53" s="511"/>
      <c r="J53" s="507"/>
      <c r="K53" s="511"/>
    </row>
    <row r="54" spans="2:14" hidden="1"/>
    <row r="55" spans="2:14" hidden="1"/>
    <row r="56" spans="2:14" hidden="1">
      <c r="K56" s="172"/>
      <c r="L56" s="26"/>
      <c r="M56" s="26"/>
      <c r="N56" s="26"/>
    </row>
    <row r="57" spans="2:14" hidden="1"/>
    <row r="58" spans="2:14" hidden="1"/>
    <row r="59" spans="2:14" ht="12.75" customHeight="1">
      <c r="B59" s="10" t="s">
        <v>1838</v>
      </c>
      <c r="C59" s="10"/>
      <c r="D59" s="10"/>
      <c r="E59" s="10"/>
      <c r="F59" s="10"/>
      <c r="G59" s="206"/>
      <c r="H59" s="207"/>
    </row>
    <row r="60" spans="2:14">
      <c r="B60" s="4209" t="s">
        <v>836</v>
      </c>
      <c r="C60" s="12"/>
      <c r="D60" s="12"/>
      <c r="E60" s="4395" t="s">
        <v>837</v>
      </c>
      <c r="F60" s="39" t="s">
        <v>838</v>
      </c>
      <c r="G60" s="4209" t="s">
        <v>839</v>
      </c>
      <c r="H60" s="10"/>
    </row>
    <row r="61" spans="2:14" ht="66.599999999999994">
      <c r="B61" s="4216"/>
      <c r="C61" s="21"/>
      <c r="D61" s="21"/>
      <c r="E61" s="4396"/>
      <c r="F61" s="39" t="s">
        <v>840</v>
      </c>
      <c r="G61" s="4210"/>
      <c r="H61" s="10"/>
    </row>
    <row r="62" spans="2:14" ht="16.8">
      <c r="B62" s="4216"/>
      <c r="C62" s="21"/>
      <c r="D62" s="21"/>
      <c r="E62" s="176" t="s">
        <v>841</v>
      </c>
      <c r="F62" s="176" t="s">
        <v>842</v>
      </c>
      <c r="G62" s="17"/>
      <c r="H62" s="207" t="s">
        <v>835</v>
      </c>
    </row>
    <row r="63" spans="2:14" ht="15.75" customHeight="1">
      <c r="B63" s="4210"/>
      <c r="C63" s="14"/>
      <c r="D63" s="14"/>
      <c r="E63" s="17" t="s">
        <v>291</v>
      </c>
      <c r="F63" s="17" t="s">
        <v>843</v>
      </c>
      <c r="G63" s="17" t="s">
        <v>843</v>
      </c>
      <c r="H63" s="206"/>
    </row>
    <row r="64" spans="2:14">
      <c r="B64" s="17" t="s">
        <v>697</v>
      </c>
      <c r="C64" s="690"/>
      <c r="D64" s="690"/>
      <c r="E64" s="313">
        <f>'1 И 2 ПОЛУГОДИЕ 2012'!B53</f>
        <v>364484.63</v>
      </c>
      <c r="F64" s="313">
        <f>'1 И 2 ПОЛУГОДИЕ 2012'!D53</f>
        <v>151.36000000000001</v>
      </c>
      <c r="G64" s="313">
        <f>'1 И 2 ПОЛУГОДИЕ 2012'!F53</f>
        <v>671</v>
      </c>
      <c r="H64" s="692">
        <f>(E64*12/(G64-F64))</f>
        <v>8417.0109306442937</v>
      </c>
    </row>
    <row r="65" spans="2:8">
      <c r="B65" s="17" t="s">
        <v>676</v>
      </c>
      <c r="C65" s="17"/>
      <c r="D65" s="1466"/>
      <c r="E65" s="313">
        <f>'1 И 2 ПОЛУГОДИЕ 2012'!B54</f>
        <v>684381.17</v>
      </c>
      <c r="F65" s="313">
        <f>'1 И 2 ПОЛУГОДИЕ 2012'!D54</f>
        <v>162.12</v>
      </c>
      <c r="G65" s="313">
        <f>'1 И 2 ПОЛУГОДИЕ 2012'!F54</f>
        <v>1153.6500000000001</v>
      </c>
      <c r="H65" s="206">
        <f>(E65*12/(G65-F65))</f>
        <v>8282.7287525339634</v>
      </c>
    </row>
    <row r="66" spans="2:8">
      <c r="B66" s="39" t="s">
        <v>847</v>
      </c>
      <c r="C66" s="39"/>
      <c r="D66" s="1528"/>
      <c r="E66" s="313">
        <f>'1 И 2 ПОЛУГОДИЕ 2012'!B55</f>
        <v>942948.34</v>
      </c>
      <c r="F66" s="313">
        <f>'1 И 2 ПОЛУГОДИЕ 2012'!D55</f>
        <v>414.16</v>
      </c>
      <c r="G66" s="313">
        <f>'1 И 2 ПОЛУГОДИЕ 2012'!F55</f>
        <v>1847.1</v>
      </c>
      <c r="H66" s="206">
        <f>(E66*12/(G66-F66))</f>
        <v>7896.6181975518875</v>
      </c>
    </row>
    <row r="67" spans="2:8">
      <c r="B67" s="17" t="s">
        <v>681</v>
      </c>
      <c r="C67" s="690"/>
      <c r="D67" s="690"/>
      <c r="E67" s="313">
        <f>'1 И 2 ПОЛУГОДИЕ 2012'!B56</f>
        <v>1640145.12</v>
      </c>
      <c r="F67" s="313">
        <f>'1 И 2 ПОЛУГОДИЕ 2012'!D56</f>
        <v>472.06</v>
      </c>
      <c r="G67" s="313">
        <f>'1 И 2 ПОЛУГОДИЕ 2012'!F56</f>
        <v>2747.68</v>
      </c>
      <c r="H67" s="692">
        <f>(E67*12/(G67-F67))</f>
        <v>8648.9578400611717</v>
      </c>
    </row>
    <row r="68" spans="2:8">
      <c r="B68" s="465" t="s">
        <v>962</v>
      </c>
      <c r="C68" s="465"/>
      <c r="D68" s="1529"/>
      <c r="E68" s="313"/>
      <c r="F68" s="313"/>
      <c r="G68" s="313">
        <f>'1 И 2 ПОЛУГОДИЕ 2012'!F57</f>
        <v>437.28</v>
      </c>
      <c r="H68" s="320">
        <f>(E68*12/(G68-F68))</f>
        <v>0</v>
      </c>
    </row>
    <row r="69" spans="2:8">
      <c r="B69" s="106"/>
      <c r="C69" s="106"/>
      <c r="D69" s="106"/>
      <c r="E69" s="106"/>
      <c r="F69" s="106"/>
      <c r="G69" s="106"/>
      <c r="H69" s="106"/>
    </row>
  </sheetData>
  <mergeCells count="14">
    <mergeCell ref="B6:B9"/>
    <mergeCell ref="D6:D7"/>
    <mergeCell ref="E6:E7"/>
    <mergeCell ref="F6:F7"/>
    <mergeCell ref="A15:A17"/>
    <mergeCell ref="B15:B17"/>
    <mergeCell ref="D15:E16"/>
    <mergeCell ref="G60:G61"/>
    <mergeCell ref="A22:A23"/>
    <mergeCell ref="B22:E23"/>
    <mergeCell ref="A30:A31"/>
    <mergeCell ref="B30:B31"/>
    <mergeCell ref="B60:B63"/>
    <mergeCell ref="E60:E61"/>
  </mergeCells>
  <printOptions horizontalCentered="1"/>
  <pageMargins left="0.39370078740157483" right="0.39370078740157483" top="0.19685039370078741" bottom="3.937007874015748E-2" header="0.11811023622047245" footer="3.937007874015748E-2"/>
  <pageSetup paperSize="9" scale="61" orientation="landscape" r:id="rId1"/>
  <headerFooter alignWithMargins="0">
    <oddFooter>&amp;L&amp;8________________________________________________________________________
&amp;F&amp;A</oddFooter>
  </headerFooter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6">
    <tabColor rgb="FF92D050"/>
  </sheetPr>
  <dimension ref="A1:S69"/>
  <sheetViews>
    <sheetView topLeftCell="A16" workbookViewId="0">
      <selection activeCell="K8" sqref="K8"/>
    </sheetView>
  </sheetViews>
  <sheetFormatPr defaultColWidth="9.109375" defaultRowHeight="15.6"/>
  <cols>
    <col min="1" max="1" width="6" style="26" customWidth="1"/>
    <col min="2" max="2" width="42.6640625" style="26" customWidth="1"/>
    <col min="3" max="3" width="7.6640625" style="26" customWidth="1"/>
    <col min="4" max="4" width="11.109375" style="26" customWidth="1"/>
    <col min="5" max="5" width="12.44140625" style="26" customWidth="1"/>
    <col min="6" max="6" width="12.88671875" style="26" customWidth="1"/>
    <col min="7" max="7" width="12.44140625" style="26" customWidth="1"/>
    <col min="8" max="8" width="11" style="26" customWidth="1"/>
    <col min="9" max="9" width="13.109375" style="26" customWidth="1"/>
    <col min="10" max="10" width="10.44140625" style="26" customWidth="1"/>
    <col min="11" max="11" width="12" style="26" customWidth="1"/>
    <col min="12" max="13" width="11.5546875" style="172" customWidth="1"/>
    <col min="14" max="14" width="12.5546875" style="172" bestFit="1" customWidth="1"/>
    <col min="15" max="15" width="9.109375" style="26"/>
    <col min="16" max="16" width="10.44140625" style="26" customWidth="1"/>
    <col min="17" max="18" width="9.109375" style="26"/>
    <col min="19" max="19" width="11.6640625" style="26" customWidth="1"/>
    <col min="20" max="16384" width="9.109375" style="26"/>
  </cols>
  <sheetData>
    <row r="1" spans="1:14">
      <c r="A1" s="109" t="s">
        <v>1849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321"/>
      <c r="M1" s="321"/>
      <c r="N1" s="321"/>
    </row>
    <row r="2" spans="1:14">
      <c r="A2" s="109" t="s">
        <v>1262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321"/>
      <c r="M2" s="321"/>
      <c r="N2" s="321"/>
    </row>
    <row r="3" spans="1:14" ht="16.2" thickBot="1">
      <c r="A3" s="1523" t="s">
        <v>1829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321"/>
      <c r="M3" s="321"/>
      <c r="N3" s="321"/>
    </row>
    <row r="4" spans="1:14" ht="16.2" hidden="1" thickBot="1">
      <c r="B4" s="322" t="s">
        <v>893</v>
      </c>
      <c r="C4" s="322"/>
      <c r="D4" s="172"/>
      <c r="E4" s="172"/>
      <c r="F4" s="172"/>
      <c r="G4" s="172"/>
      <c r="H4" s="172"/>
      <c r="I4" s="172"/>
    </row>
    <row r="5" spans="1:14" ht="16.2" hidden="1" thickBot="1">
      <c r="B5" s="172"/>
      <c r="C5" s="172"/>
      <c r="D5" s="172"/>
      <c r="E5" s="172"/>
      <c r="H5" s="172"/>
      <c r="I5" s="172"/>
    </row>
    <row r="6" spans="1:14" ht="27.75" hidden="1" customHeight="1">
      <c r="B6" s="4202" t="s">
        <v>836</v>
      </c>
      <c r="C6" s="679"/>
      <c r="D6" s="4397" t="s">
        <v>837</v>
      </c>
      <c r="E6" s="4397" t="s">
        <v>898</v>
      </c>
      <c r="F6" s="4399" t="s">
        <v>839</v>
      </c>
    </row>
    <row r="7" spans="1:14" ht="48" hidden="1" customHeight="1">
      <c r="B7" s="4203"/>
      <c r="C7" s="680"/>
      <c r="D7" s="4398"/>
      <c r="E7" s="4398"/>
      <c r="F7" s="4399"/>
    </row>
    <row r="8" spans="1:14" ht="18.600000000000001" hidden="1" thickBot="1">
      <c r="B8" s="4203"/>
      <c r="C8" s="680"/>
      <c r="D8" s="323" t="s">
        <v>899</v>
      </c>
      <c r="E8" s="323" t="s">
        <v>900</v>
      </c>
      <c r="F8" s="81"/>
    </row>
    <row r="9" spans="1:14" ht="31.8" hidden="1" thickBot="1">
      <c r="B9" s="4204"/>
      <c r="C9" s="681"/>
      <c r="D9" s="81" t="s">
        <v>291</v>
      </c>
      <c r="E9" s="81" t="s">
        <v>251</v>
      </c>
      <c r="F9" s="81" t="s">
        <v>251</v>
      </c>
      <c r="G9" s="322" t="s">
        <v>835</v>
      </c>
    </row>
    <row r="10" spans="1:14" ht="16.2" hidden="1" thickBot="1">
      <c r="B10" s="81" t="s">
        <v>697</v>
      </c>
      <c r="C10" s="81"/>
      <c r="D10" s="324">
        <v>300621.82</v>
      </c>
      <c r="E10" s="324">
        <v>176.8</v>
      </c>
      <c r="F10" s="325">
        <v>592.41</v>
      </c>
      <c r="G10" s="326">
        <f>(D10*12/(F10-E10))</f>
        <v>8679.9206948822211</v>
      </c>
    </row>
    <row r="11" spans="1:14" ht="16.2" hidden="1" thickBot="1">
      <c r="B11" s="81" t="s">
        <v>676</v>
      </c>
      <c r="C11" s="81"/>
      <c r="D11" s="324">
        <v>490793.23</v>
      </c>
      <c r="E11" s="324">
        <v>180</v>
      </c>
      <c r="F11" s="325">
        <v>969.48</v>
      </c>
      <c r="G11" s="326">
        <f>(D11*12/(F11-E11))</f>
        <v>7459.9974160206712</v>
      </c>
      <c r="H11" s="327"/>
      <c r="I11" s="328"/>
      <c r="L11" s="329"/>
    </row>
    <row r="12" spans="1:14" ht="16.2" hidden="1" thickBot="1">
      <c r="B12" s="330" t="s">
        <v>847</v>
      </c>
      <c r="C12" s="330"/>
      <c r="D12" s="324">
        <v>680321</v>
      </c>
      <c r="E12" s="324">
        <v>210</v>
      </c>
      <c r="F12" s="325">
        <v>1441.35</v>
      </c>
      <c r="G12" s="326">
        <f>(D12*12/(F12-E12))</f>
        <v>6630.0012181751745</v>
      </c>
      <c r="H12" s="99" t="s">
        <v>901</v>
      </c>
    </row>
    <row r="13" spans="1:14" ht="16.2" hidden="1" thickBot="1">
      <c r="B13" s="81" t="s">
        <v>681</v>
      </c>
      <c r="C13" s="81"/>
      <c r="D13" s="324">
        <v>851305.82</v>
      </c>
      <c r="E13" s="324">
        <v>432</v>
      </c>
      <c r="F13" s="325">
        <v>2296.17</v>
      </c>
      <c r="G13" s="326">
        <f>(D13*12/(F13-E13))</f>
        <v>5480.0097845153605</v>
      </c>
      <c r="H13" s="331">
        <f>(365-53)*16</f>
        <v>4992</v>
      </c>
      <c r="I13" s="26" t="s">
        <v>892</v>
      </c>
      <c r="L13" s="172" t="s">
        <v>892</v>
      </c>
    </row>
    <row r="14" spans="1:14" ht="16.2" hidden="1" thickBot="1">
      <c r="B14" s="85"/>
      <c r="C14" s="85"/>
      <c r="D14" s="332"/>
      <c r="E14" s="332"/>
      <c r="F14" s="333"/>
      <c r="G14" s="326"/>
      <c r="H14" s="331"/>
    </row>
    <row r="15" spans="1:14" ht="16.2" thickBot="1">
      <c r="A15" s="4400"/>
      <c r="B15" s="4403" t="s">
        <v>902</v>
      </c>
      <c r="C15" s="683"/>
      <c r="D15" s="4406" t="s">
        <v>903</v>
      </c>
      <c r="E15" s="4407"/>
      <c r="F15" s="334" t="s">
        <v>904</v>
      </c>
      <c r="G15" s="335"/>
      <c r="H15" s="336"/>
      <c r="I15" s="337" t="s">
        <v>1850</v>
      </c>
      <c r="J15" s="338"/>
      <c r="K15" s="338"/>
      <c r="L15" s="339"/>
      <c r="M15" s="340"/>
      <c r="N15" s="341"/>
    </row>
    <row r="16" spans="1:14" ht="27.6">
      <c r="A16" s="4401"/>
      <c r="B16" s="4404"/>
      <c r="C16" s="711"/>
      <c r="D16" s="4408"/>
      <c r="E16" s="4409"/>
      <c r="F16" s="342" t="s">
        <v>906</v>
      </c>
      <c r="G16" s="343"/>
      <c r="H16" s="344" t="s">
        <v>907</v>
      </c>
      <c r="I16" s="345" t="s">
        <v>1836</v>
      </c>
      <c r="J16" s="346"/>
      <c r="K16" s="347"/>
      <c r="L16" s="756" t="s">
        <v>959</v>
      </c>
      <c r="M16" s="348"/>
      <c r="N16" s="1448"/>
    </row>
    <row r="17" spans="1:19" s="357" customFormat="1" ht="80.25" customHeight="1">
      <c r="A17" s="4402"/>
      <c r="B17" s="4405"/>
      <c r="C17" s="682"/>
      <c r="D17" s="174" t="s">
        <v>909</v>
      </c>
      <c r="E17" s="349" t="s">
        <v>910</v>
      </c>
      <c r="F17" s="350" t="s">
        <v>911</v>
      </c>
      <c r="G17" s="17" t="s">
        <v>912</v>
      </c>
      <c r="H17" s="351" t="s">
        <v>913</v>
      </c>
      <c r="I17" s="352" t="s">
        <v>914</v>
      </c>
      <c r="J17" s="174" t="s">
        <v>915</v>
      </c>
      <c r="K17" s="353" t="s">
        <v>419</v>
      </c>
      <c r="L17" s="354" t="s">
        <v>1260</v>
      </c>
      <c r="M17" s="355" t="s">
        <v>915</v>
      </c>
      <c r="N17" s="356" t="s">
        <v>419</v>
      </c>
    </row>
    <row r="18" spans="1:19" s="369" customFormat="1" ht="28.5" customHeight="1">
      <c r="A18" s="358">
        <v>1</v>
      </c>
      <c r="B18" s="359">
        <v>2</v>
      </c>
      <c r="C18" s="359"/>
      <c r="D18" s="360">
        <v>3</v>
      </c>
      <c r="E18" s="361">
        <v>4</v>
      </c>
      <c r="F18" s="362">
        <v>5</v>
      </c>
      <c r="G18" s="360">
        <v>6</v>
      </c>
      <c r="H18" s="363">
        <v>7</v>
      </c>
      <c r="I18" s="364" t="s">
        <v>916</v>
      </c>
      <c r="J18" s="365" t="s">
        <v>917</v>
      </c>
      <c r="K18" s="366" t="s">
        <v>918</v>
      </c>
      <c r="L18" s="362">
        <v>11</v>
      </c>
      <c r="M18" s="360">
        <v>12</v>
      </c>
      <c r="N18" s="363">
        <v>13</v>
      </c>
      <c r="O18" s="367" t="s">
        <v>919</v>
      </c>
      <c r="P18" s="368"/>
      <c r="Q18" s="1611"/>
      <c r="R18" s="1612"/>
      <c r="S18" s="587"/>
    </row>
    <row r="19" spans="1:19" ht="27.6">
      <c r="A19" s="370" t="s">
        <v>920</v>
      </c>
      <c r="B19" s="300" t="s">
        <v>921</v>
      </c>
      <c r="C19" s="300"/>
      <c r="D19" s="371"/>
      <c r="E19" s="372"/>
      <c r="F19" s="373"/>
      <c r="G19" s="371"/>
      <c r="H19" s="1598"/>
      <c r="I19" s="1599">
        <f>'2012'!I19/2</f>
        <v>1372.4</v>
      </c>
      <c r="J19" s="1600">
        <f>E42*E43/1000</f>
        <v>1090.8186072443823</v>
      </c>
      <c r="K19" s="1602">
        <f>ROUND((I19+J19),1)</f>
        <v>2463.1999999999998</v>
      </c>
      <c r="L19" s="1544" t="s">
        <v>1873</v>
      </c>
      <c r="M19" s="1545"/>
      <c r="N19" s="380">
        <f>N23-N31+N36</f>
        <v>2514.6138126486871</v>
      </c>
      <c r="O19" s="367">
        <f>$E$42*$E$43/1000</f>
        <v>1090.8186072443823</v>
      </c>
      <c r="Q19" s="1611"/>
      <c r="R19" s="587"/>
      <c r="S19" s="1613"/>
    </row>
    <row r="20" spans="1:19" ht="43.5" customHeight="1" thickBot="1">
      <c r="A20" s="381"/>
      <c r="B20" s="371" t="s">
        <v>922</v>
      </c>
      <c r="C20" s="371"/>
      <c r="D20" s="371"/>
      <c r="E20" s="372"/>
      <c r="F20" s="382"/>
      <c r="G20" s="383"/>
      <c r="H20" s="384"/>
      <c r="I20" s="729">
        <f>I23+I36-I31</f>
        <v>1882.0833721999998</v>
      </c>
      <c r="J20" s="385">
        <f>ROUND((J23+J36-J31),1)</f>
        <v>1485.8</v>
      </c>
      <c r="K20" s="377">
        <f>ROUND((I20+J20),1)</f>
        <v>3367.9</v>
      </c>
      <c r="L20" s="1544" t="s">
        <v>1839</v>
      </c>
      <c r="M20" s="1545"/>
      <c r="N20" s="1593">
        <f>N23-K31+N36</f>
        <v>2437.3973991780172</v>
      </c>
      <c r="P20" s="1594">
        <f>N20-J20</f>
        <v>951.59739917801721</v>
      </c>
      <c r="Q20" s="367"/>
    </row>
    <row r="21" spans="1:19" ht="1.5" hidden="1" customHeight="1">
      <c r="A21" s="388"/>
      <c r="B21" s="389" t="s">
        <v>923</v>
      </c>
      <c r="C21" s="389"/>
      <c r="D21" s="389"/>
      <c r="E21" s="390"/>
      <c r="F21" s="391"/>
      <c r="G21" s="392"/>
      <c r="H21" s="393"/>
      <c r="I21" s="394">
        <f>K19-K20</f>
        <v>-904.70000000000027</v>
      </c>
      <c r="J21" s="395"/>
      <c r="K21" s="396"/>
      <c r="L21" s="397"/>
      <c r="M21" s="398"/>
      <c r="N21" s="399"/>
    </row>
    <row r="22" spans="1:19" ht="15.75" customHeight="1">
      <c r="A22" s="4385" t="s">
        <v>924</v>
      </c>
      <c r="B22" s="4387" t="s">
        <v>1799</v>
      </c>
      <c r="C22" s="4388"/>
      <c r="D22" s="4389"/>
      <c r="E22" s="4389"/>
      <c r="F22" s="400"/>
      <c r="G22" s="401"/>
      <c r="H22" s="402"/>
      <c r="I22" s="403" t="s">
        <v>925</v>
      </c>
      <c r="J22" s="404"/>
      <c r="K22" s="405"/>
      <c r="L22" s="406" t="s">
        <v>926</v>
      </c>
      <c r="M22" s="404"/>
      <c r="N22" s="407"/>
    </row>
    <row r="23" spans="1:19" ht="24" customHeight="1">
      <c r="A23" s="4386"/>
      <c r="B23" s="4390"/>
      <c r="C23" s="4391"/>
      <c r="D23" s="4391"/>
      <c r="E23" s="4391"/>
      <c r="F23" s="408"/>
      <c r="G23" s="409"/>
      <c r="H23" s="410"/>
      <c r="I23" s="411">
        <f>SUM(I25:I29)</f>
        <v>5686.6223790000004</v>
      </c>
      <c r="J23" s="412">
        <f>SUM(J25:J29)</f>
        <v>1406.9213168000001</v>
      </c>
      <c r="K23" s="413">
        <f>SUM(K25:K29)</f>
        <v>7093.5436958</v>
      </c>
      <c r="L23" s="386"/>
      <c r="M23" s="298"/>
      <c r="N23" s="413">
        <f>SUM(N25:N29)</f>
        <v>6204</v>
      </c>
      <c r="O23" s="716">
        <f>N23-K23</f>
        <v>-889.54369580000002</v>
      </c>
      <c r="P23" s="730">
        <f>N19-K20</f>
        <v>-853.28618735131295</v>
      </c>
    </row>
    <row r="24" spans="1:19" ht="27.75" customHeight="1">
      <c r="A24" s="373"/>
      <c r="B24" s="371" t="s">
        <v>927</v>
      </c>
      <c r="C24" s="712" t="s">
        <v>1250</v>
      </c>
      <c r="D24" s="1575">
        <f>SUM(D25:D29)</f>
        <v>1.3699999999999999</v>
      </c>
      <c r="E24" s="1441">
        <f>SUM(E25:E29)</f>
        <v>4674.2999999999993</v>
      </c>
      <c r="F24" s="373"/>
      <c r="G24" s="371"/>
      <c r="H24" s="374"/>
      <c r="I24" s="1595"/>
      <c r="J24" s="412"/>
      <c r="K24" s="413"/>
      <c r="L24" s="386"/>
      <c r="M24" s="298"/>
      <c r="N24" s="413"/>
    </row>
    <row r="25" spans="1:19">
      <c r="A25" s="381"/>
      <c r="B25" s="415" t="s">
        <v>1798</v>
      </c>
      <c r="C25" s="1457">
        <f>E25/D25</f>
        <v>3567.3157894736842</v>
      </c>
      <c r="D25" s="1575">
        <f>'2012'!D25</f>
        <v>0.56999999999999995</v>
      </c>
      <c r="E25" s="1441">
        <f>2033.37</f>
        <v>2033.37</v>
      </c>
      <c r="F25" s="416">
        <f>E64</f>
        <v>364484.63</v>
      </c>
      <c r="G25" s="417">
        <f>F64</f>
        <v>151.36000000000001</v>
      </c>
      <c r="H25" s="418">
        <f>G64</f>
        <v>671</v>
      </c>
      <c r="I25" s="1596">
        <f>D25*F25*6/1000</f>
        <v>1246.5374345999999</v>
      </c>
      <c r="J25" s="664">
        <f>E25*G25/1000</f>
        <v>307.77088320000001</v>
      </c>
      <c r="K25" s="669">
        <f>I25+J25</f>
        <v>1554.3083177999999</v>
      </c>
      <c r="L25" s="1444"/>
      <c r="M25" s="664"/>
      <c r="N25" s="669">
        <f>ROUND((E25*H25/1000),1)</f>
        <v>1364.4</v>
      </c>
      <c r="O25" s="1533">
        <f>'2012г.об.под факт2010'!N23-'1п-е 2012'!N23</f>
        <v>9346.7999999999993</v>
      </c>
    </row>
    <row r="26" spans="1:19">
      <c r="A26" s="381"/>
      <c r="B26" s="415" t="s">
        <v>928</v>
      </c>
      <c r="C26" s="1457">
        <f>E26/D26</f>
        <v>3341.9866666666662</v>
      </c>
      <c r="D26" s="1575">
        <f>'2012'!D26</f>
        <v>0.75</v>
      </c>
      <c r="E26" s="1441">
        <f>2506.49</f>
        <v>2506.4899999999998</v>
      </c>
      <c r="F26" s="416">
        <f t="shared" ref="F26:H27" si="0">E66</f>
        <v>942948.34</v>
      </c>
      <c r="G26" s="417">
        <f t="shared" si="0"/>
        <v>414.16</v>
      </c>
      <c r="H26" s="418">
        <f t="shared" si="0"/>
        <v>1847.1</v>
      </c>
      <c r="I26" s="1596">
        <f>D26*F26*6/1000</f>
        <v>4243.2675300000001</v>
      </c>
      <c r="J26" s="664">
        <f>E26*G26/1000</f>
        <v>1038.0878983999999</v>
      </c>
      <c r="K26" s="669">
        <f>I26+J26</f>
        <v>5281.3554284000002</v>
      </c>
      <c r="L26" s="1444"/>
      <c r="M26" s="664"/>
      <c r="N26" s="669">
        <f>ROUND((E26*H26/1000),1)</f>
        <v>4629.7</v>
      </c>
      <c r="O26" s="1534" t="s">
        <v>1828</v>
      </c>
    </row>
    <row r="27" spans="1:19">
      <c r="A27" s="381"/>
      <c r="B27" s="419" t="s">
        <v>1797</v>
      </c>
      <c r="C27" s="1457">
        <f>E27/D27</f>
        <v>3270</v>
      </c>
      <c r="D27" s="1575">
        <f>'2012'!D27</f>
        <v>0.02</v>
      </c>
      <c r="E27" s="1441">
        <f>65.4</f>
        <v>65.400000000000006</v>
      </c>
      <c r="F27" s="416">
        <f t="shared" si="0"/>
        <v>1640145.12</v>
      </c>
      <c r="G27" s="417">
        <f t="shared" si="0"/>
        <v>472.06</v>
      </c>
      <c r="H27" s="418">
        <f t="shared" si="0"/>
        <v>2747.68</v>
      </c>
      <c r="I27" s="1596">
        <f>D27*F27*6/1000</f>
        <v>196.81741440000005</v>
      </c>
      <c r="J27" s="664">
        <f>E27*G27/1000</f>
        <v>30.872724000000002</v>
      </c>
      <c r="K27" s="669">
        <f>I27+J27</f>
        <v>227.69013840000005</v>
      </c>
      <c r="L27" s="1444"/>
      <c r="M27" s="664"/>
      <c r="N27" s="669">
        <f>ROUND((E27*H27/1000),1)</f>
        <v>179.7</v>
      </c>
    </row>
    <row r="28" spans="1:19" s="485" customFormat="1" ht="28.2">
      <c r="A28" s="381"/>
      <c r="B28" s="419" t="s">
        <v>1796</v>
      </c>
      <c r="C28" s="1457" t="e">
        <f>E28/D28</f>
        <v>#DIV/0!</v>
      </c>
      <c r="D28" s="1575">
        <f>'2012'!D28</f>
        <v>0</v>
      </c>
      <c r="E28" s="1441">
        <f>7.75</f>
        <v>7.75</v>
      </c>
      <c r="F28" s="416"/>
      <c r="G28" s="417"/>
      <c r="H28" s="418">
        <f>G68</f>
        <v>437.28</v>
      </c>
      <c r="I28" s="1596">
        <f>D28*F28*6/1000</f>
        <v>0</v>
      </c>
      <c r="J28" s="664">
        <f>K28</f>
        <v>3.3889199999999997</v>
      </c>
      <c r="K28" s="669">
        <f>E28*H28/1000</f>
        <v>3.3889199999999997</v>
      </c>
      <c r="L28" s="1444"/>
      <c r="M28" s="664"/>
      <c r="N28" s="669">
        <f>ROUND((E28*H28/1000),1)</f>
        <v>3.4</v>
      </c>
    </row>
    <row r="29" spans="1:19" s="485" customFormat="1" ht="28.8" thickBot="1">
      <c r="A29" s="495"/>
      <c r="B29" s="419" t="s">
        <v>929</v>
      </c>
      <c r="C29" s="734">
        <f>E29/D29</f>
        <v>2043</v>
      </c>
      <c r="D29" s="1648">
        <f>'2012'!D29</f>
        <v>0.03</v>
      </c>
      <c r="E29" s="421">
        <f>61.29</f>
        <v>61.29</v>
      </c>
      <c r="F29" s="502"/>
      <c r="G29" s="503"/>
      <c r="H29" s="504">
        <f>H28</f>
        <v>437.28</v>
      </c>
      <c r="I29" s="1597"/>
      <c r="J29" s="423">
        <f>K29</f>
        <v>26.800891199999999</v>
      </c>
      <c r="K29" s="424">
        <f>H29*E29/1000</f>
        <v>26.800891199999999</v>
      </c>
      <c r="L29" s="422"/>
      <c r="M29" s="1445"/>
      <c r="N29" s="424">
        <f>ROUND((E29*H29/1000),1)</f>
        <v>26.8</v>
      </c>
      <c r="O29" s="26"/>
    </row>
    <row r="30" spans="1:19" ht="16.5" customHeight="1">
      <c r="A30" s="4392" t="s">
        <v>930</v>
      </c>
      <c r="B30" s="4393" t="s">
        <v>1800</v>
      </c>
      <c r="C30" s="1458"/>
      <c r="D30" s="425" t="s">
        <v>931</v>
      </c>
      <c r="E30" s="456"/>
      <c r="F30" s="458" t="s">
        <v>932</v>
      </c>
      <c r="G30" s="425"/>
      <c r="H30" s="425"/>
      <c r="I30" s="426" t="s">
        <v>925</v>
      </c>
      <c r="J30" s="427"/>
      <c r="K30" s="428"/>
      <c r="L30" s="406" t="s">
        <v>926</v>
      </c>
      <c r="M30" s="427"/>
      <c r="N30" s="428"/>
    </row>
    <row r="31" spans="1:19" ht="27.6">
      <c r="A31" s="4386"/>
      <c r="B31" s="4394"/>
      <c r="C31" s="1459"/>
      <c r="D31" s="355" t="s">
        <v>909</v>
      </c>
      <c r="E31" s="457" t="s">
        <v>910</v>
      </c>
      <c r="F31" s="459" t="s">
        <v>933</v>
      </c>
      <c r="G31" s="429" t="s">
        <v>251</v>
      </c>
      <c r="H31" s="506" t="s">
        <v>1118</v>
      </c>
      <c r="I31" s="1608">
        <f>SUM(I32:I35)</f>
        <v>5118.1189702000001</v>
      </c>
      <c r="J31" s="1609">
        <f>SUM(J32:J35)</f>
        <v>552.97982752000007</v>
      </c>
      <c r="K31" s="1456">
        <f>SUM(K32:K35)</f>
        <v>5671.0987977200002</v>
      </c>
      <c r="L31" s="722">
        <f>SUM(L35:L35)</f>
        <v>0</v>
      </c>
      <c r="M31" s="573">
        <f>SUM(M35:M35)</f>
        <v>0</v>
      </c>
      <c r="N31" s="735">
        <f>SUM(N32:N35)</f>
        <v>5593.8823842493302</v>
      </c>
    </row>
    <row r="32" spans="1:19" ht="22.5" customHeight="1">
      <c r="A32" s="430">
        <v>1</v>
      </c>
      <c r="B32" s="371" t="s">
        <v>1844</v>
      </c>
      <c r="C32" s="733">
        <f>E32/D32</f>
        <v>3875.2</v>
      </c>
      <c r="D32" s="1575">
        <f>'2012'!D32</f>
        <v>7.0000000000000007E-2</v>
      </c>
      <c r="E32" s="1441">
        <f>'[12]П1.30 -2012г.1 полугод.'!$C$28</f>
        <v>271.26400000000001</v>
      </c>
      <c r="F32" s="1574">
        <v>397902.31</v>
      </c>
      <c r="G32" s="1575">
        <v>93.93</v>
      </c>
      <c r="H32" s="1576">
        <v>758.64685454135008</v>
      </c>
      <c r="I32" s="386">
        <f>$D32*$F32*6/1000</f>
        <v>167.11897020000004</v>
      </c>
      <c r="J32" s="298">
        <f>$E32*$G32/1000</f>
        <v>25.479827520000004</v>
      </c>
      <c r="K32" s="387">
        <f>I32+J32</f>
        <v>192.59879772000005</v>
      </c>
      <c r="L32" s="573"/>
      <c r="M32" s="573"/>
      <c r="N32" s="710">
        <f>E32*H32/1000</f>
        <v>205.79358035030481</v>
      </c>
    </row>
    <row r="33" spans="1:15" ht="22.5" customHeight="1">
      <c r="A33" s="1539">
        <v>2</v>
      </c>
      <c r="B33" s="1540" t="s">
        <v>1847</v>
      </c>
      <c r="C33" s="1541">
        <f>E33/D33</f>
        <v>3689.8285714285712</v>
      </c>
      <c r="D33" s="1575">
        <f>'2012'!D33</f>
        <v>7.0000000000000007E-2</v>
      </c>
      <c r="E33" s="1441">
        <f>'[12]П1.30 -2012г.1 полугод.'!$C$14</f>
        <v>258.28800000000001</v>
      </c>
      <c r="F33" s="1574">
        <v>139799.97</v>
      </c>
      <c r="G33" s="1575">
        <v>95.89</v>
      </c>
      <c r="H33" s="1577">
        <v>331.81098137210358</v>
      </c>
      <c r="I33" s="664">
        <f>ROUND(($D$33*$F$33*6/1000),1)</f>
        <v>58.7</v>
      </c>
      <c r="J33" s="664">
        <f>ROUND(($E$33*$G$33/1000),1)</f>
        <v>24.8</v>
      </c>
      <c r="K33" s="669">
        <f>I33+J33</f>
        <v>83.5</v>
      </c>
      <c r="L33" s="573"/>
      <c r="M33" s="573"/>
      <c r="N33" s="710">
        <f>E33*H33/1000</f>
        <v>85.7027947566379</v>
      </c>
    </row>
    <row r="34" spans="1:15" ht="22.5" customHeight="1">
      <c r="A34" s="1578">
        <v>3</v>
      </c>
      <c r="B34" s="454" t="s">
        <v>1848</v>
      </c>
      <c r="C34" s="1541">
        <f>E34/D34</f>
        <v>3745.9338953205188</v>
      </c>
      <c r="D34" s="1645">
        <f>'2012'!D34</f>
        <v>2.87</v>
      </c>
      <c r="E34" s="1446">
        <f>$E$24+$E$38+$E$39+$E$32+$E$35+$E$42-$E$33</f>
        <v>10750.830279569889</v>
      </c>
      <c r="F34" s="1574">
        <v>283891.76</v>
      </c>
      <c r="G34" s="1575">
        <v>46.69</v>
      </c>
      <c r="H34" s="1577">
        <v>492.77467676721807</v>
      </c>
      <c r="I34" s="664">
        <f>ROUND(($D$34*$F$34*6/1000),1)</f>
        <v>4888.6000000000004</v>
      </c>
      <c r="J34" s="664">
        <f>ROUND(($E$34*$G$34/1000),1)</f>
        <v>502</v>
      </c>
      <c r="K34" s="669">
        <f>I34+J34</f>
        <v>5390.6</v>
      </c>
      <c r="L34" s="573"/>
      <c r="M34" s="573"/>
      <c r="N34" s="710">
        <f>E34*H34/1000</f>
        <v>5297.7369159942727</v>
      </c>
    </row>
    <row r="35" spans="1:15" ht="22.5" customHeight="1" thickBot="1">
      <c r="A35" s="430">
        <v>4</v>
      </c>
      <c r="B35" s="371" t="s">
        <v>1845</v>
      </c>
      <c r="C35" s="733">
        <f>E35/D35</f>
        <v>4710.1777777777779</v>
      </c>
      <c r="D35" s="1575">
        <f>'2012'!D35</f>
        <v>0.09</v>
      </c>
      <c r="E35" s="1440">
        <f>'[12]П1.30 -2012г.1 полугод.'!$C$24</f>
        <v>423.916</v>
      </c>
      <c r="F35" s="1574">
        <v>6820.2</v>
      </c>
      <c r="G35" s="1575">
        <v>1.61</v>
      </c>
      <c r="H35" s="1577">
        <v>10.967015040986782</v>
      </c>
      <c r="I35" s="664">
        <f>ROUND(($D$35*$F$35*6/1000),1)</f>
        <v>3.7</v>
      </c>
      <c r="J35" s="664">
        <f>ROUND(($E$35*$G$35/1000),1)</f>
        <v>0.7</v>
      </c>
      <c r="K35" s="669">
        <f>I35+J35</f>
        <v>4.4000000000000004</v>
      </c>
      <c r="L35" s="573"/>
      <c r="M35" s="573"/>
      <c r="N35" s="710">
        <f>E35*H35/1000</f>
        <v>4.6490931481149529</v>
      </c>
    </row>
    <row r="36" spans="1:15" ht="46.8">
      <c r="A36" s="1579" t="s">
        <v>935</v>
      </c>
      <c r="B36" s="1580" t="s">
        <v>1801</v>
      </c>
      <c r="C36" s="1581"/>
      <c r="D36" s="1646"/>
      <c r="E36" s="1583"/>
      <c r="F36" s="1584" t="s">
        <v>933</v>
      </c>
      <c r="G36" s="1585" t="s">
        <v>251</v>
      </c>
      <c r="H36" s="1586" t="s">
        <v>251</v>
      </c>
      <c r="I36" s="1587">
        <f>SUM(I37:I39)</f>
        <v>1313.5799634</v>
      </c>
      <c r="J36" s="1588">
        <f>SUM(J37:J39)</f>
        <v>631.82175999999993</v>
      </c>
      <c r="K36" s="1589">
        <f>SUM(K37:K39)</f>
        <v>1945.4017234</v>
      </c>
      <c r="L36" s="1590">
        <f>SUM(L38:L39)</f>
        <v>0</v>
      </c>
      <c r="M36" s="1591">
        <f>SUM(M38:M39)</f>
        <v>0</v>
      </c>
      <c r="N36" s="1589">
        <f>SUM(N37:N39)</f>
        <v>1904.4961968980174</v>
      </c>
    </row>
    <row r="37" spans="1:15" hidden="1">
      <c r="A37" s="430">
        <v>1</v>
      </c>
      <c r="B37" s="371" t="s">
        <v>1834</v>
      </c>
      <c r="C37" s="733">
        <f>E37/D37</f>
        <v>3759.0315662831781</v>
      </c>
      <c r="D37" s="1642">
        <f>$D$24+$D$38+$D$39+$D$32+$D$35+$G$42-$D$33</f>
        <v>2.86</v>
      </c>
      <c r="E37" s="1462">
        <f>$E$24+$E$38+$E$39+$E$32+$E$35+$E$42-$E$33</f>
        <v>10750.830279569889</v>
      </c>
      <c r="F37" s="723"/>
      <c r="G37" s="724"/>
      <c r="H37" s="1592">
        <v>0</v>
      </c>
      <c r="I37" s="1564">
        <f>$D$37*$F$37*12/1000</f>
        <v>0</v>
      </c>
      <c r="J37" s="1565">
        <f>$E$37*$G$37/1000</f>
        <v>0</v>
      </c>
      <c r="K37" s="1566">
        <f>I37+J37</f>
        <v>0</v>
      </c>
      <c r="L37" s="1567"/>
      <c r="M37" s="1565"/>
      <c r="N37" s="1566">
        <f>E37*H37/1000</f>
        <v>0</v>
      </c>
    </row>
    <row r="38" spans="1:15" ht="16.2">
      <c r="A38" s="430">
        <v>1</v>
      </c>
      <c r="B38" s="371" t="s">
        <v>1846</v>
      </c>
      <c r="C38" s="733">
        <f>E38/D38</f>
        <v>4146.7889908256875</v>
      </c>
      <c r="D38" s="1647">
        <f>'2012'!D38</f>
        <v>1.0900000000000001</v>
      </c>
      <c r="E38" s="1542">
        <f>'[12]П1.30 -2012г.1 полугод.'!$C$22</f>
        <v>4520</v>
      </c>
      <c r="F38" s="416">
        <v>181738.41</v>
      </c>
      <c r="G38" s="417">
        <v>125.28</v>
      </c>
      <c r="H38" s="1573">
        <v>377.63014891719746</v>
      </c>
      <c r="I38" s="1564">
        <f>$D38*$F38*6/1000</f>
        <v>1188.5692014000001</v>
      </c>
      <c r="J38" s="1565">
        <f>$E38*$G38/1000</f>
        <v>566.26559999999995</v>
      </c>
      <c r="K38" s="1566">
        <f>I38+J38</f>
        <v>1754.8348014000001</v>
      </c>
      <c r="L38" s="1567"/>
      <c r="M38" s="1565"/>
      <c r="N38" s="1566">
        <f>E38*H38/1000</f>
        <v>1706.8882731057327</v>
      </c>
    </row>
    <row r="39" spans="1:15" ht="32.25" customHeight="1" thickBot="1">
      <c r="A39" s="431">
        <v>2</v>
      </c>
      <c r="B39" s="1543" t="s">
        <v>1843</v>
      </c>
      <c r="C39" s="734">
        <f>E39/D39</f>
        <v>3490</v>
      </c>
      <c r="D39" s="1648">
        <f>'2012'!D39</f>
        <v>0.1</v>
      </c>
      <c r="E39" s="714">
        <f>'[12]П1.30 -2012г.1 полугод.'!$C$26</f>
        <v>349</v>
      </c>
      <c r="F39" s="502">
        <v>208351.27</v>
      </c>
      <c r="G39" s="503">
        <v>187.84</v>
      </c>
      <c r="H39" s="1572">
        <v>566.21181602373883</v>
      </c>
      <c r="I39" s="1568">
        <f>$D$39*$F$39*6/1000</f>
        <v>125.010762</v>
      </c>
      <c r="J39" s="1569">
        <f>$E$39*$G$39/1000</f>
        <v>65.556160000000006</v>
      </c>
      <c r="K39" s="1570">
        <f>I39+J39</f>
        <v>190.56692200000001</v>
      </c>
      <c r="L39" s="731"/>
      <c r="M39" s="732"/>
      <c r="N39" s="1571">
        <f>E39*H39/1000</f>
        <v>197.60792379228485</v>
      </c>
    </row>
    <row r="40" spans="1:15" hidden="1">
      <c r="F40" s="172"/>
      <c r="G40" s="172"/>
      <c r="H40" s="172"/>
      <c r="L40" s="26"/>
      <c r="M40" s="26"/>
      <c r="N40" s="26"/>
    </row>
    <row r="41" spans="1:15">
      <c r="B41" s="99" t="s">
        <v>851</v>
      </c>
      <c r="C41" s="99"/>
      <c r="L41" s="26"/>
      <c r="M41" s="26"/>
      <c r="N41" s="26"/>
    </row>
    <row r="42" spans="1:15">
      <c r="D42" s="99" t="s">
        <v>1805</v>
      </c>
      <c r="E42" s="999">
        <f>(E24+E32+E35+E38+E39)/(1-7/100)*7/100</f>
        <v>770.63827956989246</v>
      </c>
      <c r="F42" s="26" t="s">
        <v>936</v>
      </c>
      <c r="G42" s="26">
        <v>0.21</v>
      </c>
      <c r="H42" s="1641">
        <f>E42/(E34+E33)</f>
        <v>7.0000000000000021E-2</v>
      </c>
      <c r="L42" s="26"/>
      <c r="M42" s="26"/>
      <c r="N42" s="26"/>
    </row>
    <row r="43" spans="1:15">
      <c r="D43" s="99" t="s">
        <v>937</v>
      </c>
      <c r="E43" s="1640">
        <f>2216.76/1566.09*1000</f>
        <v>1415.4742064632301</v>
      </c>
      <c r="F43" s="26" t="s">
        <v>938</v>
      </c>
      <c r="L43" s="26"/>
      <c r="M43" s="26"/>
      <c r="N43" s="26"/>
    </row>
    <row r="44" spans="1:15" hidden="1"/>
    <row r="45" spans="1:15" hidden="1">
      <c r="E45" s="26" t="s">
        <v>938</v>
      </c>
      <c r="G45" s="507" t="s">
        <v>1257</v>
      </c>
      <c r="H45" s="507"/>
      <c r="I45" s="507"/>
      <c r="J45" s="507"/>
      <c r="K45" s="507"/>
    </row>
    <row r="46" spans="1:15" hidden="1">
      <c r="E46" s="514"/>
      <c r="F46" s="513"/>
      <c r="G46" s="508" t="s">
        <v>932</v>
      </c>
      <c r="H46" s="508"/>
      <c r="I46" s="508"/>
      <c r="J46" s="512" t="s">
        <v>1119</v>
      </c>
      <c r="K46" s="512"/>
      <c r="L46" s="26"/>
      <c r="M46" s="26"/>
      <c r="N46" s="26"/>
      <c r="O46" s="433"/>
    </row>
    <row r="47" spans="1:15" ht="27" hidden="1">
      <c r="E47" s="514"/>
      <c r="F47" s="513"/>
      <c r="G47" s="509" t="s">
        <v>933</v>
      </c>
      <c r="H47" s="509" t="s">
        <v>251</v>
      </c>
      <c r="I47" s="510" t="s">
        <v>1118</v>
      </c>
      <c r="J47" s="507"/>
      <c r="K47" s="507"/>
      <c r="L47" s="26"/>
      <c r="M47" s="26"/>
      <c r="N47" s="26"/>
      <c r="O47" s="434"/>
    </row>
    <row r="48" spans="1:15" hidden="1">
      <c r="E48" s="514"/>
      <c r="F48" s="513"/>
      <c r="G48" s="231"/>
      <c r="H48" s="231"/>
      <c r="I48" s="231"/>
      <c r="J48" s="507"/>
      <c r="K48" s="507"/>
      <c r="L48" s="26"/>
      <c r="M48" s="26"/>
      <c r="N48" s="26"/>
      <c r="O48" s="433"/>
    </row>
    <row r="49" spans="2:14" hidden="1">
      <c r="E49" s="514"/>
      <c r="F49" s="513" t="s">
        <v>1258</v>
      </c>
      <c r="G49" s="231"/>
      <c r="H49" s="231"/>
      <c r="I49" s="231"/>
      <c r="J49" s="507"/>
      <c r="K49" s="507"/>
    </row>
    <row r="50" spans="2:14" hidden="1">
      <c r="E50" s="514"/>
      <c r="F50" s="513" t="s">
        <v>934</v>
      </c>
      <c r="G50" s="511"/>
      <c r="H50" s="511"/>
      <c r="I50" s="511"/>
      <c r="J50" s="507"/>
      <c r="K50" s="511"/>
    </row>
    <row r="51" spans="2:14" hidden="1">
      <c r="E51" s="514"/>
      <c r="F51" s="513" t="s">
        <v>960</v>
      </c>
      <c r="G51" s="511"/>
      <c r="H51" s="511"/>
      <c r="I51" s="511"/>
      <c r="J51" s="507"/>
      <c r="K51" s="511"/>
    </row>
    <row r="52" spans="2:14" hidden="1">
      <c r="E52" s="514"/>
      <c r="F52" s="513" t="s">
        <v>1255</v>
      </c>
      <c r="G52" s="511"/>
      <c r="H52" s="511"/>
      <c r="I52" s="511"/>
      <c r="J52" s="507"/>
      <c r="K52" s="511"/>
    </row>
    <row r="53" spans="2:14" hidden="1">
      <c r="E53" s="514"/>
      <c r="F53" s="513" t="s">
        <v>640</v>
      </c>
      <c r="G53" s="511"/>
      <c r="H53" s="511"/>
      <c r="I53" s="511"/>
      <c r="J53" s="507"/>
      <c r="K53" s="511"/>
    </row>
    <row r="54" spans="2:14" hidden="1"/>
    <row r="55" spans="2:14" hidden="1"/>
    <row r="56" spans="2:14" hidden="1">
      <c r="K56" s="172"/>
      <c r="L56" s="26"/>
      <c r="M56" s="26"/>
      <c r="N56" s="26"/>
    </row>
    <row r="57" spans="2:14" hidden="1"/>
    <row r="58" spans="2:14" hidden="1"/>
    <row r="59" spans="2:14" ht="12.75" customHeight="1">
      <c r="B59" s="10" t="s">
        <v>1838</v>
      </c>
      <c r="C59" s="10"/>
      <c r="D59" s="10"/>
      <c r="E59" s="10"/>
      <c r="F59" s="10"/>
      <c r="G59" s="206"/>
      <c r="H59" s="207"/>
    </row>
    <row r="60" spans="2:14">
      <c r="B60" s="4209" t="s">
        <v>836</v>
      </c>
      <c r="C60" s="12"/>
      <c r="D60" s="12"/>
      <c r="E60" s="4395" t="s">
        <v>837</v>
      </c>
      <c r="F60" s="39" t="s">
        <v>838</v>
      </c>
      <c r="G60" s="4209" t="s">
        <v>839</v>
      </c>
      <c r="H60" s="10"/>
    </row>
    <row r="61" spans="2:14" ht="66.599999999999994">
      <c r="B61" s="4216"/>
      <c r="C61" s="21"/>
      <c r="D61" s="21"/>
      <c r="E61" s="4396"/>
      <c r="F61" s="39" t="s">
        <v>840</v>
      </c>
      <c r="G61" s="4210"/>
      <c r="H61" s="10"/>
    </row>
    <row r="62" spans="2:14" ht="16.8">
      <c r="B62" s="4216"/>
      <c r="C62" s="21"/>
      <c r="D62" s="21"/>
      <c r="E62" s="176" t="s">
        <v>841</v>
      </c>
      <c r="F62" s="176" t="s">
        <v>842</v>
      </c>
      <c r="G62" s="17"/>
      <c r="H62" s="207" t="s">
        <v>835</v>
      </c>
    </row>
    <row r="63" spans="2:14" ht="15.75" customHeight="1">
      <c r="B63" s="4210"/>
      <c r="C63" s="14"/>
      <c r="D63" s="14"/>
      <c r="E63" s="17" t="s">
        <v>291</v>
      </c>
      <c r="F63" s="17" t="s">
        <v>843</v>
      </c>
      <c r="G63" s="17" t="s">
        <v>843</v>
      </c>
      <c r="H63" s="206"/>
    </row>
    <row r="64" spans="2:14">
      <c r="B64" s="17" t="s">
        <v>697</v>
      </c>
      <c r="C64" s="690"/>
      <c r="D64" s="690"/>
      <c r="E64" s="313">
        <f>'1 И 2 ПОЛУГОДИЕ 2012'!B53</f>
        <v>364484.63</v>
      </c>
      <c r="F64" s="313">
        <f>'1 И 2 ПОЛУГОДИЕ 2012'!D53</f>
        <v>151.36000000000001</v>
      </c>
      <c r="G64" s="313">
        <f>'1 И 2 ПОЛУГОДИЕ 2012'!F53</f>
        <v>671</v>
      </c>
      <c r="H64" s="692">
        <f>(E64*12/(G64-F64))</f>
        <v>8417.0109306442937</v>
      </c>
    </row>
    <row r="65" spans="2:8">
      <c r="B65" s="17" t="s">
        <v>676</v>
      </c>
      <c r="C65" s="17"/>
      <c r="D65" s="1466"/>
      <c r="E65" s="313">
        <f>'1 И 2 ПОЛУГОДИЕ 2012'!B54</f>
        <v>684381.17</v>
      </c>
      <c r="F65" s="313">
        <f>'1 И 2 ПОЛУГОДИЕ 2012'!D54</f>
        <v>162.12</v>
      </c>
      <c r="G65" s="313">
        <f>'1 И 2 ПОЛУГОДИЕ 2012'!F54</f>
        <v>1153.6500000000001</v>
      </c>
      <c r="H65" s="206">
        <f>(E65*12/(G65-F65))</f>
        <v>8282.7287525339634</v>
      </c>
    </row>
    <row r="66" spans="2:8">
      <c r="B66" s="39" t="s">
        <v>847</v>
      </c>
      <c r="C66" s="39"/>
      <c r="D66" s="1528"/>
      <c r="E66" s="313">
        <f>'1 И 2 ПОЛУГОДИЕ 2012'!B55</f>
        <v>942948.34</v>
      </c>
      <c r="F66" s="313">
        <f>'1 И 2 ПОЛУГОДИЕ 2012'!D55</f>
        <v>414.16</v>
      </c>
      <c r="G66" s="313">
        <f>'1 И 2 ПОЛУГОДИЕ 2012'!F55</f>
        <v>1847.1</v>
      </c>
      <c r="H66" s="206">
        <f>(E66*12/(G66-F66))</f>
        <v>7896.6181975518875</v>
      </c>
    </row>
    <row r="67" spans="2:8">
      <c r="B67" s="17" t="s">
        <v>681</v>
      </c>
      <c r="C67" s="690"/>
      <c r="D67" s="690"/>
      <c r="E67" s="313">
        <f>'1 И 2 ПОЛУГОДИЕ 2012'!B56</f>
        <v>1640145.12</v>
      </c>
      <c r="F67" s="313">
        <f>'1 И 2 ПОЛУГОДИЕ 2012'!D56</f>
        <v>472.06</v>
      </c>
      <c r="G67" s="313">
        <f>'1 И 2 ПОЛУГОДИЕ 2012'!F56</f>
        <v>2747.68</v>
      </c>
      <c r="H67" s="692">
        <f>(E67*12/(G67-F67))</f>
        <v>8648.9578400611717</v>
      </c>
    </row>
    <row r="68" spans="2:8">
      <c r="B68" s="465" t="s">
        <v>962</v>
      </c>
      <c r="C68" s="465"/>
      <c r="D68" s="1529"/>
      <c r="E68" s="313"/>
      <c r="F68" s="313"/>
      <c r="G68" s="313">
        <f>'1 И 2 ПОЛУГОДИЕ 2012'!F57</f>
        <v>437.28</v>
      </c>
      <c r="H68" s="320">
        <f>(E68*12/(G68-F68))</f>
        <v>0</v>
      </c>
    </row>
    <row r="69" spans="2:8">
      <c r="B69" s="106"/>
      <c r="C69" s="106"/>
      <c r="D69" s="106"/>
      <c r="E69" s="106"/>
      <c r="F69" s="106"/>
      <c r="G69" s="106"/>
      <c r="H69" s="106"/>
    </row>
  </sheetData>
  <mergeCells count="14">
    <mergeCell ref="B6:B9"/>
    <mergeCell ref="D6:D7"/>
    <mergeCell ref="E6:E7"/>
    <mergeCell ref="F6:F7"/>
    <mergeCell ref="A15:A17"/>
    <mergeCell ref="B15:B17"/>
    <mergeCell ref="D15:E16"/>
    <mergeCell ref="G60:G61"/>
    <mergeCell ref="A22:A23"/>
    <mergeCell ref="B22:E23"/>
    <mergeCell ref="A30:A31"/>
    <mergeCell ref="B30:B31"/>
    <mergeCell ref="B60:B63"/>
    <mergeCell ref="E60:E61"/>
  </mergeCells>
  <printOptions horizontalCentered="1"/>
  <pageMargins left="0.39370078740157483" right="0.39370078740157483" top="0.19685039370078741" bottom="3.937007874015748E-2" header="0.11811023622047245" footer="3.937007874015748E-2"/>
  <pageSetup paperSize="9" scale="61" orientation="landscape" r:id="rId1"/>
  <headerFooter alignWithMargins="0">
    <oddFooter>&amp;L&amp;8________________________________________________________________________
&amp;F&amp;A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 enableFormatConditionsCalculation="0">
    <tabColor rgb="FFFF0000"/>
  </sheetPr>
  <dimension ref="A1:Q34"/>
  <sheetViews>
    <sheetView tabSelected="1" workbookViewId="0">
      <selection activeCell="B31" sqref="B31"/>
    </sheetView>
  </sheetViews>
  <sheetFormatPr defaultColWidth="9.109375" defaultRowHeight="13.2"/>
  <cols>
    <col min="1" max="1" width="6.109375" style="2009" customWidth="1"/>
    <col min="2" max="2" width="34.109375" style="2009" customWidth="1"/>
    <col min="3" max="3" width="10.109375" style="2009" customWidth="1"/>
    <col min="4" max="4" width="9.109375" style="2009"/>
    <col min="5" max="5" width="9.5546875" style="2009" bestFit="1" customWidth="1"/>
    <col min="6" max="6" width="9.109375" style="2009"/>
    <col min="7" max="7" width="10.44140625" style="2009" customWidth="1"/>
    <col min="8" max="8" width="9.5546875" style="2009" customWidth="1"/>
    <col min="9" max="9" width="9.88671875" style="2009" customWidth="1"/>
    <col min="10" max="11" width="9.109375" style="2009"/>
    <col min="12" max="12" width="10" style="2009" bestFit="1" customWidth="1"/>
    <col min="13" max="14" width="0" style="2009" hidden="1" customWidth="1"/>
    <col min="15" max="15" width="0" style="3400" hidden="1" customWidth="1"/>
    <col min="16" max="18" width="0" style="2009" hidden="1" customWidth="1"/>
    <col min="19" max="16384" width="9.109375" style="2009"/>
  </cols>
  <sheetData>
    <row r="1" spans="1:15">
      <c r="L1" s="2150" t="s">
        <v>528</v>
      </c>
    </row>
    <row r="2" spans="1:15" ht="15.6">
      <c r="A2" s="3488" t="s">
        <v>543</v>
      </c>
      <c r="B2" s="3489"/>
      <c r="C2" s="3490"/>
      <c r="D2" s="3490"/>
      <c r="E2" s="3490"/>
      <c r="F2" s="3490"/>
      <c r="G2" s="3490"/>
      <c r="H2" s="3490"/>
      <c r="I2" s="3490"/>
      <c r="J2" s="3490"/>
      <c r="K2" s="2151"/>
      <c r="L2" s="2151"/>
    </row>
    <row r="3" spans="1:15" ht="15.6">
      <c r="A3" s="2007" t="s">
        <v>2487</v>
      </c>
      <c r="B3" s="3489"/>
      <c r="C3" s="3490"/>
      <c r="D3" s="3490"/>
      <c r="E3" s="3490"/>
      <c r="F3" s="3490"/>
      <c r="G3" s="3490"/>
      <c r="H3" s="3490"/>
      <c r="I3" s="3490"/>
      <c r="J3" s="3490"/>
      <c r="K3" s="2151"/>
      <c r="L3" s="2151"/>
    </row>
    <row r="4" spans="1:15">
      <c r="A4" s="3491"/>
      <c r="B4" s="3384" t="s">
        <v>1401</v>
      </c>
      <c r="C4" s="3491"/>
      <c r="D4" s="3491"/>
      <c r="E4" s="3491"/>
      <c r="F4" s="3491"/>
      <c r="G4" s="3491"/>
      <c r="H4" s="2152"/>
      <c r="I4" s="2152"/>
      <c r="J4" s="2152"/>
      <c r="K4" s="2153"/>
      <c r="L4" s="3492" t="s">
        <v>529</v>
      </c>
    </row>
    <row r="5" spans="1:15" s="3409" customFormat="1" ht="18" customHeight="1">
      <c r="A5" s="3493" t="s">
        <v>695</v>
      </c>
      <c r="B5" s="2155" t="s">
        <v>696</v>
      </c>
      <c r="C5" s="3995" t="s">
        <v>437</v>
      </c>
      <c r="D5" s="3996"/>
      <c r="E5" s="3996"/>
      <c r="F5" s="3996"/>
      <c r="G5" s="3997"/>
      <c r="H5" s="3992" t="s">
        <v>674</v>
      </c>
      <c r="I5" s="3993"/>
      <c r="J5" s="3993"/>
      <c r="K5" s="3993"/>
      <c r="L5" s="3994"/>
      <c r="O5" s="3467"/>
    </row>
    <row r="6" spans="1:15" s="3409" customFormat="1" ht="16.5" customHeight="1">
      <c r="A6" s="2155"/>
      <c r="B6" s="2155"/>
      <c r="C6" s="2155" t="s">
        <v>679</v>
      </c>
      <c r="D6" s="2155" t="s">
        <v>697</v>
      </c>
      <c r="E6" s="2155" t="s">
        <v>676</v>
      </c>
      <c r="F6" s="2155" t="s">
        <v>677</v>
      </c>
      <c r="G6" s="2155" t="s">
        <v>681</v>
      </c>
      <c r="H6" s="2155" t="s">
        <v>679</v>
      </c>
      <c r="I6" s="2155" t="s">
        <v>697</v>
      </c>
      <c r="J6" s="2155" t="s">
        <v>676</v>
      </c>
      <c r="K6" s="2155" t="s">
        <v>677</v>
      </c>
      <c r="L6" s="2155" t="s">
        <v>681</v>
      </c>
      <c r="O6" s="3467"/>
    </row>
    <row r="7" spans="1:15" s="3496" customFormat="1" ht="10.199999999999999">
      <c r="A7" s="3494">
        <v>1</v>
      </c>
      <c r="B7" s="3495">
        <v>2</v>
      </c>
      <c r="C7" s="3494">
        <v>3</v>
      </c>
      <c r="D7" s="3494">
        <v>4</v>
      </c>
      <c r="E7" s="3494">
        <v>5</v>
      </c>
      <c r="F7" s="3494">
        <v>6</v>
      </c>
      <c r="G7" s="3494">
        <v>7</v>
      </c>
      <c r="H7" s="3494">
        <v>8</v>
      </c>
      <c r="I7" s="3494">
        <v>9</v>
      </c>
      <c r="J7" s="3494">
        <v>10</v>
      </c>
      <c r="K7" s="3494">
        <v>11</v>
      </c>
      <c r="L7" s="3494">
        <v>12</v>
      </c>
      <c r="O7" s="3467"/>
    </row>
    <row r="8" spans="1:15">
      <c r="A8" s="3424" t="s">
        <v>689</v>
      </c>
      <c r="B8" s="3497" t="s">
        <v>530</v>
      </c>
      <c r="C8" s="3498">
        <v>2.9119899999999999</v>
      </c>
      <c r="D8" s="3498">
        <v>2.8980000000000001</v>
      </c>
      <c r="E8" s="3498">
        <v>0</v>
      </c>
      <c r="F8" s="3498">
        <v>1.2716299999999998</v>
      </c>
      <c r="G8" s="3498">
        <v>3.9459999999999829E-2</v>
      </c>
      <c r="H8" s="3498">
        <v>3.1777264628142001</v>
      </c>
      <c r="I8" s="3498">
        <v>3.1634009628142001</v>
      </c>
      <c r="J8" s="3498">
        <v>0</v>
      </c>
      <c r="K8" s="3499">
        <v>1.2035664628142002</v>
      </c>
      <c r="L8" s="3498">
        <v>5.0699999999999745E-2</v>
      </c>
      <c r="N8" s="2231"/>
      <c r="O8" s="2231"/>
    </row>
    <row r="9" spans="1:15">
      <c r="A9" s="3424" t="s">
        <v>698</v>
      </c>
      <c r="B9" s="3424" t="s">
        <v>531</v>
      </c>
      <c r="C9" s="3499"/>
      <c r="D9" s="3499"/>
      <c r="E9" s="3500">
        <v>0</v>
      </c>
      <c r="F9" s="3498">
        <v>1.2576399999999999</v>
      </c>
      <c r="G9" s="3498">
        <v>3.9459999999999829E-2</v>
      </c>
      <c r="H9" s="3501"/>
      <c r="I9" s="3499"/>
      <c r="J9" s="3500">
        <v>0</v>
      </c>
      <c r="K9" s="3499">
        <v>1.1892409628142002</v>
      </c>
      <c r="L9" s="3498">
        <v>5.0699999999999745E-2</v>
      </c>
      <c r="N9" s="2231"/>
    </row>
    <row r="10" spans="1:15">
      <c r="A10" s="3424"/>
      <c r="B10" s="3424" t="s">
        <v>547</v>
      </c>
      <c r="C10" s="3499"/>
      <c r="D10" s="3499"/>
      <c r="E10" s="3500">
        <v>0</v>
      </c>
      <c r="F10" s="3498">
        <v>1.2576399999999999</v>
      </c>
      <c r="G10" s="3498"/>
      <c r="H10" s="3501"/>
      <c r="I10" s="3499"/>
      <c r="J10" s="3500">
        <v>0</v>
      </c>
      <c r="K10" s="3499">
        <v>1.1892409628142002</v>
      </c>
      <c r="L10" s="3499"/>
      <c r="N10" s="2231"/>
    </row>
    <row r="11" spans="1:15">
      <c r="A11" s="3424"/>
      <c r="B11" s="3449" t="s">
        <v>548</v>
      </c>
      <c r="C11" s="3501">
        <v>0</v>
      </c>
      <c r="D11" s="3499"/>
      <c r="E11" s="3500"/>
      <c r="F11" s="3498">
        <v>0</v>
      </c>
      <c r="G11" s="3498"/>
      <c r="H11" s="3501">
        <v>0</v>
      </c>
      <c r="I11" s="3499"/>
      <c r="J11" s="3500"/>
      <c r="K11" s="3498">
        <v>0</v>
      </c>
      <c r="L11" s="3499"/>
      <c r="N11" s="2231"/>
    </row>
    <row r="12" spans="1:15">
      <c r="A12" s="3424"/>
      <c r="B12" s="3449" t="s">
        <v>549</v>
      </c>
      <c r="C12" s="3502">
        <v>3.9459999999999829E-2</v>
      </c>
      <c r="D12" s="3499"/>
      <c r="E12" s="3503"/>
      <c r="F12" s="3498"/>
      <c r="G12" s="3498">
        <v>3.9459999999999829E-2</v>
      </c>
      <c r="H12" s="3501">
        <v>5.0699999999999745E-2</v>
      </c>
      <c r="I12" s="3499"/>
      <c r="J12" s="3503"/>
      <c r="K12" s="3499"/>
      <c r="L12" s="3498">
        <v>5.0699999999999745E-2</v>
      </c>
      <c r="N12" s="2231"/>
    </row>
    <row r="13" spans="1:15">
      <c r="A13" s="3424" t="s">
        <v>699</v>
      </c>
      <c r="B13" s="3449" t="s">
        <v>2584</v>
      </c>
      <c r="C13" s="3501">
        <v>2.8980000000000001</v>
      </c>
      <c r="D13" s="3504">
        <v>2.8980000000000001</v>
      </c>
      <c r="E13" s="3501"/>
      <c r="F13" s="3499"/>
      <c r="G13" s="3499"/>
      <c r="H13" s="3501">
        <v>3.1634009628142001</v>
      </c>
      <c r="I13" s="3503">
        <v>3.1634009628142001</v>
      </c>
      <c r="J13" s="3498"/>
      <c r="K13" s="3503"/>
      <c r="L13" s="3503"/>
      <c r="N13" s="2231"/>
    </row>
    <row r="14" spans="1:15" hidden="1">
      <c r="A14" s="3449" t="s">
        <v>241</v>
      </c>
      <c r="B14" s="3469" t="s">
        <v>2585</v>
      </c>
      <c r="C14" s="3502">
        <v>0</v>
      </c>
      <c r="D14" s="3501"/>
      <c r="E14" s="3501"/>
      <c r="F14" s="3499"/>
      <c r="G14" s="3499"/>
      <c r="H14" s="3501">
        <v>0</v>
      </c>
      <c r="I14" s="3498"/>
      <c r="J14" s="3498"/>
      <c r="K14" s="2159"/>
      <c r="L14" s="2159"/>
      <c r="N14" s="2231"/>
    </row>
    <row r="15" spans="1:15">
      <c r="A15" s="3505" t="s">
        <v>241</v>
      </c>
      <c r="B15" s="3469" t="s">
        <v>2950</v>
      </c>
      <c r="C15" s="3502">
        <v>5.0000000000000001E-3</v>
      </c>
      <c r="D15" s="2159"/>
      <c r="E15" s="3499"/>
      <c r="F15" s="3498">
        <v>5.0000000000000001E-3</v>
      </c>
      <c r="G15" s="3499"/>
      <c r="H15" s="3502">
        <v>5.0000000000000001E-3</v>
      </c>
      <c r="I15" s="2158"/>
      <c r="J15" s="2158"/>
      <c r="K15" s="3498">
        <v>5.0000000000000001E-3</v>
      </c>
      <c r="L15" s="2159"/>
      <c r="N15" s="2231"/>
    </row>
    <row r="16" spans="1:15">
      <c r="A16" s="3505" t="s">
        <v>544</v>
      </c>
      <c r="B16" s="3469" t="s">
        <v>2361</v>
      </c>
      <c r="C16" s="3502">
        <v>8.9899999999999997E-3</v>
      </c>
      <c r="D16" s="2159"/>
      <c r="E16" s="3499"/>
      <c r="F16" s="3498">
        <v>8.9899999999999997E-3</v>
      </c>
      <c r="G16" s="3499"/>
      <c r="H16" s="3502">
        <v>9.3255000000000005E-3</v>
      </c>
      <c r="I16" s="2158"/>
      <c r="J16" s="2158"/>
      <c r="K16" s="3498">
        <v>9.3255000000000005E-3</v>
      </c>
      <c r="L16" s="2159"/>
      <c r="N16" s="2231"/>
    </row>
    <row r="17" spans="1:17">
      <c r="A17" s="3505" t="s">
        <v>2073</v>
      </c>
      <c r="B17" s="3424" t="s">
        <v>532</v>
      </c>
      <c r="C17" s="2159"/>
      <c r="D17" s="2159"/>
      <c r="E17" s="2159"/>
      <c r="F17" s="3499"/>
      <c r="G17" s="3499"/>
      <c r="H17" s="3499"/>
      <c r="I17" s="2159"/>
      <c r="J17" s="2159"/>
      <c r="K17" s="2159"/>
      <c r="L17" s="2159"/>
      <c r="N17" s="2231"/>
    </row>
    <row r="18" spans="1:17" ht="12.75" customHeight="1">
      <c r="A18" s="3424" t="s">
        <v>700</v>
      </c>
      <c r="B18" s="3469" t="s">
        <v>533</v>
      </c>
      <c r="C18" s="3498">
        <v>0.17967000000000002</v>
      </c>
      <c r="D18" s="3498">
        <v>8.0149999999999999E-2</v>
      </c>
      <c r="E18" s="2161">
        <v>0</v>
      </c>
      <c r="F18" s="3498">
        <v>9.6540000000000001E-2</v>
      </c>
      <c r="G18" s="3498">
        <v>2.98E-3</v>
      </c>
      <c r="H18" s="3498">
        <v>0.19607999999999998</v>
      </c>
      <c r="I18" s="3498">
        <v>0.12163</v>
      </c>
      <c r="J18" s="2161">
        <v>0</v>
      </c>
      <c r="K18" s="3506">
        <v>7.1129999999999999E-2</v>
      </c>
      <c r="L18" s="3506">
        <v>3.32E-3</v>
      </c>
      <c r="N18" s="2231"/>
      <c r="O18" s="3507"/>
      <c r="P18" s="3507"/>
      <c r="Q18" s="3507"/>
    </row>
    <row r="19" spans="1:17">
      <c r="A19" s="3427"/>
      <c r="B19" s="3508" t="s">
        <v>534</v>
      </c>
      <c r="C19" s="2163">
        <v>6.1700074519486687</v>
      </c>
      <c r="D19" s="2163">
        <v>2.7757004830917871</v>
      </c>
      <c r="E19" s="2161">
        <v>0</v>
      </c>
      <c r="F19" s="2163">
        <v>7.5718309571180322</v>
      </c>
      <c r="G19" s="2163">
        <v>7.8319513431323182</v>
      </c>
      <c r="H19" s="2163">
        <v>6.1704492911687305</v>
      </c>
      <c r="I19" s="2161">
        <v>3.8349125302091478</v>
      </c>
      <c r="J19" s="2161">
        <v>0</v>
      </c>
      <c r="K19" s="2163">
        <v>5.9299353627453675</v>
      </c>
      <c r="L19" s="2163">
        <v>6.5383234714004272</v>
      </c>
      <c r="N19" s="2231"/>
      <c r="O19" s="3509">
        <v>0.19607999999999998</v>
      </c>
      <c r="P19" s="2231"/>
    </row>
    <row r="20" spans="1:17" ht="15" customHeight="1">
      <c r="A20" s="3427" t="s">
        <v>701</v>
      </c>
      <c r="B20" s="3510" t="s">
        <v>535</v>
      </c>
      <c r="C20" s="2164">
        <v>0</v>
      </c>
      <c r="D20" s="3511"/>
      <c r="E20" s="3512"/>
      <c r="F20" s="2169"/>
      <c r="G20" s="2164"/>
      <c r="H20" s="2164">
        <v>0</v>
      </c>
      <c r="I20" s="3511"/>
      <c r="J20" s="3512"/>
      <c r="K20" s="2169"/>
      <c r="L20" s="2164">
        <v>0</v>
      </c>
      <c r="O20" s="3509">
        <v>0.22244085239699402</v>
      </c>
      <c r="P20" s="2231"/>
    </row>
    <row r="21" spans="1:17" ht="13.5" customHeight="1">
      <c r="A21" s="3442"/>
      <c r="B21" s="3513" t="s">
        <v>536</v>
      </c>
      <c r="C21" s="2167"/>
      <c r="D21" s="3514"/>
      <c r="E21" s="3515"/>
      <c r="F21" s="3516"/>
      <c r="G21" s="2167"/>
      <c r="H21" s="2167"/>
      <c r="I21" s="3514"/>
      <c r="J21" s="3515"/>
      <c r="K21" s="3516"/>
      <c r="L21" s="2167"/>
      <c r="O21" s="3517">
        <v>2.6360852396994039E-2</v>
      </c>
    </row>
    <row r="22" spans="1:17">
      <c r="A22" s="3427" t="s">
        <v>702</v>
      </c>
      <c r="B22" s="3437" t="s">
        <v>537</v>
      </c>
      <c r="C22" s="3518">
        <v>2.7323200000000001</v>
      </c>
      <c r="D22" s="3519">
        <v>1.5602100000000001</v>
      </c>
      <c r="E22" s="2164">
        <v>0</v>
      </c>
      <c r="F22" s="3520">
        <v>1.1356299999999999</v>
      </c>
      <c r="G22" s="3521">
        <v>3.6479999999999999E-2</v>
      </c>
      <c r="H22" s="3518">
        <v>2.9816464628142003</v>
      </c>
      <c r="I22" s="3519">
        <v>1.8525299999999998</v>
      </c>
      <c r="J22" s="3522">
        <v>0</v>
      </c>
      <c r="K22" s="3520">
        <v>1.0817364628142006</v>
      </c>
      <c r="L22" s="3520">
        <v>4.7379999999999999E-2</v>
      </c>
      <c r="N22" s="2231"/>
      <c r="O22" s="2231">
        <v>-3.5548745695999973E-2</v>
      </c>
    </row>
    <row r="23" spans="1:17">
      <c r="A23" s="3442"/>
      <c r="B23" s="3513" t="s">
        <v>538</v>
      </c>
      <c r="C23" s="2167"/>
      <c r="D23" s="3478"/>
      <c r="E23" s="3478"/>
      <c r="F23" s="2167"/>
      <c r="G23" s="3523"/>
      <c r="H23" s="2167"/>
      <c r="I23" s="3478"/>
      <c r="J23" s="3478"/>
      <c r="K23" s="2167"/>
      <c r="L23" s="3524"/>
      <c r="N23" s="2231"/>
      <c r="O23" s="2231"/>
    </row>
    <row r="24" spans="1:17" ht="52.8">
      <c r="A24" s="3525" t="s">
        <v>703</v>
      </c>
      <c r="B24" s="3469" t="s">
        <v>545</v>
      </c>
      <c r="C24" s="2162">
        <v>0</v>
      </c>
      <c r="D24" s="2162">
        <v>0</v>
      </c>
      <c r="E24" s="2162">
        <v>0</v>
      </c>
      <c r="F24" s="2162">
        <v>0</v>
      </c>
      <c r="G24" s="2162">
        <v>0</v>
      </c>
      <c r="H24" s="2162">
        <v>0</v>
      </c>
      <c r="I24" s="2162">
        <v>0</v>
      </c>
      <c r="J24" s="2162">
        <v>0</v>
      </c>
      <c r="K24" s="2162">
        <v>0</v>
      </c>
      <c r="L24" s="2162">
        <v>0</v>
      </c>
      <c r="N24" s="2231"/>
    </row>
    <row r="25" spans="1:17">
      <c r="A25" s="3432" t="s">
        <v>704</v>
      </c>
      <c r="B25" s="3427" t="s">
        <v>539</v>
      </c>
      <c r="C25" s="2169"/>
      <c r="D25" s="2165"/>
      <c r="E25" s="2169"/>
      <c r="F25" s="2165"/>
      <c r="G25" s="2165"/>
      <c r="H25" s="2169"/>
      <c r="I25" s="2165"/>
      <c r="J25" s="2169"/>
      <c r="K25" s="3526"/>
      <c r="L25" s="2165"/>
      <c r="N25" s="2231"/>
    </row>
    <row r="26" spans="1:17">
      <c r="A26" s="3447"/>
      <c r="B26" s="3442" t="s">
        <v>540</v>
      </c>
      <c r="C26" s="3516"/>
      <c r="D26" s="3480"/>
      <c r="E26" s="3516"/>
      <c r="F26" s="3480"/>
      <c r="G26" s="3480"/>
      <c r="H26" s="3516"/>
      <c r="I26" s="3480"/>
      <c r="J26" s="3516"/>
      <c r="K26" s="3527"/>
      <c r="L26" s="3480"/>
      <c r="N26" s="2231"/>
    </row>
    <row r="27" spans="1:17">
      <c r="A27" s="3438"/>
      <c r="B27" s="3426" t="s">
        <v>541</v>
      </c>
      <c r="C27" s="2170"/>
      <c r="D27" s="2167"/>
      <c r="E27" s="2170"/>
      <c r="F27" s="2167"/>
      <c r="G27" s="2167"/>
      <c r="H27" s="2170"/>
      <c r="I27" s="2167"/>
      <c r="J27" s="2170"/>
      <c r="K27" s="3528"/>
      <c r="L27" s="2167"/>
      <c r="N27" s="2231"/>
    </row>
    <row r="28" spans="1:17">
      <c r="A28" s="3424" t="s">
        <v>705</v>
      </c>
      <c r="B28" s="3424" t="s">
        <v>542</v>
      </c>
      <c r="C28" s="2157">
        <v>2.7323200000000001</v>
      </c>
      <c r="D28" s="2157">
        <v>1.5602100000000001</v>
      </c>
      <c r="E28" s="3500">
        <v>0</v>
      </c>
      <c r="F28" s="2157">
        <v>1.1356299999999999</v>
      </c>
      <c r="G28" s="2157">
        <v>3.6479999999999999E-2</v>
      </c>
      <c r="H28" s="3502">
        <v>2.9816464628142003</v>
      </c>
      <c r="I28" s="3502">
        <v>1.8525299999999998</v>
      </c>
      <c r="J28" s="3500">
        <v>0</v>
      </c>
      <c r="K28" s="3502">
        <v>1.0817364628142006</v>
      </c>
      <c r="L28" s="3502">
        <v>4.7379999999999999E-2</v>
      </c>
      <c r="N28" s="2231"/>
      <c r="O28" s="2231"/>
      <c r="P28" s="2231"/>
      <c r="Q28" s="2231"/>
    </row>
    <row r="29" spans="1:17" ht="0.6" customHeight="1">
      <c r="A29" s="2153"/>
      <c r="B29" s="2153"/>
      <c r="C29" s="2153"/>
      <c r="D29" s="2153"/>
      <c r="E29" s="2153"/>
      <c r="F29" s="2153"/>
      <c r="G29" s="2153"/>
      <c r="H29" s="2153"/>
      <c r="I29" s="2153"/>
      <c r="J29" s="2153"/>
      <c r="K29" s="2153"/>
      <c r="L29" s="2153"/>
    </row>
    <row r="30" spans="1:17" s="2171" customFormat="1" ht="22.8" hidden="1" customHeight="1">
      <c r="A30" s="3404" t="s">
        <v>1266</v>
      </c>
      <c r="B30" s="3404"/>
      <c r="C30" s="3405"/>
      <c r="H30" s="2231"/>
    </row>
    <row r="31" spans="1:17" s="2171" customFormat="1" ht="15" hidden="1" customHeight="1">
      <c r="A31" s="3404" t="s">
        <v>1304</v>
      </c>
      <c r="B31" s="3407"/>
      <c r="C31" s="3405"/>
      <c r="E31" s="3466"/>
      <c r="F31" s="3466"/>
      <c r="H31" s="3466" t="s">
        <v>2876</v>
      </c>
    </row>
    <row r="32" spans="1:17" s="2006" customFormat="1" ht="15.6">
      <c r="A32" s="3486"/>
      <c r="B32" s="3486"/>
      <c r="C32" s="2009"/>
      <c r="D32" s="3507"/>
      <c r="E32" s="2009"/>
      <c r="F32" s="2009"/>
      <c r="G32" s="2009"/>
      <c r="H32" s="3529"/>
      <c r="I32" s="2009"/>
      <c r="J32" s="2009"/>
      <c r="K32" s="2009"/>
      <c r="L32" s="2009"/>
    </row>
    <row r="33" spans="1:1">
      <c r="A33" s="3410"/>
    </row>
    <row r="34" spans="1:1">
      <c r="A34" s="3410"/>
    </row>
  </sheetData>
  <mergeCells count="2">
    <mergeCell ref="C5:G5"/>
    <mergeCell ref="H5:L5"/>
  </mergeCells>
  <phoneticPr fontId="0" type="noConversion"/>
  <printOptions horizontalCentered="1"/>
  <pageMargins left="0.74803149606299213" right="0.74803149606299213" top="0.98425196850393704" bottom="0.11811023622047245" header="0.51181102362204722" footer="3.937007874015748E-2"/>
  <pageSetup paperSize="9" scale="92" orientation="landscape" r:id="rId1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7">
    <tabColor rgb="FF92D050"/>
  </sheetPr>
  <dimension ref="A1:S69"/>
  <sheetViews>
    <sheetView topLeftCell="A19" workbookViewId="0">
      <selection activeCell="K8" sqref="K8"/>
    </sheetView>
  </sheetViews>
  <sheetFormatPr defaultColWidth="9.109375" defaultRowHeight="15.6"/>
  <cols>
    <col min="1" max="1" width="6" style="26" customWidth="1"/>
    <col min="2" max="2" width="42.6640625" style="26" customWidth="1"/>
    <col min="3" max="3" width="7.6640625" style="26" customWidth="1"/>
    <col min="4" max="4" width="11.109375" style="26" customWidth="1"/>
    <col min="5" max="5" width="12.44140625" style="26" customWidth="1"/>
    <col min="6" max="6" width="12.88671875" style="26" customWidth="1"/>
    <col min="7" max="7" width="12.44140625" style="26" customWidth="1"/>
    <col min="8" max="8" width="11" style="26" customWidth="1"/>
    <col min="9" max="9" width="13.109375" style="26" customWidth="1"/>
    <col min="10" max="10" width="10.44140625" style="26" customWidth="1"/>
    <col min="11" max="11" width="12" style="26" customWidth="1"/>
    <col min="12" max="13" width="11.5546875" style="172" customWidth="1"/>
    <col min="14" max="14" width="12.5546875" style="172" bestFit="1" customWidth="1"/>
    <col min="15" max="15" width="9.109375" style="26"/>
    <col min="16" max="16" width="10.44140625" style="26" customWidth="1"/>
    <col min="17" max="18" width="9.109375" style="26"/>
    <col min="19" max="19" width="11.6640625" style="26" customWidth="1"/>
    <col min="20" max="16384" width="9.109375" style="26"/>
  </cols>
  <sheetData>
    <row r="1" spans="1:14">
      <c r="A1" s="109" t="s">
        <v>1852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321"/>
      <c r="M1" s="321"/>
      <c r="N1" s="321"/>
    </row>
    <row r="2" spans="1:14">
      <c r="A2" s="109" t="s">
        <v>1262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321"/>
      <c r="M2" s="321"/>
      <c r="N2" s="321"/>
    </row>
    <row r="3" spans="1:14" ht="16.2" thickBot="1">
      <c r="A3" s="1523" t="s">
        <v>1829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321"/>
      <c r="M3" s="321"/>
      <c r="N3" s="321"/>
    </row>
    <row r="4" spans="1:14" ht="16.2" hidden="1" thickBot="1">
      <c r="B4" s="322" t="s">
        <v>893</v>
      </c>
      <c r="C4" s="322"/>
      <c r="D4" s="172"/>
      <c r="E4" s="172"/>
      <c r="F4" s="172"/>
      <c r="G4" s="172"/>
      <c r="H4" s="172"/>
      <c r="I4" s="172"/>
    </row>
    <row r="5" spans="1:14" ht="16.2" hidden="1" thickBot="1">
      <c r="B5" s="172"/>
      <c r="C5" s="172"/>
      <c r="D5" s="172"/>
      <c r="E5" s="172"/>
      <c r="H5" s="172"/>
      <c r="I5" s="172"/>
    </row>
    <row r="6" spans="1:14" ht="27.75" hidden="1" customHeight="1">
      <c r="B6" s="4202" t="s">
        <v>836</v>
      </c>
      <c r="C6" s="679"/>
      <c r="D6" s="4397" t="s">
        <v>837</v>
      </c>
      <c r="E6" s="4397" t="s">
        <v>898</v>
      </c>
      <c r="F6" s="4399" t="s">
        <v>839</v>
      </c>
    </row>
    <row r="7" spans="1:14" ht="48" hidden="1" customHeight="1">
      <c r="B7" s="4203"/>
      <c r="C7" s="680"/>
      <c r="D7" s="4398"/>
      <c r="E7" s="4398"/>
      <c r="F7" s="4399"/>
    </row>
    <row r="8" spans="1:14" ht="18.600000000000001" hidden="1" thickBot="1">
      <c r="B8" s="4203"/>
      <c r="C8" s="680"/>
      <c r="D8" s="323" t="s">
        <v>899</v>
      </c>
      <c r="E8" s="323" t="s">
        <v>900</v>
      </c>
      <c r="F8" s="81"/>
    </row>
    <row r="9" spans="1:14" ht="31.8" hidden="1" thickBot="1">
      <c r="B9" s="4204"/>
      <c r="C9" s="681"/>
      <c r="D9" s="81" t="s">
        <v>291</v>
      </c>
      <c r="E9" s="81" t="s">
        <v>251</v>
      </c>
      <c r="F9" s="81" t="s">
        <v>251</v>
      </c>
      <c r="G9" s="322" t="s">
        <v>835</v>
      </c>
    </row>
    <row r="10" spans="1:14" ht="16.2" hidden="1" thickBot="1">
      <c r="B10" s="81" t="s">
        <v>697</v>
      </c>
      <c r="C10" s="81"/>
      <c r="D10" s="324">
        <v>300621.82</v>
      </c>
      <c r="E10" s="324">
        <v>176.8</v>
      </c>
      <c r="F10" s="325">
        <v>592.41</v>
      </c>
      <c r="G10" s="326">
        <f>(D10*12/(F10-E10))</f>
        <v>8679.9206948822211</v>
      </c>
    </row>
    <row r="11" spans="1:14" ht="16.2" hidden="1" thickBot="1">
      <c r="B11" s="81" t="s">
        <v>676</v>
      </c>
      <c r="C11" s="81"/>
      <c r="D11" s="324">
        <v>490793.23</v>
      </c>
      <c r="E11" s="324">
        <v>180</v>
      </c>
      <c r="F11" s="325">
        <v>969.48</v>
      </c>
      <c r="G11" s="326">
        <f>(D11*12/(F11-E11))</f>
        <v>7459.9974160206712</v>
      </c>
      <c r="H11" s="327"/>
      <c r="I11" s="328"/>
      <c r="L11" s="329"/>
    </row>
    <row r="12" spans="1:14" ht="16.2" hidden="1" thickBot="1">
      <c r="B12" s="330" t="s">
        <v>847</v>
      </c>
      <c r="C12" s="330"/>
      <c r="D12" s="324">
        <v>680321</v>
      </c>
      <c r="E12" s="324">
        <v>210</v>
      </c>
      <c r="F12" s="325">
        <v>1441.35</v>
      </c>
      <c r="G12" s="326">
        <f>(D12*12/(F12-E12))</f>
        <v>6630.0012181751745</v>
      </c>
      <c r="H12" s="99" t="s">
        <v>901</v>
      </c>
    </row>
    <row r="13" spans="1:14" ht="16.2" hidden="1" thickBot="1">
      <c r="B13" s="81" t="s">
        <v>681</v>
      </c>
      <c r="C13" s="81"/>
      <c r="D13" s="324">
        <v>851305.82</v>
      </c>
      <c r="E13" s="324">
        <v>432</v>
      </c>
      <c r="F13" s="325">
        <v>2296.17</v>
      </c>
      <c r="G13" s="326">
        <f>(D13*12/(F13-E13))</f>
        <v>5480.0097845153605</v>
      </c>
      <c r="H13" s="331">
        <f>(365-53)*16</f>
        <v>4992</v>
      </c>
      <c r="I13" s="26" t="s">
        <v>892</v>
      </c>
      <c r="L13" s="172" t="s">
        <v>892</v>
      </c>
    </row>
    <row r="14" spans="1:14" ht="16.2" hidden="1" thickBot="1">
      <c r="B14" s="85"/>
      <c r="C14" s="85"/>
      <c r="D14" s="332"/>
      <c r="E14" s="332"/>
      <c r="F14" s="333"/>
      <c r="G14" s="326"/>
      <c r="H14" s="331"/>
    </row>
    <row r="15" spans="1:14" ht="16.2" thickBot="1">
      <c r="A15" s="4400"/>
      <c r="B15" s="4403" t="s">
        <v>902</v>
      </c>
      <c r="C15" s="683"/>
      <c r="D15" s="4406" t="s">
        <v>903</v>
      </c>
      <c r="E15" s="4407"/>
      <c r="F15" s="334" t="s">
        <v>904</v>
      </c>
      <c r="G15" s="335"/>
      <c r="H15" s="336"/>
      <c r="I15" s="337" t="s">
        <v>1851</v>
      </c>
      <c r="J15" s="338"/>
      <c r="K15" s="338"/>
      <c r="L15" s="339"/>
      <c r="M15" s="340"/>
      <c r="N15" s="341"/>
    </row>
    <row r="16" spans="1:14" ht="27.6">
      <c r="A16" s="4401"/>
      <c r="B16" s="4404"/>
      <c r="C16" s="711"/>
      <c r="D16" s="4408"/>
      <c r="E16" s="4409"/>
      <c r="F16" s="342" t="s">
        <v>906</v>
      </c>
      <c r="G16" s="343"/>
      <c r="H16" s="344" t="s">
        <v>907</v>
      </c>
      <c r="I16" s="345" t="s">
        <v>1836</v>
      </c>
      <c r="J16" s="346"/>
      <c r="K16" s="347"/>
      <c r="L16" s="756" t="s">
        <v>959</v>
      </c>
      <c r="M16" s="348"/>
      <c r="N16" s="1448"/>
    </row>
    <row r="17" spans="1:19" s="357" customFormat="1" ht="80.25" customHeight="1">
      <c r="A17" s="4402"/>
      <c r="B17" s="4405"/>
      <c r="C17" s="682"/>
      <c r="D17" s="174" t="s">
        <v>909</v>
      </c>
      <c r="E17" s="349" t="s">
        <v>910</v>
      </c>
      <c r="F17" s="350" t="s">
        <v>911</v>
      </c>
      <c r="G17" s="17" t="s">
        <v>912</v>
      </c>
      <c r="H17" s="351" t="s">
        <v>913</v>
      </c>
      <c r="I17" s="352" t="s">
        <v>914</v>
      </c>
      <c r="J17" s="174" t="s">
        <v>915</v>
      </c>
      <c r="K17" s="353" t="s">
        <v>419</v>
      </c>
      <c r="L17" s="354" t="s">
        <v>1260</v>
      </c>
      <c r="M17" s="355" t="s">
        <v>915</v>
      </c>
      <c r="N17" s="356" t="s">
        <v>419</v>
      </c>
    </row>
    <row r="18" spans="1:19" s="369" customFormat="1" ht="28.5" customHeight="1">
      <c r="A18" s="358">
        <v>1</v>
      </c>
      <c r="B18" s="359">
        <v>2</v>
      </c>
      <c r="C18" s="359"/>
      <c r="D18" s="360">
        <v>3</v>
      </c>
      <c r="E18" s="361">
        <v>4</v>
      </c>
      <c r="F18" s="362">
        <v>5</v>
      </c>
      <c r="G18" s="360">
        <v>6</v>
      </c>
      <c r="H18" s="363">
        <v>7</v>
      </c>
      <c r="I18" s="364" t="s">
        <v>916</v>
      </c>
      <c r="J18" s="365" t="s">
        <v>917</v>
      </c>
      <c r="K18" s="366" t="s">
        <v>918</v>
      </c>
      <c r="L18" s="362">
        <v>11</v>
      </c>
      <c r="M18" s="360">
        <v>12</v>
      </c>
      <c r="N18" s="363">
        <v>13</v>
      </c>
      <c r="O18" s="367" t="s">
        <v>919</v>
      </c>
      <c r="P18" s="368"/>
      <c r="Q18" s="1611"/>
      <c r="R18" s="1612"/>
      <c r="S18" s="587"/>
    </row>
    <row r="19" spans="1:19" ht="27.6">
      <c r="A19" s="370" t="s">
        <v>920</v>
      </c>
      <c r="B19" s="300" t="s">
        <v>921</v>
      </c>
      <c r="C19" s="300"/>
      <c r="D19" s="371"/>
      <c r="E19" s="372"/>
      <c r="F19" s="373"/>
      <c r="G19" s="371"/>
      <c r="H19" s="1598"/>
      <c r="I19" s="1599">
        <f>'2012'!I19/2</f>
        <v>1372.4</v>
      </c>
      <c r="J19" s="1600">
        <f>E42*E43/1000</f>
        <v>1125.9355025565005</v>
      </c>
      <c r="K19" s="1601">
        <f>ROUND((I19+J19),1)</f>
        <v>2498.3000000000002</v>
      </c>
      <c r="L19" s="1544" t="s">
        <v>1873</v>
      </c>
      <c r="M19" s="1545"/>
      <c r="N19" s="380">
        <f>N23-N31+N36</f>
        <v>2446.8263114449855</v>
      </c>
      <c r="O19" s="367">
        <f>$E$42*$E$43/1000</f>
        <v>1125.9355025565005</v>
      </c>
      <c r="Q19" s="1611"/>
      <c r="R19" s="587"/>
      <c r="S19" s="1613"/>
    </row>
    <row r="20" spans="1:19" ht="43.5" customHeight="1" thickBot="1">
      <c r="A20" s="381"/>
      <c r="B20" s="371" t="s">
        <v>922</v>
      </c>
      <c r="C20" s="371"/>
      <c r="D20" s="371"/>
      <c r="E20" s="372"/>
      <c r="F20" s="382"/>
      <c r="G20" s="383"/>
      <c r="H20" s="384"/>
      <c r="I20" s="729">
        <f>I23+I36-I31</f>
        <v>2362.6166695999991</v>
      </c>
      <c r="J20" s="385">
        <f>ROUND((J23+J36-J31),1)</f>
        <v>1584</v>
      </c>
      <c r="K20" s="377">
        <f>ROUND((I20+J20),1)</f>
        <v>3946.6</v>
      </c>
      <c r="L20" s="1544" t="s">
        <v>1839</v>
      </c>
      <c r="M20" s="1545"/>
      <c r="N20" s="1593">
        <f>N23-K31+N36</f>
        <v>2531.638184281981</v>
      </c>
      <c r="P20" s="1594">
        <f>N20-J20</f>
        <v>947.63818428198101</v>
      </c>
      <c r="Q20" s="367">
        <f>'1п-е 2012'!P20+'2п-е 2012'!P20</f>
        <v>1899.2355834599982</v>
      </c>
    </row>
    <row r="21" spans="1:19" ht="1.5" hidden="1" customHeight="1">
      <c r="A21" s="388"/>
      <c r="B21" s="389" t="s">
        <v>923</v>
      </c>
      <c r="C21" s="389"/>
      <c r="D21" s="389"/>
      <c r="E21" s="390"/>
      <c r="F21" s="391"/>
      <c r="G21" s="392"/>
      <c r="H21" s="393"/>
      <c r="I21" s="394">
        <f>K19-K20</f>
        <v>-1448.2999999999997</v>
      </c>
      <c r="J21" s="395"/>
      <c r="K21" s="396"/>
      <c r="L21" s="397"/>
      <c r="M21" s="398"/>
      <c r="N21" s="399"/>
    </row>
    <row r="22" spans="1:19" ht="15.75" customHeight="1">
      <c r="A22" s="4385" t="s">
        <v>924</v>
      </c>
      <c r="B22" s="4387" t="s">
        <v>1799</v>
      </c>
      <c r="C22" s="4388"/>
      <c r="D22" s="4389"/>
      <c r="E22" s="4389"/>
      <c r="F22" s="400"/>
      <c r="G22" s="401"/>
      <c r="H22" s="402"/>
      <c r="I22" s="403" t="s">
        <v>925</v>
      </c>
      <c r="J22" s="404"/>
      <c r="K22" s="405"/>
      <c r="L22" s="406" t="s">
        <v>926</v>
      </c>
      <c r="M22" s="404"/>
      <c r="N22" s="407"/>
    </row>
    <row r="23" spans="1:19" ht="24" customHeight="1">
      <c r="A23" s="4386"/>
      <c r="B23" s="4390"/>
      <c r="C23" s="4391"/>
      <c r="D23" s="4391"/>
      <c r="E23" s="4391"/>
      <c r="F23" s="408"/>
      <c r="G23" s="409"/>
      <c r="H23" s="410"/>
      <c r="I23" s="411">
        <f>SUM(I25:I29)</f>
        <v>6167.1556763999997</v>
      </c>
      <c r="J23" s="412">
        <f>SUM(J25:J29)</f>
        <v>1474.7456235</v>
      </c>
      <c r="K23" s="413">
        <f>I23+J23</f>
        <v>7641.9012998999997</v>
      </c>
      <c r="L23" s="386"/>
      <c r="M23" s="298"/>
      <c r="N23" s="413">
        <f>SUM(N25:N29)</f>
        <v>6180.9999999999991</v>
      </c>
      <c r="O23" s="716">
        <f>N23-K23</f>
        <v>-1460.9012999000006</v>
      </c>
      <c r="P23" s="730">
        <f>N19-K20</f>
        <v>-1499.7736885550144</v>
      </c>
    </row>
    <row r="24" spans="1:19" ht="27.75" customHeight="1">
      <c r="A24" s="373"/>
      <c r="B24" s="371" t="s">
        <v>927</v>
      </c>
      <c r="C24" s="712" t="s">
        <v>1250</v>
      </c>
      <c r="D24" s="1575">
        <f>SUM(D25:D29)</f>
        <v>1.3699999999999999</v>
      </c>
      <c r="E24" s="1441">
        <f>SUM(E25:E29)</f>
        <v>4693.4000000000005</v>
      </c>
      <c r="F24" s="373"/>
      <c r="G24" s="371"/>
      <c r="H24" s="374"/>
      <c r="I24" s="411"/>
      <c r="J24" s="412"/>
      <c r="K24" s="413"/>
      <c r="L24" s="386"/>
      <c r="M24" s="298"/>
      <c r="N24" s="413"/>
    </row>
    <row r="25" spans="1:19">
      <c r="A25" s="381"/>
      <c r="B25" s="415" t="s">
        <v>1798</v>
      </c>
      <c r="C25" s="1457">
        <f>E25/D25</f>
        <v>3573.0350877192986</v>
      </c>
      <c r="D25" s="1575">
        <f>'2012'!D25</f>
        <v>0.56999999999999995</v>
      </c>
      <c r="E25" s="1441">
        <f>2036.63</f>
        <v>2036.63</v>
      </c>
      <c r="F25" s="416">
        <f>E64</f>
        <v>397387.35</v>
      </c>
      <c r="G25" s="417">
        <f>F64</f>
        <v>158.29</v>
      </c>
      <c r="H25" s="418">
        <f>G64</f>
        <v>690.41</v>
      </c>
      <c r="I25" s="664">
        <f>D25*F25*6/1000</f>
        <v>1359.0647369999997</v>
      </c>
      <c r="J25" s="664">
        <f>E25*G25/1000</f>
        <v>322.37816269999996</v>
      </c>
      <c r="K25" s="669">
        <f>I25+J25</f>
        <v>1681.4428996999995</v>
      </c>
      <c r="L25" s="1444"/>
      <c r="M25" s="664"/>
      <c r="N25" s="669">
        <f>ROUND((E25*H25/1000),1)</f>
        <v>1406.1</v>
      </c>
      <c r="O25" s="1533">
        <f>'2012г.об.под факт2010'!N23-'2п-е 2012'!N23</f>
        <v>9369.7999999999993</v>
      </c>
    </row>
    <row r="26" spans="1:19">
      <c r="A26" s="381"/>
      <c r="B26" s="415" t="s">
        <v>928</v>
      </c>
      <c r="C26" s="1457">
        <f>E26/D26</f>
        <v>3347.3466666666668</v>
      </c>
      <c r="D26" s="1575">
        <f>'2012'!D26</f>
        <v>0.75</v>
      </c>
      <c r="E26" s="1441">
        <f>2510.51</f>
        <v>2510.5100000000002</v>
      </c>
      <c r="F26" s="416">
        <f t="shared" ref="F26:H27" si="0">E66</f>
        <v>1021368.45</v>
      </c>
      <c r="G26" s="417">
        <f t="shared" si="0"/>
        <v>432.48</v>
      </c>
      <c r="H26" s="418">
        <f t="shared" si="0"/>
        <v>1817.25</v>
      </c>
      <c r="I26" s="664">
        <f>D26*F26*6/1000</f>
        <v>4596.1580249999997</v>
      </c>
      <c r="J26" s="664">
        <f>E26*G26/1000</f>
        <v>1085.7453648000001</v>
      </c>
      <c r="K26" s="669">
        <f>I26+J26</f>
        <v>5681.9033897999998</v>
      </c>
      <c r="L26" s="1444"/>
      <c r="M26" s="664"/>
      <c r="N26" s="669">
        <f>ROUND((E26*H26/1000),1)</f>
        <v>4562.2</v>
      </c>
      <c r="O26" s="1534" t="s">
        <v>1828</v>
      </c>
    </row>
    <row r="27" spans="1:19">
      <c r="A27" s="381"/>
      <c r="B27" s="419" t="s">
        <v>1797</v>
      </c>
      <c r="C27" s="1457">
        <f>E27/D27</f>
        <v>3329.9999999999995</v>
      </c>
      <c r="D27" s="1649">
        <f>'2012'!D27</f>
        <v>0.02</v>
      </c>
      <c r="E27" s="1441">
        <f>66.6</f>
        <v>66.599999999999994</v>
      </c>
      <c r="F27" s="416">
        <f t="shared" si="0"/>
        <v>1766107.62</v>
      </c>
      <c r="G27" s="417">
        <f t="shared" si="0"/>
        <v>495.34</v>
      </c>
      <c r="H27" s="418">
        <f t="shared" si="0"/>
        <v>2688.41</v>
      </c>
      <c r="I27" s="664">
        <f>D27*F27*6/1000</f>
        <v>211.93291440000004</v>
      </c>
      <c r="J27" s="664">
        <f>E27*G27/1000</f>
        <v>32.989643999999991</v>
      </c>
      <c r="K27" s="669">
        <f>I27+J27</f>
        <v>244.92255840000004</v>
      </c>
      <c r="L27" s="1444"/>
      <c r="M27" s="664"/>
      <c r="N27" s="669">
        <f>ROUND((E27*H27/1000),1)</f>
        <v>179</v>
      </c>
    </row>
    <row r="28" spans="1:19" s="485" customFormat="1" ht="28.2">
      <c r="A28" s="381"/>
      <c r="B28" s="419" t="s">
        <v>1796</v>
      </c>
      <c r="C28" s="1457" t="e">
        <f>E28/D28</f>
        <v>#DIV/0!</v>
      </c>
      <c r="D28" s="1575">
        <f>'2012'!D28</f>
        <v>0</v>
      </c>
      <c r="E28" s="1441">
        <f>8.95</f>
        <v>8.9499999999999993</v>
      </c>
      <c r="F28" s="416"/>
      <c r="G28" s="417"/>
      <c r="H28" s="418">
        <f>G68</f>
        <v>422.2</v>
      </c>
      <c r="I28" s="664">
        <f>D28*F28*6/1000</f>
        <v>0</v>
      </c>
      <c r="J28" s="664">
        <f>K28</f>
        <v>3.7786899999999997</v>
      </c>
      <c r="K28" s="669">
        <f>E28*H28/1000</f>
        <v>3.7786899999999997</v>
      </c>
      <c r="L28" s="1444"/>
      <c r="M28" s="664"/>
      <c r="N28" s="669">
        <f>ROUND((E28*H28/1000),1)</f>
        <v>3.8</v>
      </c>
    </row>
    <row r="29" spans="1:19" s="485" customFormat="1" ht="28.8" thickBot="1">
      <c r="A29" s="495"/>
      <c r="B29" s="419" t="s">
        <v>929</v>
      </c>
      <c r="C29" s="734">
        <f>E29/D29</f>
        <v>2357</v>
      </c>
      <c r="D29" s="1648">
        <f>'2012'!D29</f>
        <v>0.03</v>
      </c>
      <c r="E29" s="421">
        <f>70.71</f>
        <v>70.709999999999994</v>
      </c>
      <c r="F29" s="502"/>
      <c r="G29" s="503"/>
      <c r="H29" s="504">
        <f>H28</f>
        <v>422.2</v>
      </c>
      <c r="I29" s="422"/>
      <c r="J29" s="423">
        <f>K29</f>
        <v>29.853761999999996</v>
      </c>
      <c r="K29" s="424">
        <f>H29*E29/1000</f>
        <v>29.853761999999996</v>
      </c>
      <c r="L29" s="422"/>
      <c r="M29" s="1445"/>
      <c r="N29" s="424">
        <f>ROUND((E29*H29/1000),1)</f>
        <v>29.9</v>
      </c>
      <c r="O29" s="26"/>
    </row>
    <row r="30" spans="1:19" ht="16.5" customHeight="1">
      <c r="A30" s="4392" t="s">
        <v>930</v>
      </c>
      <c r="B30" s="4393" t="s">
        <v>1800</v>
      </c>
      <c r="C30" s="1458"/>
      <c r="D30" s="1650" t="s">
        <v>931</v>
      </c>
      <c r="E30" s="456"/>
      <c r="F30" s="458" t="s">
        <v>932</v>
      </c>
      <c r="G30" s="425"/>
      <c r="H30" s="425"/>
      <c r="I30" s="426" t="s">
        <v>925</v>
      </c>
      <c r="J30" s="427"/>
      <c r="K30" s="428"/>
      <c r="L30" s="406" t="s">
        <v>926</v>
      </c>
      <c r="M30" s="427"/>
      <c r="N30" s="428"/>
    </row>
    <row r="31" spans="1:19" ht="27.6">
      <c r="A31" s="4386"/>
      <c r="B31" s="4394"/>
      <c r="C31" s="1459"/>
      <c r="D31" s="1651" t="s">
        <v>909</v>
      </c>
      <c r="E31" s="457" t="s">
        <v>910</v>
      </c>
      <c r="F31" s="459" t="s">
        <v>933</v>
      </c>
      <c r="G31" s="429" t="s">
        <v>251</v>
      </c>
      <c r="H31" s="506" t="s">
        <v>1118</v>
      </c>
      <c r="I31" s="1608">
        <f>SUM(I32:I35)</f>
        <v>5118.1189702000001</v>
      </c>
      <c r="J31" s="1609">
        <f>SUM(J32:J35)</f>
        <v>565.64941542000008</v>
      </c>
      <c r="K31" s="1456">
        <f>SUM(K32:K35)</f>
        <v>5683.768385620001</v>
      </c>
      <c r="L31" s="722">
        <f>SUM(L35:L35)</f>
        <v>0</v>
      </c>
      <c r="M31" s="573">
        <f>SUM(M35:M35)</f>
        <v>0</v>
      </c>
      <c r="N31" s="735">
        <f>SUM(N32:N35)</f>
        <v>5768.5802584569965</v>
      </c>
    </row>
    <row r="32" spans="1:19" ht="22.5" customHeight="1">
      <c r="A32" s="430">
        <v>1</v>
      </c>
      <c r="B32" s="371" t="s">
        <v>1844</v>
      </c>
      <c r="C32" s="733">
        <f>E32/D32</f>
        <v>3718.4857142857136</v>
      </c>
      <c r="D32" s="1575">
        <f>'2012'!D32</f>
        <v>7.0000000000000007E-2</v>
      </c>
      <c r="E32" s="1441">
        <f>'[12]П1.30 - 2012г.2полугод '!$C$28</f>
        <v>260.29399999999998</v>
      </c>
      <c r="F32" s="1574">
        <v>397902.31</v>
      </c>
      <c r="G32" s="1575">
        <v>93.93</v>
      </c>
      <c r="H32" s="1576">
        <v>758.64685454135008</v>
      </c>
      <c r="I32" s="386">
        <f>$D32*$F32*6/1000</f>
        <v>167.11897020000004</v>
      </c>
      <c r="J32" s="298">
        <f>$E32*$G32/1000</f>
        <v>24.449415420000001</v>
      </c>
      <c r="K32" s="387">
        <f>I32+J32</f>
        <v>191.56838562000004</v>
      </c>
      <c r="L32" s="573"/>
      <c r="M32" s="573"/>
      <c r="N32" s="710">
        <f>E32*H32/1000</f>
        <v>197.47122435598618</v>
      </c>
    </row>
    <row r="33" spans="1:15" ht="22.5" customHeight="1">
      <c r="A33" s="1539">
        <v>2</v>
      </c>
      <c r="B33" s="1540" t="s">
        <v>1847</v>
      </c>
      <c r="C33" s="1541">
        <f>E33/D33</f>
        <v>2913.2142857142853</v>
      </c>
      <c r="D33" s="1575">
        <f>'2012'!D33</f>
        <v>7.0000000000000007E-2</v>
      </c>
      <c r="E33" s="1440">
        <f>'[12]П1.30 - 2012г.2полугод '!$C$14</f>
        <v>203.92499999999998</v>
      </c>
      <c r="F33" s="1574">
        <v>139799.97</v>
      </c>
      <c r="G33" s="1575">
        <v>95.89</v>
      </c>
      <c r="H33" s="1577">
        <v>331.81098137210358</v>
      </c>
      <c r="I33" s="664">
        <f>ROUND(($D$33*$F$33*6/1000),1)</f>
        <v>58.7</v>
      </c>
      <c r="J33" s="664">
        <f>ROUND(($E$33*$G$33/1000),1)</f>
        <v>19.600000000000001</v>
      </c>
      <c r="K33" s="669">
        <f>I33+J33</f>
        <v>78.300000000000011</v>
      </c>
      <c r="L33" s="573"/>
      <c r="M33" s="573"/>
      <c r="N33" s="710">
        <f>E33*H33/1000</f>
        <v>67.664554376306214</v>
      </c>
    </row>
    <row r="34" spans="1:15" ht="22.5" customHeight="1">
      <c r="A34" s="1578">
        <v>3</v>
      </c>
      <c r="B34" s="454" t="s">
        <v>1848</v>
      </c>
      <c r="C34" s="1541">
        <f>E34/D34</f>
        <v>3888.3663969128174</v>
      </c>
      <c r="D34" s="1647">
        <f>'2012'!D34</f>
        <v>2.87</v>
      </c>
      <c r="E34" s="1643">
        <f>$E$24+$E$38+$E$39+$E$32+$E$35+$E$42-$E$33</f>
        <v>11159.611559139787</v>
      </c>
      <c r="F34" s="1574">
        <v>283891.76</v>
      </c>
      <c r="G34" s="1575">
        <v>46.69</v>
      </c>
      <c r="H34" s="1577">
        <v>492.77467676721807</v>
      </c>
      <c r="I34" s="664">
        <f>ROUND(($D$34*$F$34*6/1000),1)</f>
        <v>4888.6000000000004</v>
      </c>
      <c r="J34" s="664">
        <f>ROUND(($E$34*$G$34/1000),1)</f>
        <v>521</v>
      </c>
      <c r="K34" s="669">
        <f>I34+J34</f>
        <v>5409.6</v>
      </c>
      <c r="L34" s="573"/>
      <c r="M34" s="573"/>
      <c r="N34" s="710">
        <f>E34*H34/1000</f>
        <v>5499.1739789028188</v>
      </c>
    </row>
    <row r="35" spans="1:15" ht="22.5" customHeight="1" thickBot="1">
      <c r="A35" s="430">
        <v>4</v>
      </c>
      <c r="B35" s="371" t="s">
        <v>1845</v>
      </c>
      <c r="C35" s="733">
        <f>E35/D35</f>
        <v>4326.6111111111113</v>
      </c>
      <c r="D35" s="1575">
        <f>'2012'!D35</f>
        <v>0.09</v>
      </c>
      <c r="E35" s="1440">
        <f>'[12]П1.30 - 2012г.2полугод '!$C$24</f>
        <v>389.39500000000004</v>
      </c>
      <c r="F35" s="1574">
        <v>6820.2</v>
      </c>
      <c r="G35" s="1575">
        <v>1.61</v>
      </c>
      <c r="H35" s="1577">
        <v>10.967015040986782</v>
      </c>
      <c r="I35" s="664">
        <f>ROUND(($D$35*$F$35*6/1000),1)</f>
        <v>3.7</v>
      </c>
      <c r="J35" s="664">
        <f>ROUND(($E$35*$G$35/1000),1)</f>
        <v>0.6</v>
      </c>
      <c r="K35" s="669">
        <f>I35+J35</f>
        <v>4.3</v>
      </c>
      <c r="L35" s="573"/>
      <c r="M35" s="573"/>
      <c r="N35" s="710">
        <f>E35*H35/1000</f>
        <v>4.2705008218850482</v>
      </c>
    </row>
    <row r="36" spans="1:15" ht="46.8">
      <c r="A36" s="1579" t="s">
        <v>935</v>
      </c>
      <c r="B36" s="1580" t="s">
        <v>1801</v>
      </c>
      <c r="C36" s="1581"/>
      <c r="D36" s="1646"/>
      <c r="E36" s="1583"/>
      <c r="F36" s="1584" t="s">
        <v>933</v>
      </c>
      <c r="G36" s="1585" t="s">
        <v>251</v>
      </c>
      <c r="H36" s="1586" t="s">
        <v>251</v>
      </c>
      <c r="I36" s="1587">
        <f>SUM(I37:I39)</f>
        <v>1313.5799634</v>
      </c>
      <c r="J36" s="1588">
        <f>SUM(J37:J39)</f>
        <v>674.92</v>
      </c>
      <c r="K36" s="1589">
        <f>SUM(K37:K39)</f>
        <v>1988.4999634000001</v>
      </c>
      <c r="L36" s="1590">
        <f>SUM(L38:L39)</f>
        <v>0</v>
      </c>
      <c r="M36" s="1591">
        <f>SUM(M38:M39)</f>
        <v>0</v>
      </c>
      <c r="N36" s="1589">
        <f>SUM(N37:N39)</f>
        <v>2034.4065699019827</v>
      </c>
    </row>
    <row r="37" spans="1:15" hidden="1">
      <c r="A37" s="430">
        <v>1</v>
      </c>
      <c r="B37" s="371" t="s">
        <v>1834</v>
      </c>
      <c r="C37" s="733">
        <f>E37/D37</f>
        <v>3901.9620836153103</v>
      </c>
      <c r="D37" s="1642">
        <f>$D$24+$D$38+$D$39+$D$32+$D$35+$G$42-$D$33</f>
        <v>2.86</v>
      </c>
      <c r="E37" s="1462">
        <f>$E$24+$E$38+$E$39+$E$32+$E$35+$E$42-$E$33</f>
        <v>11159.611559139787</v>
      </c>
      <c r="F37" s="723"/>
      <c r="G37" s="724"/>
      <c r="H37" s="1592">
        <v>0</v>
      </c>
      <c r="I37" s="1564">
        <f>$D$37*$F$37*12/1000</f>
        <v>0</v>
      </c>
      <c r="J37" s="1565">
        <f>$E$37*$G$37/1000</f>
        <v>0</v>
      </c>
      <c r="K37" s="1566">
        <f>I37+J37</f>
        <v>0</v>
      </c>
      <c r="L37" s="1567"/>
      <c r="M37" s="1565"/>
      <c r="N37" s="1566">
        <f>E37*H37/1000</f>
        <v>0</v>
      </c>
    </row>
    <row r="38" spans="1:15" ht="16.2">
      <c r="A38" s="430">
        <v>1</v>
      </c>
      <c r="B38" s="371" t="s">
        <v>1846</v>
      </c>
      <c r="C38" s="733">
        <f>E38/D38</f>
        <v>4495.4128440366967</v>
      </c>
      <c r="D38" s="1647">
        <f>'2012'!D38</f>
        <v>1.0900000000000001</v>
      </c>
      <c r="E38" s="1542">
        <f>'[12]П1.30 - 2012г.2полугод '!$C$22</f>
        <v>4900</v>
      </c>
      <c r="F38" s="416">
        <v>181738.41</v>
      </c>
      <c r="G38" s="417">
        <v>125.28</v>
      </c>
      <c r="H38" s="1573">
        <v>377.63014891719746</v>
      </c>
      <c r="I38" s="1564">
        <f>$D38*$F38*6/1000</f>
        <v>1188.5692014000001</v>
      </c>
      <c r="J38" s="1565">
        <f>$E38*$G38/1000</f>
        <v>613.87199999999996</v>
      </c>
      <c r="K38" s="1566">
        <f>I38+J38</f>
        <v>1802.4412014</v>
      </c>
      <c r="L38" s="1567"/>
      <c r="M38" s="1565"/>
      <c r="N38" s="1566">
        <f>E38*H38/1000</f>
        <v>1850.3877296942676</v>
      </c>
    </row>
    <row r="39" spans="1:15" ht="32.25" customHeight="1" thickBot="1">
      <c r="A39" s="431">
        <v>2</v>
      </c>
      <c r="B39" s="1543" t="s">
        <v>1843</v>
      </c>
      <c r="C39" s="734">
        <f>E39/D39</f>
        <v>3250</v>
      </c>
      <c r="D39" s="1648">
        <f>'2012'!D39</f>
        <v>0.1</v>
      </c>
      <c r="E39" s="714">
        <f>'[12]П1.30 - 2012г.2полугод '!$C$26</f>
        <v>325</v>
      </c>
      <c r="F39" s="502">
        <v>208351.27</v>
      </c>
      <c r="G39" s="503">
        <v>187.84</v>
      </c>
      <c r="H39" s="1572">
        <v>566.21181602373883</v>
      </c>
      <c r="I39" s="1568">
        <f>$D$39*$F$39*6/1000</f>
        <v>125.010762</v>
      </c>
      <c r="J39" s="1569">
        <f>$E$39*$G$39/1000</f>
        <v>61.048000000000002</v>
      </c>
      <c r="K39" s="1570">
        <f>I39+J39</f>
        <v>186.058762</v>
      </c>
      <c r="L39" s="731"/>
      <c r="M39" s="732"/>
      <c r="N39" s="1571">
        <f>E39*H39/1000</f>
        <v>184.0188402077151</v>
      </c>
    </row>
    <row r="40" spans="1:15" hidden="1">
      <c r="F40" s="172"/>
      <c r="G40" s="172"/>
      <c r="H40" s="172"/>
      <c r="L40" s="26"/>
      <c r="M40" s="26"/>
      <c r="N40" s="26"/>
    </row>
    <row r="41" spans="1:15">
      <c r="B41" s="99" t="s">
        <v>851</v>
      </c>
      <c r="C41" s="99"/>
      <c r="L41" s="26"/>
      <c r="M41" s="26"/>
      <c r="N41" s="26"/>
    </row>
    <row r="42" spans="1:15">
      <c r="D42" s="99" t="s">
        <v>1805</v>
      </c>
      <c r="E42" s="999">
        <f>(E24+E32+E35+E38+E39)/(1-7/100)*7/100</f>
        <v>795.44755913978497</v>
      </c>
      <c r="F42" s="26" t="s">
        <v>936</v>
      </c>
      <c r="G42" s="26">
        <v>0.21</v>
      </c>
      <c r="H42" s="1641">
        <f>E42/(E34+E33)</f>
        <v>6.9999999999999993E-2</v>
      </c>
      <c r="L42" s="26"/>
      <c r="M42" s="26"/>
      <c r="N42" s="26"/>
    </row>
    <row r="43" spans="1:15">
      <c r="D43" s="99" t="s">
        <v>937</v>
      </c>
      <c r="E43" s="1640">
        <f>2216.76/1566.09*1000</f>
        <v>1415.4742064632301</v>
      </c>
      <c r="F43" s="26" t="s">
        <v>938</v>
      </c>
      <c r="L43" s="26"/>
      <c r="M43" s="26"/>
      <c r="N43" s="26"/>
    </row>
    <row r="44" spans="1:15" hidden="1"/>
    <row r="45" spans="1:15" hidden="1">
      <c r="E45" s="26" t="s">
        <v>938</v>
      </c>
      <c r="G45" s="507" t="s">
        <v>1257</v>
      </c>
      <c r="H45" s="507"/>
      <c r="I45" s="507"/>
      <c r="J45" s="507"/>
      <c r="K45" s="507"/>
    </row>
    <row r="46" spans="1:15" hidden="1">
      <c r="E46" s="514"/>
      <c r="F46" s="513"/>
      <c r="G46" s="508" t="s">
        <v>932</v>
      </c>
      <c r="H46" s="508"/>
      <c r="I46" s="508"/>
      <c r="J46" s="512" t="s">
        <v>1119</v>
      </c>
      <c r="K46" s="512"/>
      <c r="L46" s="26"/>
      <c r="M46" s="26"/>
      <c r="N46" s="26"/>
      <c r="O46" s="433"/>
    </row>
    <row r="47" spans="1:15" ht="27" hidden="1">
      <c r="E47" s="514"/>
      <c r="F47" s="513"/>
      <c r="G47" s="509" t="s">
        <v>933</v>
      </c>
      <c r="H47" s="509" t="s">
        <v>251</v>
      </c>
      <c r="I47" s="510" t="s">
        <v>1118</v>
      </c>
      <c r="J47" s="507"/>
      <c r="K47" s="507"/>
      <c r="L47" s="26"/>
      <c r="M47" s="26"/>
      <c r="N47" s="26"/>
      <c r="O47" s="434"/>
    </row>
    <row r="48" spans="1:15" hidden="1">
      <c r="E48" s="514"/>
      <c r="F48" s="513"/>
      <c r="G48" s="231"/>
      <c r="H48" s="231"/>
      <c r="I48" s="231"/>
      <c r="J48" s="507"/>
      <c r="K48" s="507"/>
      <c r="L48" s="26"/>
      <c r="M48" s="26"/>
      <c r="N48" s="26"/>
      <c r="O48" s="433"/>
    </row>
    <row r="49" spans="2:14" hidden="1">
      <c r="E49" s="514"/>
      <c r="F49" s="513" t="s">
        <v>1258</v>
      </c>
      <c r="G49" s="231"/>
      <c r="H49" s="231"/>
      <c r="I49" s="231"/>
      <c r="J49" s="507"/>
      <c r="K49" s="507"/>
    </row>
    <row r="50" spans="2:14" hidden="1">
      <c r="E50" s="514"/>
      <c r="F50" s="513" t="s">
        <v>934</v>
      </c>
      <c r="G50" s="511"/>
      <c r="H50" s="511"/>
      <c r="I50" s="511"/>
      <c r="J50" s="507"/>
      <c r="K50" s="511"/>
    </row>
    <row r="51" spans="2:14" hidden="1">
      <c r="E51" s="514"/>
      <c r="F51" s="513" t="s">
        <v>960</v>
      </c>
      <c r="G51" s="511"/>
      <c r="H51" s="511"/>
      <c r="I51" s="511"/>
      <c r="J51" s="507"/>
      <c r="K51" s="511"/>
    </row>
    <row r="52" spans="2:14" hidden="1">
      <c r="E52" s="514"/>
      <c r="F52" s="513" t="s">
        <v>1255</v>
      </c>
      <c r="G52" s="511"/>
      <c r="H52" s="511"/>
      <c r="I52" s="511"/>
      <c r="J52" s="507"/>
      <c r="K52" s="511"/>
    </row>
    <row r="53" spans="2:14" hidden="1">
      <c r="E53" s="514"/>
      <c r="F53" s="513" t="s">
        <v>640</v>
      </c>
      <c r="G53" s="511"/>
      <c r="H53" s="511"/>
      <c r="I53" s="511"/>
      <c r="J53" s="507"/>
      <c r="K53" s="511"/>
    </row>
    <row r="54" spans="2:14" hidden="1"/>
    <row r="55" spans="2:14" hidden="1"/>
    <row r="56" spans="2:14" hidden="1">
      <c r="K56" s="172"/>
      <c r="L56" s="26"/>
      <c r="M56" s="26"/>
      <c r="N56" s="26"/>
    </row>
    <row r="57" spans="2:14" hidden="1"/>
    <row r="58" spans="2:14" hidden="1"/>
    <row r="59" spans="2:14" ht="12.75" customHeight="1">
      <c r="B59" s="10" t="s">
        <v>1842</v>
      </c>
      <c r="C59" s="10"/>
      <c r="D59" s="10"/>
      <c r="E59" s="10"/>
      <c r="F59" s="10"/>
      <c r="G59" s="206"/>
      <c r="H59" s="207"/>
    </row>
    <row r="60" spans="2:14">
      <c r="B60" s="4209" t="s">
        <v>836</v>
      </c>
      <c r="C60" s="12"/>
      <c r="D60" s="12"/>
      <c r="E60" s="4395" t="s">
        <v>837</v>
      </c>
      <c r="F60" s="39" t="s">
        <v>838</v>
      </c>
      <c r="G60" s="4209" t="s">
        <v>839</v>
      </c>
      <c r="H60" s="10"/>
    </row>
    <row r="61" spans="2:14" ht="66.599999999999994">
      <c r="B61" s="4216"/>
      <c r="C61" s="21"/>
      <c r="D61" s="21"/>
      <c r="E61" s="4396"/>
      <c r="F61" s="39" t="s">
        <v>840</v>
      </c>
      <c r="G61" s="4210"/>
      <c r="H61" s="10"/>
    </row>
    <row r="62" spans="2:14" ht="16.8">
      <c r="B62" s="4216"/>
      <c r="C62" s="21"/>
      <c r="D62" s="21"/>
      <c r="E62" s="176" t="s">
        <v>841</v>
      </c>
      <c r="F62" s="176" t="s">
        <v>842</v>
      </c>
      <c r="G62" s="17"/>
      <c r="H62" s="207" t="s">
        <v>835</v>
      </c>
    </row>
    <row r="63" spans="2:14" ht="15.75" customHeight="1">
      <c r="B63" s="4210"/>
      <c r="C63" s="14"/>
      <c r="D63" s="14"/>
      <c r="E63" s="17" t="s">
        <v>291</v>
      </c>
      <c r="F63" s="17" t="s">
        <v>843</v>
      </c>
      <c r="G63" s="17" t="s">
        <v>843</v>
      </c>
      <c r="H63" s="206"/>
    </row>
    <row r="64" spans="2:14">
      <c r="B64" s="17" t="s">
        <v>697</v>
      </c>
      <c r="C64" s="690"/>
      <c r="D64" s="690"/>
      <c r="E64" s="313">
        <f>'1 И 2 ПОЛУГОДИЕ 2012'!B64</f>
        <v>397387.35</v>
      </c>
      <c r="F64" s="313">
        <f>'1 И 2 ПОЛУГОДИЕ 2012'!D64</f>
        <v>158.29</v>
      </c>
      <c r="G64" s="313">
        <f>'1 И 2 ПОЛУГОДИЕ 2012'!F64</f>
        <v>690.41</v>
      </c>
      <c r="H64" s="692">
        <f>(E64*12/(G64-F64))</f>
        <v>8961.6030218747637</v>
      </c>
    </row>
    <row r="65" spans="2:8">
      <c r="B65" s="17" t="s">
        <v>676</v>
      </c>
      <c r="C65" s="17"/>
      <c r="D65" s="1466"/>
      <c r="E65" s="313">
        <f>'1 И 2 ПОЛУГОДИЕ 2012'!B65</f>
        <v>740597.33</v>
      </c>
      <c r="F65" s="313">
        <f>'1 И 2 ПОЛУГОДИЕ 2012'!D65</f>
        <v>168.14</v>
      </c>
      <c r="G65" s="313">
        <f>'1 И 2 ПОЛУГОДИЕ 2012'!F65</f>
        <v>1174.03</v>
      </c>
      <c r="H65" s="206">
        <f>(E65*12/(G65-F65))</f>
        <v>8835.1290498961116</v>
      </c>
    </row>
    <row r="66" spans="2:8">
      <c r="B66" s="39" t="s">
        <v>847</v>
      </c>
      <c r="C66" s="39"/>
      <c r="D66" s="1528"/>
      <c r="E66" s="313">
        <f>'1 И 2 ПОЛУГОДИЕ 2012'!B66</f>
        <v>1021368.45</v>
      </c>
      <c r="F66" s="313">
        <f>'1 И 2 ПОЛУГОДИЕ 2012'!D66</f>
        <v>432.48</v>
      </c>
      <c r="G66" s="313">
        <f>'1 И 2 ПОЛУГОДИЕ 2012'!F66</f>
        <v>1817.25</v>
      </c>
      <c r="H66" s="206">
        <f>(E66*12/(G66-F66))</f>
        <v>8850.8715526766173</v>
      </c>
    </row>
    <row r="67" spans="2:8">
      <c r="B67" s="17" t="s">
        <v>681</v>
      </c>
      <c r="C67" s="690"/>
      <c r="D67" s="690"/>
      <c r="E67" s="313">
        <f>'1 И 2 ПОЛУГОДИЕ 2012'!B67</f>
        <v>1766107.62</v>
      </c>
      <c r="F67" s="313">
        <f>'1 И 2 ПОЛУГОДИЕ 2012'!D67</f>
        <v>495.34</v>
      </c>
      <c r="G67" s="313">
        <f>'1 И 2 ПОЛУГОДИЕ 2012'!F67</f>
        <v>2688.41</v>
      </c>
      <c r="H67" s="692">
        <f>(E67*12/(G67-F67))</f>
        <v>9663.75511953563</v>
      </c>
    </row>
    <row r="68" spans="2:8">
      <c r="B68" s="465" t="s">
        <v>962</v>
      </c>
      <c r="C68" s="465"/>
      <c r="D68" s="1529"/>
      <c r="E68" s="313"/>
      <c r="F68" s="313"/>
      <c r="G68" s="313">
        <f>'1 И 2 ПОЛУГОДИЕ 2012'!F68</f>
        <v>422.2</v>
      </c>
      <c r="H68" s="320">
        <f>(E68*12/(G68-F68))</f>
        <v>0</v>
      </c>
    </row>
    <row r="69" spans="2:8">
      <c r="B69" s="106"/>
      <c r="C69" s="106"/>
      <c r="D69" s="106"/>
      <c r="E69" s="106"/>
      <c r="F69" s="106"/>
      <c r="G69" s="106"/>
      <c r="H69" s="106"/>
    </row>
  </sheetData>
  <mergeCells count="14">
    <mergeCell ref="B6:B9"/>
    <mergeCell ref="D6:D7"/>
    <mergeCell ref="E6:E7"/>
    <mergeCell ref="F6:F7"/>
    <mergeCell ref="A15:A17"/>
    <mergeCell ref="B15:B17"/>
    <mergeCell ref="D15:E16"/>
    <mergeCell ref="G60:G61"/>
    <mergeCell ref="A22:A23"/>
    <mergeCell ref="B22:E23"/>
    <mergeCell ref="A30:A31"/>
    <mergeCell ref="B30:B31"/>
    <mergeCell ref="B60:B63"/>
    <mergeCell ref="E60:E61"/>
  </mergeCells>
  <printOptions horizontalCentered="1"/>
  <pageMargins left="0.39370078740157483" right="0.39370078740157483" top="0.19685039370078741" bottom="3.937007874015748E-2" header="0.11811023622047245" footer="3.937007874015748E-2"/>
  <pageSetup paperSize="9" scale="61" orientation="landscape" r:id="rId1"/>
  <headerFooter alignWithMargins="0">
    <oddFooter>&amp;L&amp;8________________________________________________________________________
&amp;F&amp;A</oddFooter>
  </headerFooter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8">
    <tabColor rgb="FF92D050"/>
  </sheetPr>
  <dimension ref="A1:S70"/>
  <sheetViews>
    <sheetView topLeftCell="A18" workbookViewId="0">
      <selection activeCell="K8" sqref="K8"/>
    </sheetView>
  </sheetViews>
  <sheetFormatPr defaultColWidth="9.109375" defaultRowHeight="15.6"/>
  <cols>
    <col min="1" max="1" width="6" style="26" customWidth="1"/>
    <col min="2" max="2" width="42.6640625" style="26" customWidth="1"/>
    <col min="3" max="3" width="7.6640625" style="26" customWidth="1"/>
    <col min="4" max="4" width="11.109375" style="26" customWidth="1"/>
    <col min="5" max="5" width="12.44140625" style="26" customWidth="1"/>
    <col min="6" max="6" width="12.88671875" style="26" customWidth="1"/>
    <col min="7" max="7" width="12.44140625" style="26" customWidth="1"/>
    <col min="8" max="8" width="11" style="26" customWidth="1"/>
    <col min="9" max="9" width="13.109375" style="26" customWidth="1"/>
    <col min="10" max="10" width="10.44140625" style="26" customWidth="1"/>
    <col min="11" max="11" width="12" style="26" customWidth="1"/>
    <col min="12" max="13" width="11.5546875" style="172" customWidth="1"/>
    <col min="14" max="14" width="12.5546875" style="172" bestFit="1" customWidth="1"/>
    <col min="15" max="15" width="9.109375" style="26"/>
    <col min="16" max="16" width="10.44140625" style="26" customWidth="1"/>
    <col min="17" max="17" width="9.109375" style="26"/>
    <col min="18" max="18" width="9.109375" style="26" customWidth="1"/>
    <col min="19" max="19" width="11.6640625" style="26" customWidth="1"/>
    <col min="20" max="16384" width="9.109375" style="26"/>
  </cols>
  <sheetData>
    <row r="1" spans="1:15">
      <c r="A1" s="109" t="s">
        <v>1826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321"/>
      <c r="M1" s="321"/>
      <c r="N1" s="321"/>
    </row>
    <row r="2" spans="1:15">
      <c r="A2" s="109" t="s">
        <v>1262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321"/>
      <c r="M2" s="321"/>
      <c r="N2" s="321"/>
    </row>
    <row r="3" spans="1:15" ht="16.2" thickBot="1">
      <c r="A3" s="1523" t="s">
        <v>1829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321"/>
      <c r="M3" s="321"/>
      <c r="N3" s="321"/>
      <c r="O3" s="1618" t="s">
        <v>1854</v>
      </c>
    </row>
    <row r="4" spans="1:15" ht="16.2" hidden="1" thickBot="1">
      <c r="B4" s="322" t="s">
        <v>893</v>
      </c>
      <c r="C4" s="322"/>
      <c r="D4" s="172"/>
      <c r="E4" s="172"/>
      <c r="F4" s="172"/>
      <c r="G4" s="172"/>
      <c r="H4" s="172"/>
      <c r="I4" s="172"/>
    </row>
    <row r="5" spans="1:15" ht="16.2" hidden="1" thickBot="1">
      <c r="B5" s="172"/>
      <c r="C5" s="172"/>
      <c r="D5" s="172"/>
      <c r="E5" s="172"/>
      <c r="H5" s="172"/>
      <c r="I5" s="172"/>
    </row>
    <row r="6" spans="1:15" ht="27.75" hidden="1" customHeight="1">
      <c r="B6" s="4202" t="s">
        <v>836</v>
      </c>
      <c r="C6" s="679"/>
      <c r="D6" s="4397" t="s">
        <v>837</v>
      </c>
      <c r="E6" s="4397" t="s">
        <v>898</v>
      </c>
      <c r="F6" s="4399" t="s">
        <v>839</v>
      </c>
    </row>
    <row r="7" spans="1:15" ht="48" hidden="1" customHeight="1">
      <c r="B7" s="4203"/>
      <c r="C7" s="680"/>
      <c r="D7" s="4398"/>
      <c r="E7" s="4398"/>
      <c r="F7" s="4399"/>
    </row>
    <row r="8" spans="1:15" ht="18.600000000000001" hidden="1" thickBot="1">
      <c r="B8" s="4203"/>
      <c r="C8" s="680"/>
      <c r="D8" s="323" t="s">
        <v>899</v>
      </c>
      <c r="E8" s="323" t="s">
        <v>900</v>
      </c>
      <c r="F8" s="81"/>
    </row>
    <row r="9" spans="1:15" ht="31.8" hidden="1" thickBot="1">
      <c r="B9" s="4204"/>
      <c r="C9" s="681"/>
      <c r="D9" s="81" t="s">
        <v>291</v>
      </c>
      <c r="E9" s="81" t="s">
        <v>251</v>
      </c>
      <c r="F9" s="81" t="s">
        <v>251</v>
      </c>
      <c r="G9" s="322" t="s">
        <v>835</v>
      </c>
    </row>
    <row r="10" spans="1:15" ht="16.2" hidden="1" thickBot="1">
      <c r="B10" s="81" t="s">
        <v>697</v>
      </c>
      <c r="C10" s="81"/>
      <c r="D10" s="324">
        <v>300621.82</v>
      </c>
      <c r="E10" s="324">
        <v>176.8</v>
      </c>
      <c r="F10" s="325">
        <v>592.41</v>
      </c>
      <c r="G10" s="326">
        <f>(D10*12/(F10-E10))</f>
        <v>8679.9206948822211</v>
      </c>
    </row>
    <row r="11" spans="1:15" ht="16.2" hidden="1" thickBot="1">
      <c r="B11" s="81" t="s">
        <v>676</v>
      </c>
      <c r="C11" s="81"/>
      <c r="D11" s="324">
        <v>490793.23</v>
      </c>
      <c r="E11" s="324">
        <v>180</v>
      </c>
      <c r="F11" s="325">
        <v>969.48</v>
      </c>
      <c r="G11" s="326">
        <f>(D11*12/(F11-E11))</f>
        <v>7459.9974160206712</v>
      </c>
      <c r="H11" s="327"/>
      <c r="I11" s="328"/>
      <c r="L11" s="329"/>
    </row>
    <row r="12" spans="1:15" ht="16.2" hidden="1" thickBot="1">
      <c r="B12" s="330" t="s">
        <v>847</v>
      </c>
      <c r="C12" s="330"/>
      <c r="D12" s="324">
        <v>680321</v>
      </c>
      <c r="E12" s="324">
        <v>210</v>
      </c>
      <c r="F12" s="325">
        <v>1441.35</v>
      </c>
      <c r="G12" s="326">
        <f>(D12*12/(F12-E12))</f>
        <v>6630.0012181751745</v>
      </c>
      <c r="H12" s="99" t="s">
        <v>901</v>
      </c>
    </row>
    <row r="13" spans="1:15" ht="16.2" hidden="1" thickBot="1">
      <c r="B13" s="81" t="s">
        <v>681</v>
      </c>
      <c r="C13" s="81"/>
      <c r="D13" s="324">
        <v>851305.82</v>
      </c>
      <c r="E13" s="324">
        <v>432</v>
      </c>
      <c r="F13" s="325">
        <v>2296.17</v>
      </c>
      <c r="G13" s="326">
        <f>(D13*12/(F13-E13))</f>
        <v>5480.0097845153605</v>
      </c>
      <c r="H13" s="331">
        <f>(365-53)*16</f>
        <v>4992</v>
      </c>
      <c r="I13" s="26" t="s">
        <v>892</v>
      </c>
      <c r="L13" s="172" t="s">
        <v>892</v>
      </c>
    </row>
    <row r="14" spans="1:15" ht="16.2" hidden="1" thickBot="1">
      <c r="B14" s="85"/>
      <c r="C14" s="85"/>
      <c r="D14" s="332"/>
      <c r="E14" s="332"/>
      <c r="F14" s="333"/>
      <c r="G14" s="326"/>
      <c r="H14" s="331"/>
    </row>
    <row r="15" spans="1:15" ht="16.2" thickBot="1">
      <c r="A15" s="4400"/>
      <c r="B15" s="4403" t="s">
        <v>902</v>
      </c>
      <c r="C15" s="683"/>
      <c r="D15" s="4406" t="s">
        <v>903</v>
      </c>
      <c r="E15" s="4407"/>
      <c r="F15" s="334" t="s">
        <v>904</v>
      </c>
      <c r="G15" s="335"/>
      <c r="H15" s="336"/>
      <c r="I15" s="337" t="s">
        <v>1871</v>
      </c>
      <c r="J15" s="338"/>
      <c r="K15" s="338"/>
      <c r="L15" s="339"/>
      <c r="M15" s="340"/>
      <c r="N15" s="341"/>
    </row>
    <row r="16" spans="1:15" ht="27.6">
      <c r="A16" s="4401"/>
      <c r="B16" s="4404"/>
      <c r="C16" s="711"/>
      <c r="D16" s="4408"/>
      <c r="E16" s="4409"/>
      <c r="F16" s="342" t="s">
        <v>906</v>
      </c>
      <c r="G16" s="343"/>
      <c r="H16" s="344" t="s">
        <v>907</v>
      </c>
      <c r="I16" s="345" t="s">
        <v>1836</v>
      </c>
      <c r="J16" s="346"/>
      <c r="K16" s="347"/>
      <c r="L16" s="756" t="s">
        <v>959</v>
      </c>
      <c r="M16" s="348"/>
      <c r="N16" s="1448"/>
    </row>
    <row r="17" spans="1:19" s="357" customFormat="1" ht="80.25" customHeight="1">
      <c r="A17" s="4402"/>
      <c r="B17" s="4405"/>
      <c r="C17" s="682"/>
      <c r="D17" s="174" t="s">
        <v>909</v>
      </c>
      <c r="E17" s="349" t="s">
        <v>910</v>
      </c>
      <c r="F17" s="350" t="s">
        <v>911</v>
      </c>
      <c r="G17" s="17" t="s">
        <v>912</v>
      </c>
      <c r="H17" s="351" t="s">
        <v>913</v>
      </c>
      <c r="I17" s="352" t="s">
        <v>914</v>
      </c>
      <c r="J17" s="174" t="s">
        <v>915</v>
      </c>
      <c r="K17" s="353" t="s">
        <v>419</v>
      </c>
      <c r="L17" s="354" t="s">
        <v>1260</v>
      </c>
      <c r="M17" s="355" t="s">
        <v>915</v>
      </c>
      <c r="N17" s="356" t="s">
        <v>419</v>
      </c>
    </row>
    <row r="18" spans="1:19" s="369" customFormat="1" ht="28.5" customHeight="1">
      <c r="A18" s="358">
        <v>1</v>
      </c>
      <c r="B18" s="359">
        <v>2</v>
      </c>
      <c r="C18" s="359"/>
      <c r="D18" s="360">
        <v>3</v>
      </c>
      <c r="E18" s="361">
        <v>4</v>
      </c>
      <c r="F18" s="362">
        <v>5</v>
      </c>
      <c r="G18" s="360">
        <v>6</v>
      </c>
      <c r="H18" s="363">
        <v>7</v>
      </c>
      <c r="I18" s="364" t="s">
        <v>916</v>
      </c>
      <c r="J18" s="365" t="s">
        <v>917</v>
      </c>
      <c r="K18" s="366" t="s">
        <v>918</v>
      </c>
      <c r="L18" s="362">
        <v>11</v>
      </c>
      <c r="M18" s="360">
        <v>12</v>
      </c>
      <c r="N18" s="363">
        <v>13</v>
      </c>
      <c r="O18" s="367" t="s">
        <v>919</v>
      </c>
      <c r="P18" s="368"/>
      <c r="Q18" s="1621" t="s">
        <v>1856</v>
      </c>
      <c r="S18" s="587"/>
    </row>
    <row r="19" spans="1:19" ht="27.6">
      <c r="A19" s="370" t="s">
        <v>920</v>
      </c>
      <c r="B19" s="300" t="s">
        <v>921</v>
      </c>
      <c r="C19" s="300"/>
      <c r="D19" s="371"/>
      <c r="E19" s="372"/>
      <c r="F19" s="373"/>
      <c r="G19" s="371"/>
      <c r="H19" s="1598" t="s">
        <v>1853</v>
      </c>
      <c r="I19" s="1599">
        <f>'1п-е 2012'!I19+'2п-е 2012'!I19</f>
        <v>2744.8</v>
      </c>
      <c r="J19" s="1655">
        <f>E42*E43/1000</f>
        <v>2216.7541098008833</v>
      </c>
      <c r="K19" s="1601">
        <f>ROUND((I19+J19),1)</f>
        <v>4961.6000000000004</v>
      </c>
      <c r="L19" s="1544" t="s">
        <v>1873</v>
      </c>
      <c r="M19" s="1545"/>
      <c r="N19" s="380">
        <f>N23-N31+N36</f>
        <v>4961.440124093675</v>
      </c>
      <c r="O19" s="367">
        <f>$E$42*$E$43/1000</f>
        <v>2216.7541098008833</v>
      </c>
      <c r="P19" s="1606">
        <f>N20-O19</f>
        <v>2752.2814736591163</v>
      </c>
      <c r="Q19" s="1606">
        <f>K20-J19</f>
        <v>5097.7458901991167</v>
      </c>
      <c r="S19" s="1622">
        <f>Q19/P28-1</f>
        <v>1.540236142216024</v>
      </c>
    </row>
    <row r="20" spans="1:19" ht="43.5" customHeight="1" thickBot="1">
      <c r="A20" s="381"/>
      <c r="B20" s="371" t="s">
        <v>922</v>
      </c>
      <c r="C20" s="371"/>
      <c r="D20" s="371"/>
      <c r="E20" s="372"/>
      <c r="F20" s="382"/>
      <c r="G20" s="383"/>
      <c r="H20" s="384"/>
      <c r="I20" s="729">
        <f>I23+I36-I31</f>
        <v>4244.7000418000007</v>
      </c>
      <c r="J20" s="385">
        <f>ROUND((J23+J36-J31),1)</f>
        <v>3069.8</v>
      </c>
      <c r="K20" s="377">
        <f>ROUND((I20+J20),1)</f>
        <v>7314.5</v>
      </c>
      <c r="L20" s="1544" t="s">
        <v>1839</v>
      </c>
      <c r="M20" s="1545"/>
      <c r="N20" s="1593">
        <f>N23-K31+N36</f>
        <v>4969.0355834599995</v>
      </c>
      <c r="P20" s="1614">
        <f>N20-J20</f>
        <v>1899.2355834599994</v>
      </c>
      <c r="Q20" s="1615"/>
    </row>
    <row r="21" spans="1:19" ht="1.5" hidden="1" customHeight="1">
      <c r="A21" s="388"/>
      <c r="B21" s="389" t="s">
        <v>923</v>
      </c>
      <c r="C21" s="389"/>
      <c r="D21" s="389"/>
      <c r="E21" s="390"/>
      <c r="F21" s="391"/>
      <c r="G21" s="392"/>
      <c r="H21" s="393"/>
      <c r="I21" s="394">
        <f>K19-K20</f>
        <v>-2352.8999999999996</v>
      </c>
      <c r="J21" s="395"/>
      <c r="K21" s="396"/>
      <c r="L21" s="397"/>
      <c r="M21" s="398"/>
      <c r="N21" s="399"/>
      <c r="P21" s="1615"/>
      <c r="Q21" s="1615"/>
    </row>
    <row r="22" spans="1:19" ht="15.75" customHeight="1">
      <c r="A22" s="4385" t="s">
        <v>924</v>
      </c>
      <c r="B22" s="4387" t="s">
        <v>1799</v>
      </c>
      <c r="C22" s="4388"/>
      <c r="D22" s="4389"/>
      <c r="E22" s="4389"/>
      <c r="F22" s="400"/>
      <c r="G22" s="401"/>
      <c r="H22" s="402"/>
      <c r="I22" s="403" t="s">
        <v>925</v>
      </c>
      <c r="J22" s="404"/>
      <c r="K22" s="405"/>
      <c r="L22" s="406" t="s">
        <v>926</v>
      </c>
      <c r="M22" s="404"/>
      <c r="N22" s="407"/>
      <c r="P22" s="1616">
        <v>1583.1356230599986</v>
      </c>
      <c r="Q22" s="1617" t="s">
        <v>1853</v>
      </c>
    </row>
    <row r="23" spans="1:19" ht="24" customHeight="1">
      <c r="A23" s="4386"/>
      <c r="B23" s="4390"/>
      <c r="C23" s="4391"/>
      <c r="D23" s="4391"/>
      <c r="E23" s="4391"/>
      <c r="F23" s="408"/>
      <c r="G23" s="409"/>
      <c r="H23" s="410"/>
      <c r="I23" s="411">
        <f>SUM(I25:I29)</f>
        <v>11853.7780554</v>
      </c>
      <c r="J23" s="412">
        <f>SUM(J25:J29)</f>
        <v>2881.6669403000001</v>
      </c>
      <c r="K23" s="413">
        <f>I23+J23</f>
        <v>14735.4449957</v>
      </c>
      <c r="L23" s="386"/>
      <c r="M23" s="298"/>
      <c r="N23" s="413">
        <f>SUM(N25:N29)</f>
        <v>12385.000000000002</v>
      </c>
      <c r="O23" s="1607">
        <f>N23-K23</f>
        <v>-2350.4449956999979</v>
      </c>
      <c r="P23" s="730">
        <f>N19-K20</f>
        <v>-2353.059875906325</v>
      </c>
    </row>
    <row r="24" spans="1:19" ht="27.75" customHeight="1">
      <c r="A24" s="373"/>
      <c r="B24" s="371" t="s">
        <v>927</v>
      </c>
      <c r="C24" s="712" t="s">
        <v>1250</v>
      </c>
      <c r="D24" s="1575">
        <f>SUM(D25:D29)</f>
        <v>1.3699999999999999</v>
      </c>
      <c r="E24" s="1441">
        <f>SUM(E25:E29)</f>
        <v>9367.7000000000007</v>
      </c>
      <c r="F24" s="373"/>
      <c r="G24" s="371"/>
      <c r="H24" s="374"/>
      <c r="I24" s="411"/>
      <c r="J24" s="412"/>
      <c r="K24" s="413"/>
      <c r="L24" s="386"/>
      <c r="M24" s="298"/>
      <c r="N24" s="413"/>
    </row>
    <row r="25" spans="1:19">
      <c r="A25" s="381"/>
      <c r="B25" s="415" t="s">
        <v>1798</v>
      </c>
      <c r="C25" s="1457">
        <f>E25/D25</f>
        <v>7140.3508771929828</v>
      </c>
      <c r="D25" s="1575">
        <f>'2012'!D25</f>
        <v>0.56999999999999995</v>
      </c>
      <c r="E25" s="1441">
        <f>'1п-е 2012'!E25+'2п-е 2012'!E25</f>
        <v>4070</v>
      </c>
      <c r="F25" s="416"/>
      <c r="G25" s="417"/>
      <c r="H25" s="418"/>
      <c r="I25" s="664">
        <f>'1п-е 2012'!I25+'2п-е 2012'!I25</f>
        <v>2605.6021715999996</v>
      </c>
      <c r="J25" s="664">
        <f>'1п-е 2012'!J25+'2п-е 2012'!J25</f>
        <v>630.14904589999992</v>
      </c>
      <c r="K25" s="669">
        <f>I25+J25</f>
        <v>3235.7512174999993</v>
      </c>
      <c r="L25" s="1444"/>
      <c r="M25" s="664"/>
      <c r="N25" s="669">
        <f>'1п-е 2012'!N25+'2п-е 2012'!N25</f>
        <v>2770.5</v>
      </c>
      <c r="O25" s="1533">
        <f>'2012г.об.под факт2010'!N23-'2012 год'!N23</f>
        <v>3165.7999999999975</v>
      </c>
    </row>
    <row r="26" spans="1:19">
      <c r="A26" s="381"/>
      <c r="B26" s="415" t="s">
        <v>928</v>
      </c>
      <c r="C26" s="1457">
        <f>E26/D26</f>
        <v>6689.333333333333</v>
      </c>
      <c r="D26" s="1575">
        <f>'2012'!D26</f>
        <v>0.75</v>
      </c>
      <c r="E26" s="1441">
        <f>'1п-е 2012'!E26+'2п-е 2012'!E26</f>
        <v>5017</v>
      </c>
      <c r="F26" s="416"/>
      <c r="G26" s="417"/>
      <c r="H26" s="418"/>
      <c r="I26" s="664">
        <f>'1п-е 2012'!I26+'2п-е 2012'!I26</f>
        <v>8839.4255549999998</v>
      </c>
      <c r="J26" s="664">
        <f>'1п-е 2012'!J26+'2п-е 2012'!J26</f>
        <v>2123.8332632000001</v>
      </c>
      <c r="K26" s="669">
        <f>I26+J26</f>
        <v>10963.2588182</v>
      </c>
      <c r="L26" s="1444"/>
      <c r="M26" s="664"/>
      <c r="N26" s="669">
        <f>'1п-е 2012'!N26+'2п-е 2012'!N26</f>
        <v>9191.9</v>
      </c>
      <c r="O26" s="1534" t="s">
        <v>1828</v>
      </c>
    </row>
    <row r="27" spans="1:19" ht="26.4">
      <c r="A27" s="381"/>
      <c r="B27" s="419" t="s">
        <v>1797</v>
      </c>
      <c r="C27" s="1457">
        <f>E27/D27</f>
        <v>6600</v>
      </c>
      <c r="D27" s="1575">
        <f>'2012'!D27</f>
        <v>0.02</v>
      </c>
      <c r="E27" s="1441">
        <f>'1п-е 2012'!E27+'2п-е 2012'!E27</f>
        <v>132</v>
      </c>
      <c r="F27" s="416"/>
      <c r="G27" s="417"/>
      <c r="H27" s="418"/>
      <c r="I27" s="664">
        <f>'1п-е 2012'!I27+'2п-е 2012'!I27</f>
        <v>408.75032880000009</v>
      </c>
      <c r="J27" s="664">
        <f>'1п-е 2012'!J27+'2п-е 2012'!J27</f>
        <v>63.862367999999989</v>
      </c>
      <c r="K27" s="669">
        <f>I27+J27</f>
        <v>472.61269680000009</v>
      </c>
      <c r="L27" s="1444"/>
      <c r="M27" s="664"/>
      <c r="N27" s="669">
        <f>'1п-е 2012'!N27+'2п-е 2012'!N27</f>
        <v>358.7</v>
      </c>
      <c r="P27" s="1619" t="s">
        <v>1855</v>
      </c>
      <c r="Q27" s="1619" t="s">
        <v>641</v>
      </c>
      <c r="R27" s="1619" t="s">
        <v>871</v>
      </c>
    </row>
    <row r="28" spans="1:19" s="485" customFormat="1" ht="28.2">
      <c r="A28" s="381"/>
      <c r="B28" s="419" t="s">
        <v>1796</v>
      </c>
      <c r="C28" s="1457" t="e">
        <f>E28/D28</f>
        <v>#DIV/0!</v>
      </c>
      <c r="D28" s="1575">
        <f>'2012'!D28</f>
        <v>0</v>
      </c>
      <c r="E28" s="1441">
        <f>'1п-е 2012'!E28+'2п-е 2012'!E28</f>
        <v>16.7</v>
      </c>
      <c r="F28" s="416"/>
      <c r="G28" s="417"/>
      <c r="H28" s="418"/>
      <c r="I28" s="664"/>
      <c r="J28" s="664">
        <f>'1п-е 2012'!J28+'2п-е 2012'!J28</f>
        <v>7.1676099999999998</v>
      </c>
      <c r="K28" s="669">
        <f>'1п-е 2012'!K28+'2п-е 2012'!K28</f>
        <v>7.1676099999999998</v>
      </c>
      <c r="L28" s="1444"/>
      <c r="M28" s="664"/>
      <c r="N28" s="669">
        <f>'1п-е 2012'!N28+'2п-е 2012'!N28</f>
        <v>7.1999999999999993</v>
      </c>
      <c r="P28" s="1620">
        <v>2006.8</v>
      </c>
      <c r="Q28" s="1620">
        <v>2623.4</v>
      </c>
      <c r="R28" s="1620">
        <f>SUM(P28:Q28)</f>
        <v>4630.2</v>
      </c>
    </row>
    <row r="29" spans="1:19" s="485" customFormat="1" ht="28.8" thickBot="1">
      <c r="A29" s="495"/>
      <c r="B29" s="419" t="s">
        <v>929</v>
      </c>
      <c r="C29" s="734">
        <f>E29/D29</f>
        <v>4400</v>
      </c>
      <c r="D29" s="1648">
        <f>'2012'!D29</f>
        <v>0.03</v>
      </c>
      <c r="E29" s="421">
        <f>'1п-е 2012'!E29+'2п-е 2012'!E29</f>
        <v>132</v>
      </c>
      <c r="F29" s="502"/>
      <c r="G29" s="503"/>
      <c r="H29" s="504"/>
      <c r="I29" s="1604"/>
      <c r="J29" s="1604">
        <f>'1п-е 2012'!J29+'2п-е 2012'!J29</f>
        <v>56.654653199999998</v>
      </c>
      <c r="K29" s="1605">
        <f>'1п-е 2012'!K29+'2п-е 2012'!K29</f>
        <v>56.654653199999998</v>
      </c>
      <c r="L29" s="422"/>
      <c r="M29" s="1445"/>
      <c r="N29" s="1605">
        <f>'1п-е 2012'!N29+'2п-е 2012'!N29</f>
        <v>56.7</v>
      </c>
      <c r="O29" s="26"/>
    </row>
    <row r="30" spans="1:19" ht="16.5" customHeight="1">
      <c r="A30" s="4392" t="s">
        <v>930</v>
      </c>
      <c r="B30" s="4393" t="s">
        <v>1800</v>
      </c>
      <c r="C30" s="1458"/>
      <c r="D30" s="425" t="s">
        <v>931</v>
      </c>
      <c r="E30" s="456"/>
      <c r="F30" s="458" t="s">
        <v>932</v>
      </c>
      <c r="G30" s="425"/>
      <c r="H30" s="425"/>
      <c r="I30" s="426" t="s">
        <v>925</v>
      </c>
      <c r="J30" s="427"/>
      <c r="K30" s="428"/>
      <c r="L30" s="1603" t="s">
        <v>926</v>
      </c>
      <c r="M30" s="427"/>
      <c r="N30" s="428"/>
    </row>
    <row r="31" spans="1:19" ht="27.6">
      <c r="A31" s="4386"/>
      <c r="B31" s="4394"/>
      <c r="C31" s="1459"/>
      <c r="D31" s="355" t="s">
        <v>909</v>
      </c>
      <c r="E31" s="457" t="s">
        <v>910</v>
      </c>
      <c r="F31" s="459" t="s">
        <v>933</v>
      </c>
      <c r="G31" s="429" t="s">
        <v>251</v>
      </c>
      <c r="H31" s="506" t="s">
        <v>1118</v>
      </c>
      <c r="I31" s="1608">
        <f>SUM(I32:I35)</f>
        <v>10236.2379404</v>
      </c>
      <c r="J31" s="1609">
        <f>SUM(J32:J35)</f>
        <v>1118.62924294</v>
      </c>
      <c r="K31" s="1456">
        <f>SUM(K32:K35)</f>
        <v>11354.867183340002</v>
      </c>
      <c r="L31" s="722">
        <f>SUM(L35:L35)</f>
        <v>0</v>
      </c>
      <c r="M31" s="573">
        <f>SUM(M35:M35)</f>
        <v>0</v>
      </c>
      <c r="N31" s="735">
        <f>SUM(N32:N35)</f>
        <v>11362.462642706327</v>
      </c>
      <c r="O31" s="1607">
        <f>N31-K31</f>
        <v>7.595459366324576</v>
      </c>
    </row>
    <row r="32" spans="1:19" ht="22.5" customHeight="1">
      <c r="A32" s="430">
        <v>1</v>
      </c>
      <c r="B32" s="371" t="s">
        <v>1844</v>
      </c>
      <c r="C32" s="733">
        <f>E32/D32</f>
        <v>7593.6857142857134</v>
      </c>
      <c r="D32" s="1575">
        <f>'2012'!D32</f>
        <v>7.0000000000000007E-2</v>
      </c>
      <c r="E32" s="1440">
        <f>'1п-е 2012'!E32+'2п-е 2012'!E32</f>
        <v>531.55799999999999</v>
      </c>
      <c r="F32" s="1574">
        <v>397902.31</v>
      </c>
      <c r="G32" s="1575">
        <v>93.93</v>
      </c>
      <c r="H32" s="1576">
        <v>758.65003295971451</v>
      </c>
      <c r="I32" s="386">
        <f>'1п-е 2012'!I32+'2п-е 2012'!I32</f>
        <v>334.23794040000007</v>
      </c>
      <c r="J32" s="298">
        <f>'1п-е 2012'!J32+'2п-е 2012'!J32</f>
        <v>49.929242940000009</v>
      </c>
      <c r="K32" s="387">
        <f>I32+J32</f>
        <v>384.16718334000007</v>
      </c>
      <c r="L32" s="573"/>
      <c r="M32" s="573"/>
      <c r="N32" s="710">
        <f>'1п-е 2012'!N32+'2п-е 2012'!N32</f>
        <v>403.26480470629099</v>
      </c>
    </row>
    <row r="33" spans="1:18" ht="22.5" customHeight="1">
      <c r="A33" s="1539">
        <v>2</v>
      </c>
      <c r="B33" s="1540" t="s">
        <v>1847</v>
      </c>
      <c r="C33" s="1541">
        <f>E33/D33</f>
        <v>6603.0428571428556</v>
      </c>
      <c r="D33" s="1575">
        <f>'2012'!D33</f>
        <v>7.0000000000000007E-2</v>
      </c>
      <c r="E33" s="1440">
        <f>'1п-е 2012'!E33+'2п-е 2012'!E33</f>
        <v>462.21299999999997</v>
      </c>
      <c r="F33" s="1574">
        <v>139799.97</v>
      </c>
      <c r="G33" s="1575">
        <v>95.89</v>
      </c>
      <c r="H33" s="1577">
        <v>331.81383609359284</v>
      </c>
      <c r="I33" s="386">
        <f>'1п-е 2012'!I33+'2п-е 2012'!I33</f>
        <v>117.4</v>
      </c>
      <c r="J33" s="298">
        <f>'1п-е 2012'!J33+'2п-е 2012'!J33</f>
        <v>44.400000000000006</v>
      </c>
      <c r="K33" s="669">
        <f>I33+J33</f>
        <v>161.80000000000001</v>
      </c>
      <c r="L33" s="573"/>
      <c r="M33" s="573"/>
      <c r="N33" s="710">
        <f>'1п-е 2012'!N33+'2п-е 2012'!N33</f>
        <v>153.36734913294413</v>
      </c>
    </row>
    <row r="34" spans="1:18" ht="22.5" customHeight="1">
      <c r="A34" s="1578">
        <v>3</v>
      </c>
      <c r="B34" s="454" t="s">
        <v>1848</v>
      </c>
      <c r="C34" s="1541">
        <f>E34/D34</f>
        <v>7634.300292233338</v>
      </c>
      <c r="D34" s="1647">
        <f>'2012'!D34</f>
        <v>2.87</v>
      </c>
      <c r="E34" s="1643">
        <f>$E$24+$E$38+$E$39+$E$32+$E$35+$E$42-$E$33</f>
        <v>21910.441838709681</v>
      </c>
      <c r="F34" s="1574">
        <v>283891.76</v>
      </c>
      <c r="G34" s="1575">
        <v>46.69</v>
      </c>
      <c r="H34" s="1577">
        <v>492.76608914715831</v>
      </c>
      <c r="I34" s="386">
        <f>'1п-е 2012'!I34+'2п-е 2012'!I34</f>
        <v>9777.2000000000007</v>
      </c>
      <c r="J34" s="298">
        <f>'1п-е 2012'!J34+'2п-е 2012'!J34</f>
        <v>1023</v>
      </c>
      <c r="K34" s="669">
        <f>I34+J34</f>
        <v>10800.2</v>
      </c>
      <c r="L34" s="573"/>
      <c r="M34" s="573"/>
      <c r="N34" s="710">
        <f>'1п-е 2012'!N34+'2п-е 2012'!N34</f>
        <v>10796.910894897092</v>
      </c>
    </row>
    <row r="35" spans="1:18" ht="22.5" customHeight="1" thickBot="1">
      <c r="A35" s="430">
        <v>4</v>
      </c>
      <c r="B35" s="371" t="s">
        <v>1845</v>
      </c>
      <c r="C35" s="733">
        <f>E35/D35</f>
        <v>9036.7888888888901</v>
      </c>
      <c r="D35" s="1575">
        <f>'2012'!D35</f>
        <v>0.09</v>
      </c>
      <c r="E35" s="1440">
        <f>'1п-е 2012'!E35+'2п-е 2012'!E35</f>
        <v>813.31100000000004</v>
      </c>
      <c r="F35" s="1574">
        <v>6820.2</v>
      </c>
      <c r="G35" s="1575">
        <v>1.61</v>
      </c>
      <c r="H35" s="1577">
        <v>10.972923432733603</v>
      </c>
      <c r="I35" s="386">
        <f>'1п-е 2012'!I35+'2п-е 2012'!I35</f>
        <v>7.4</v>
      </c>
      <c r="J35" s="298">
        <f>'1п-е 2012'!J35+'2п-е 2012'!J35</f>
        <v>1.2999999999999998</v>
      </c>
      <c r="K35" s="669">
        <f>I35+J35</f>
        <v>8.6999999999999993</v>
      </c>
      <c r="L35" s="573"/>
      <c r="M35" s="573"/>
      <c r="N35" s="710">
        <f>'1п-е 2012'!N35+'2п-е 2012'!N35</f>
        <v>8.9195939700000011</v>
      </c>
    </row>
    <row r="36" spans="1:18" ht="46.8">
      <c r="A36" s="1579" t="s">
        <v>935</v>
      </c>
      <c r="B36" s="1580" t="s">
        <v>1801</v>
      </c>
      <c r="C36" s="1581"/>
      <c r="D36" s="1582"/>
      <c r="E36" s="1583"/>
      <c r="F36" s="1584" t="s">
        <v>933</v>
      </c>
      <c r="G36" s="1585" t="s">
        <v>251</v>
      </c>
      <c r="H36" s="1586" t="s">
        <v>251</v>
      </c>
      <c r="I36" s="1587">
        <f>SUM(I37:I39)</f>
        <v>2627.1599268</v>
      </c>
      <c r="J36" s="1588">
        <f>SUM(J37:J39)</f>
        <v>1306.7417600000001</v>
      </c>
      <c r="K36" s="1589">
        <f>SUM(K37:K39)</f>
        <v>3933.9016868000003</v>
      </c>
      <c r="L36" s="1590">
        <f>SUM(L38:L39)</f>
        <v>0</v>
      </c>
      <c r="M36" s="1591">
        <f>SUM(M38:M39)</f>
        <v>0</v>
      </c>
      <c r="N36" s="1589">
        <f>SUM(N37:N39)</f>
        <v>3938.9027668000003</v>
      </c>
      <c r="O36" s="1607">
        <f>N36-K36</f>
        <v>5.0010800000000017</v>
      </c>
    </row>
    <row r="37" spans="1:18" hidden="1">
      <c r="A37" s="430">
        <v>1</v>
      </c>
      <c r="B37" s="371" t="s">
        <v>1834</v>
      </c>
      <c r="C37" s="733">
        <f>E37/D37</f>
        <v>7660.9936498984898</v>
      </c>
      <c r="D37" s="1653">
        <f>$D$24+$D$38+$D$39+$D$32+$D$35+$G$42-$D$33</f>
        <v>2.86</v>
      </c>
      <c r="E37" s="1441">
        <f>$E$24+$E$38+$E$39+$E$32+$E$35+$E$42-$E$33</f>
        <v>21910.441838709681</v>
      </c>
      <c r="F37" s="723"/>
      <c r="G37" s="724"/>
      <c r="H37" s="1592">
        <f>K37/E37*1000</f>
        <v>0</v>
      </c>
      <c r="I37" s="1564">
        <f>$D$37*$F$37*12/1000</f>
        <v>0</v>
      </c>
      <c r="J37" s="1565">
        <f>$E$37*$G$37/1000</f>
        <v>0</v>
      </c>
      <c r="K37" s="1566">
        <f>I37+J37</f>
        <v>0</v>
      </c>
      <c r="L37" s="1567"/>
      <c r="M37" s="1565"/>
      <c r="N37" s="1566">
        <f>E37*H37/1000</f>
        <v>0</v>
      </c>
    </row>
    <row r="38" spans="1:18" ht="16.2">
      <c r="A38" s="430">
        <v>1</v>
      </c>
      <c r="B38" s="371" t="s">
        <v>1846</v>
      </c>
      <c r="C38" s="733">
        <f>E38/D38</f>
        <v>8642.2018348623842</v>
      </c>
      <c r="D38" s="1575">
        <f>'2012'!D38</f>
        <v>1.0900000000000001</v>
      </c>
      <c r="E38" s="713">
        <f>'1п-е 2012'!E38+'2п-е 2012'!E38</f>
        <v>9420</v>
      </c>
      <c r="F38" s="416">
        <v>181738.41</v>
      </c>
      <c r="G38" s="417">
        <v>125.28</v>
      </c>
      <c r="H38" s="1573">
        <v>377.63014891719746</v>
      </c>
      <c r="I38" s="298">
        <f>'1п-е 2012'!I38+'2п-е 2012'!I38</f>
        <v>2377.1384028000002</v>
      </c>
      <c r="J38" s="298">
        <f>'1п-е 2012'!J38+'2п-е 2012'!J38</f>
        <v>1180.1376</v>
      </c>
      <c r="K38" s="1566">
        <f>I38+J38</f>
        <v>3557.2760028000002</v>
      </c>
      <c r="L38" s="1567"/>
      <c r="M38" s="1565"/>
      <c r="N38" s="710">
        <f>'1п-е 2012'!N38+'2п-е 2012'!N38</f>
        <v>3557.2760028000002</v>
      </c>
    </row>
    <row r="39" spans="1:18" ht="32.25" customHeight="1" thickBot="1">
      <c r="A39" s="431">
        <v>2</v>
      </c>
      <c r="B39" s="1543" t="s">
        <v>1843</v>
      </c>
      <c r="C39" s="734">
        <f>E39/D39</f>
        <v>6740</v>
      </c>
      <c r="D39" s="1648">
        <f>'2012'!D39</f>
        <v>0.1</v>
      </c>
      <c r="E39" s="714">
        <f>'1п-е 2012'!E39+'2п-е 2012'!E39</f>
        <v>674</v>
      </c>
      <c r="F39" s="502">
        <v>208351.27</v>
      </c>
      <c r="G39" s="503">
        <v>187.84</v>
      </c>
      <c r="H39" s="1572">
        <v>566.21181602373883</v>
      </c>
      <c r="I39" s="422">
        <f>'1п-е 2012'!I39+'2п-е 2012'!I39</f>
        <v>250.021524</v>
      </c>
      <c r="J39" s="423">
        <f>'1п-е 2012'!J39+'2п-е 2012'!J39</f>
        <v>126.60416000000001</v>
      </c>
      <c r="K39" s="1570">
        <f>I39+J39</f>
        <v>376.62568399999998</v>
      </c>
      <c r="L39" s="731"/>
      <c r="M39" s="732"/>
      <c r="N39" s="1610">
        <f>'1п-е 2012'!N39+'2п-е 2012'!N39</f>
        <v>381.62676399999998</v>
      </c>
    </row>
    <row r="40" spans="1:18" hidden="1">
      <c r="F40" s="172"/>
      <c r="G40" s="172"/>
      <c r="H40" s="172"/>
      <c r="L40" s="26"/>
      <c r="M40" s="26"/>
      <c r="N40" s="26"/>
    </row>
    <row r="41" spans="1:18">
      <c r="B41" s="99" t="s">
        <v>851</v>
      </c>
      <c r="C41" s="99"/>
      <c r="L41" s="26"/>
      <c r="M41" s="26"/>
      <c r="N41" s="26"/>
    </row>
    <row r="42" spans="1:18">
      <c r="D42" s="99" t="s">
        <v>1805</v>
      </c>
      <c r="E42" s="999">
        <f>(E24+E32+E35+E38+E39)/(1-7/100)*7/100</f>
        <v>1566.0858387096775</v>
      </c>
      <c r="F42" s="26" t="s">
        <v>936</v>
      </c>
      <c r="G42" s="26">
        <v>0.21</v>
      </c>
      <c r="H42" s="1641">
        <f>E42/(E34+E33)</f>
        <v>6.9999999999999993E-2</v>
      </c>
      <c r="L42" s="26"/>
      <c r="M42" s="26"/>
      <c r="N42" s="26"/>
    </row>
    <row r="43" spans="1:18">
      <c r="D43" s="99" t="s">
        <v>937</v>
      </c>
      <c r="E43" s="1640">
        <f>2216.76/1566.09*1000</f>
        <v>1415.4742064632301</v>
      </c>
      <c r="F43" s="26" t="s">
        <v>938</v>
      </c>
      <c r="L43" s="26"/>
      <c r="M43" s="26"/>
      <c r="N43" s="26"/>
    </row>
    <row r="44" spans="1:18">
      <c r="D44" s="99"/>
      <c r="E44" s="432"/>
      <c r="P44" s="1632"/>
    </row>
    <row r="45" spans="1:18" ht="12.75" customHeight="1">
      <c r="B45" s="10" t="s">
        <v>1842</v>
      </c>
      <c r="C45" s="10"/>
      <c r="D45" s="10"/>
      <c r="E45" s="10"/>
      <c r="F45" s="10"/>
      <c r="G45" s="206"/>
      <c r="H45" s="207"/>
      <c r="P45" s="183"/>
    </row>
    <row r="46" spans="1:18">
      <c r="B46" s="4209" t="s">
        <v>836</v>
      </c>
      <c r="C46" s="12"/>
      <c r="D46" s="12"/>
      <c r="E46" s="4395" t="s">
        <v>837</v>
      </c>
      <c r="F46" s="39" t="s">
        <v>838</v>
      </c>
      <c r="G46" s="4209" t="s">
        <v>839</v>
      </c>
      <c r="H46" s="10"/>
      <c r="P46" s="1632"/>
    </row>
    <row r="47" spans="1:18" ht="66.599999999999994">
      <c r="B47" s="4216"/>
      <c r="C47" s="21"/>
      <c r="D47" s="21"/>
      <c r="E47" s="4396"/>
      <c r="F47" s="39" t="s">
        <v>840</v>
      </c>
      <c r="G47" s="4210"/>
      <c r="H47" s="10"/>
      <c r="P47" s="1634"/>
      <c r="Q47" s="172"/>
      <c r="R47" s="172"/>
    </row>
    <row r="48" spans="1:18" ht="16.8">
      <c r="B48" s="4216"/>
      <c r="C48" s="21"/>
      <c r="D48" s="21"/>
      <c r="E48" s="176" t="s">
        <v>841</v>
      </c>
      <c r="F48" s="176" t="s">
        <v>842</v>
      </c>
      <c r="G48" s="17"/>
      <c r="H48" s="207" t="s">
        <v>835</v>
      </c>
      <c r="P48" s="1634"/>
      <c r="Q48" s="1624"/>
      <c r="R48" s="1624"/>
    </row>
    <row r="49" spans="2:18" ht="15.75" customHeight="1">
      <c r="B49" s="4210"/>
      <c r="C49" s="14"/>
      <c r="D49" s="14"/>
      <c r="E49" s="17" t="s">
        <v>291</v>
      </c>
      <c r="F49" s="17" t="s">
        <v>843</v>
      </c>
      <c r="G49" s="17" t="s">
        <v>843</v>
      </c>
      <c r="H49" s="206"/>
      <c r="P49" s="1634"/>
      <c r="Q49" s="172"/>
      <c r="R49" s="172"/>
    </row>
    <row r="50" spans="2:18">
      <c r="B50" s="17" t="s">
        <v>697</v>
      </c>
      <c r="C50" s="690"/>
      <c r="D50" s="690"/>
      <c r="E50" s="313">
        <f>'1 И 2 ПОЛУГОДИЕ 2012'!B64</f>
        <v>397387.35</v>
      </c>
      <c r="F50" s="313">
        <f>'1 И 2 ПОЛУГОДИЕ 2012'!D64</f>
        <v>158.29</v>
      </c>
      <c r="G50" s="313">
        <f>'1 И 2 ПОЛУГОДИЕ 2012'!F64</f>
        <v>690.41</v>
      </c>
      <c r="H50" s="692">
        <f>(E50*12/(G50-F50))</f>
        <v>8961.6030218747637</v>
      </c>
      <c r="P50" s="183"/>
    </row>
    <row r="51" spans="2:18">
      <c r="B51" s="17" t="s">
        <v>676</v>
      </c>
      <c r="C51" s="17"/>
      <c r="D51" s="1466"/>
      <c r="E51" s="313">
        <f>'1 И 2 ПОЛУГОДИЕ 2012'!B65</f>
        <v>740597.33</v>
      </c>
      <c r="F51" s="313">
        <f>'1 И 2 ПОЛУГОДИЕ 2012'!D65</f>
        <v>168.14</v>
      </c>
      <c r="G51" s="313">
        <f>'1 И 2 ПОЛУГОДИЕ 2012'!F65</f>
        <v>1174.03</v>
      </c>
      <c r="H51" s="206">
        <f>(E51*12/(G51-F51))</f>
        <v>8835.1290498961116</v>
      </c>
      <c r="P51" s="183"/>
    </row>
    <row r="52" spans="2:18" ht="12.75" customHeight="1">
      <c r="B52" s="39" t="s">
        <v>847</v>
      </c>
      <c r="C52" s="39"/>
      <c r="D52" s="1528"/>
      <c r="E52" s="313">
        <f>'1 И 2 ПОЛУГОДИЕ 2012'!B66</f>
        <v>1021368.45</v>
      </c>
      <c r="F52" s="313">
        <f>'1 И 2 ПОЛУГОДИЕ 2012'!D66</f>
        <v>432.48</v>
      </c>
      <c r="G52" s="313">
        <f>'1 И 2 ПОЛУГОДИЕ 2012'!F66</f>
        <v>1817.25</v>
      </c>
      <c r="H52" s="206">
        <f>(E52*12/(G52-F52))</f>
        <v>8850.8715526766173</v>
      </c>
      <c r="P52" s="183"/>
    </row>
    <row r="53" spans="2:18" ht="12.75" customHeight="1">
      <c r="B53" s="17" t="s">
        <v>681</v>
      </c>
      <c r="C53" s="690"/>
      <c r="D53" s="690"/>
      <c r="E53" s="313">
        <f>'1 И 2 ПОЛУГОДИЕ 2012'!B67</f>
        <v>1766107.62</v>
      </c>
      <c r="F53" s="313">
        <f>'1 И 2 ПОЛУГОДИЕ 2012'!D67</f>
        <v>495.34</v>
      </c>
      <c r="G53" s="313">
        <f>'1 И 2 ПОЛУГОДИЕ 2012'!F67</f>
        <v>2688.41</v>
      </c>
      <c r="H53" s="692">
        <f>(E53*12/(G53-F53))</f>
        <v>9663.75511953563</v>
      </c>
      <c r="P53" s="183"/>
    </row>
    <row r="54" spans="2:18" ht="12.75" customHeight="1">
      <c r="B54" s="465" t="s">
        <v>962</v>
      </c>
      <c r="C54" s="465"/>
      <c r="D54" s="1529"/>
      <c r="E54" s="313"/>
      <c r="F54" s="313"/>
      <c r="G54" s="313">
        <f>'1 И 2 ПОЛУГОДИЕ 2012'!F68</f>
        <v>422.2</v>
      </c>
      <c r="H54" s="320">
        <f>(E54*12/(G54-F54))</f>
        <v>0</v>
      </c>
      <c r="P54" s="183"/>
    </row>
    <row r="55" spans="2:18">
      <c r="B55" s="106"/>
      <c r="C55" s="106"/>
      <c r="D55" s="106"/>
      <c r="E55" s="106"/>
      <c r="F55" s="106"/>
      <c r="G55" s="106"/>
      <c r="H55" s="106"/>
      <c r="P55" s="80"/>
    </row>
    <row r="56" spans="2:18">
      <c r="K56" s="1534" t="s">
        <v>1862</v>
      </c>
      <c r="L56" s="1247"/>
      <c r="M56" s="1247"/>
      <c r="N56" s="1247"/>
      <c r="O56" s="1247"/>
    </row>
    <row r="57" spans="2:18">
      <c r="K57" s="1623" t="s">
        <v>1863</v>
      </c>
      <c r="L57" s="1623"/>
      <c r="M57" s="1623"/>
      <c r="N57" s="1623"/>
    </row>
    <row r="58" spans="2:18">
      <c r="K58" s="1623" t="s">
        <v>1867</v>
      </c>
      <c r="L58" s="1623"/>
      <c r="M58" s="1623"/>
      <c r="N58" s="1623"/>
      <c r="O58" s="1632"/>
    </row>
    <row r="59" spans="2:18">
      <c r="K59" s="1625" t="s">
        <v>1860</v>
      </c>
      <c r="L59" s="1626" t="s">
        <v>1858</v>
      </c>
      <c r="M59" s="1627"/>
      <c r="N59" s="1628" t="s">
        <v>1859</v>
      </c>
      <c r="O59" s="183"/>
    </row>
    <row r="60" spans="2:18">
      <c r="K60" s="1629" t="s">
        <v>1857</v>
      </c>
      <c r="L60" s="1630">
        <v>3557.2760028000002</v>
      </c>
      <c r="M60" s="1629"/>
      <c r="N60" s="1630">
        <v>8082.2</v>
      </c>
      <c r="O60" s="183"/>
    </row>
    <row r="61" spans="2:18">
      <c r="K61" s="1629" t="s">
        <v>959</v>
      </c>
      <c r="L61" s="1630">
        <v>3557.2760028000002</v>
      </c>
      <c r="M61" s="1629"/>
      <c r="N61" s="1630">
        <v>7599.1</v>
      </c>
      <c r="O61" s="1633"/>
    </row>
    <row r="62" spans="2:18">
      <c r="K62" s="1629" t="s">
        <v>1861</v>
      </c>
      <c r="L62" s="1631">
        <f>L61-L60</f>
        <v>0</v>
      </c>
      <c r="M62" s="1629"/>
      <c r="N62" s="1630">
        <f>N61-N60</f>
        <v>-483.09999999999945</v>
      </c>
      <c r="O62" s="1633"/>
    </row>
    <row r="63" spans="2:18">
      <c r="K63" s="1635"/>
      <c r="L63" s="1637" t="s">
        <v>1866</v>
      </c>
      <c r="M63" s="1638"/>
      <c r="N63" s="1636"/>
      <c r="O63" s="1633"/>
    </row>
    <row r="64" spans="2:18">
      <c r="K64" s="1623" t="s">
        <v>1864</v>
      </c>
      <c r="L64" s="1623"/>
      <c r="M64" s="1623"/>
      <c r="N64" s="1623"/>
      <c r="O64" s="183"/>
    </row>
    <row r="65" spans="11:15">
      <c r="K65" s="1623" t="s">
        <v>1868</v>
      </c>
      <c r="L65" s="1623"/>
      <c r="M65" s="1623"/>
      <c r="N65" s="1623"/>
      <c r="O65" s="183"/>
    </row>
    <row r="66" spans="11:15">
      <c r="K66" s="1625" t="s">
        <v>1860</v>
      </c>
      <c r="L66" s="1626" t="s">
        <v>1865</v>
      </c>
      <c r="M66" s="1627"/>
      <c r="N66" s="1628" t="s">
        <v>1874</v>
      </c>
      <c r="O66" s="183"/>
    </row>
    <row r="67" spans="11:15">
      <c r="K67" s="1629" t="s">
        <v>1857</v>
      </c>
      <c r="L67" s="1630">
        <v>11208.9</v>
      </c>
      <c r="M67" s="1629"/>
      <c r="N67" s="1630">
        <v>16639.8</v>
      </c>
      <c r="O67" s="183"/>
    </row>
    <row r="68" spans="11:15">
      <c r="K68" s="1629" t="s">
        <v>959</v>
      </c>
      <c r="L68" s="1630">
        <v>11211.3</v>
      </c>
      <c r="M68" s="1629"/>
      <c r="N68" s="1630">
        <v>16468.099999999999</v>
      </c>
      <c r="O68" s="183"/>
    </row>
    <row r="69" spans="11:15">
      <c r="K69" s="1629" t="s">
        <v>1861</v>
      </c>
      <c r="L69" s="1631">
        <f>L68-L67</f>
        <v>2.3999999999996362</v>
      </c>
      <c r="M69" s="1629"/>
      <c r="N69" s="1630">
        <f>N68-N67</f>
        <v>-171.70000000000073</v>
      </c>
      <c r="O69" s="80"/>
    </row>
    <row r="70" spans="11:15">
      <c r="K70" s="1635"/>
      <c r="L70" s="1637" t="s">
        <v>1866</v>
      </c>
      <c r="M70" s="1638"/>
      <c r="N70" s="1636"/>
    </row>
  </sheetData>
  <mergeCells count="14">
    <mergeCell ref="B6:B9"/>
    <mergeCell ref="D6:D7"/>
    <mergeCell ref="E6:E7"/>
    <mergeCell ref="F6:F7"/>
    <mergeCell ref="A15:A17"/>
    <mergeCell ref="B15:B17"/>
    <mergeCell ref="D15:E16"/>
    <mergeCell ref="G46:G47"/>
    <mergeCell ref="A22:A23"/>
    <mergeCell ref="B22:E23"/>
    <mergeCell ref="A30:A31"/>
    <mergeCell ref="B30:B31"/>
    <mergeCell ref="B46:B49"/>
    <mergeCell ref="E46:E47"/>
  </mergeCells>
  <printOptions horizontalCentered="1"/>
  <pageMargins left="0.39370078740157483" right="0.39370078740157483" top="0.19685039370078741" bottom="3.937007874015748E-2" header="0.11811023622047245" footer="3.937007874015748E-2"/>
  <pageSetup paperSize="9" scale="61" orientation="landscape" r:id="rId1"/>
  <headerFooter alignWithMargins="0">
    <oddFooter>&amp;L&amp;8________________________________________________________________________
&amp;F&amp;A</oddFooter>
  </headerFooter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9"/>
  <dimension ref="A1:L62"/>
  <sheetViews>
    <sheetView zoomScaleSheetLayoutView="75" workbookViewId="0">
      <selection activeCell="K8" sqref="K8"/>
    </sheetView>
  </sheetViews>
  <sheetFormatPr defaultRowHeight="13.2"/>
  <cols>
    <col min="1" max="1" width="17.88671875" style="527" customWidth="1"/>
    <col min="2" max="2" width="52.5546875" style="527" customWidth="1"/>
    <col min="3" max="3" width="12.5546875" style="527" customWidth="1"/>
    <col min="4" max="4" width="20.44140625" style="527" customWidth="1"/>
    <col min="5" max="5" width="19.44140625" style="527" customWidth="1"/>
    <col min="6" max="6" width="9.109375" style="1656"/>
  </cols>
  <sheetData>
    <row r="1" spans="1:11" ht="24.75" customHeight="1">
      <c r="E1" s="920" t="s">
        <v>1319</v>
      </c>
    </row>
    <row r="2" spans="1:11" ht="15.75" customHeight="1">
      <c r="A2" s="4124" t="s">
        <v>1262</v>
      </c>
      <c r="B2" s="4124"/>
      <c r="C2" s="4124"/>
      <c r="D2" s="4124"/>
      <c r="E2" s="4124"/>
    </row>
    <row r="3" spans="1:11" ht="7.5" customHeight="1">
      <c r="A3" s="4124"/>
      <c r="B3" s="4124"/>
      <c r="C3" s="4124"/>
      <c r="D3" s="4124"/>
      <c r="E3" s="4124"/>
    </row>
    <row r="4" spans="1:11" ht="12" customHeight="1">
      <c r="A4" s="4124" t="s">
        <v>971</v>
      </c>
      <c r="B4" s="4124"/>
      <c r="C4" s="4124"/>
      <c r="D4" s="4124"/>
      <c r="E4" s="4124"/>
    </row>
    <row r="5" spans="1:11" ht="21" customHeight="1">
      <c r="A5" s="921"/>
      <c r="B5" s="921"/>
      <c r="C5" s="921"/>
      <c r="D5" s="916"/>
      <c r="E5" s="1009" t="s">
        <v>1401</v>
      </c>
      <c r="H5">
        <f>D8/0.8*0.2</f>
        <v>501.70000000000005</v>
      </c>
      <c r="J5" s="859">
        <f>J7-E8</f>
        <v>-10651.80882644343</v>
      </c>
    </row>
    <row r="6" spans="1:11" ht="111.75" customHeight="1">
      <c r="A6" s="922" t="s">
        <v>1320</v>
      </c>
      <c r="B6" s="922" t="s">
        <v>1309</v>
      </c>
      <c r="C6" s="922" t="s">
        <v>1310</v>
      </c>
      <c r="D6" s="922" t="s">
        <v>1321</v>
      </c>
      <c r="E6" s="922" t="s">
        <v>1322</v>
      </c>
      <c r="F6" s="1662"/>
      <c r="J6" t="s">
        <v>1624</v>
      </c>
    </row>
    <row r="7" spans="1:11" ht="15" customHeight="1">
      <c r="A7" s="923">
        <v>1</v>
      </c>
      <c r="B7" s="923">
        <v>2</v>
      </c>
      <c r="C7" s="923">
        <v>3</v>
      </c>
      <c r="D7" s="923">
        <v>4</v>
      </c>
      <c r="E7" s="923">
        <v>5</v>
      </c>
      <c r="F7" s="1663"/>
      <c r="G7" s="852" t="s">
        <v>1323</v>
      </c>
      <c r="H7" s="853" t="s">
        <v>1324</v>
      </c>
      <c r="I7">
        <v>2006.8000000000002</v>
      </c>
      <c r="J7" s="505">
        <v>7572.833019710979</v>
      </c>
      <c r="K7" t="s">
        <v>1625</v>
      </c>
    </row>
    <row r="8" spans="1:11" ht="63" customHeight="1">
      <c r="A8" s="924">
        <v>1</v>
      </c>
      <c r="B8" s="925" t="s">
        <v>1325</v>
      </c>
      <c r="C8" s="926" t="s">
        <v>238</v>
      </c>
      <c r="D8" s="927">
        <f>D9+D33</f>
        <v>2006.8000000000002</v>
      </c>
      <c r="E8" s="927">
        <f>E9+E33</f>
        <v>18224.641846154409</v>
      </c>
      <c r="F8" s="1666">
        <f>F9+F33</f>
        <v>2758.5190399999997</v>
      </c>
      <c r="G8" s="852">
        <f>1911.2+95.6</f>
        <v>2006.8</v>
      </c>
      <c r="H8" s="1355">
        <f>'П 1.24'!F21</f>
        <v>32876.366405051456</v>
      </c>
      <c r="I8" s="853" t="s">
        <v>1326</v>
      </c>
      <c r="K8" s="505">
        <f>H8-E8</f>
        <v>14651.724558897047</v>
      </c>
    </row>
    <row r="9" spans="1:11" ht="21.75" customHeight="1">
      <c r="A9" s="925" t="s">
        <v>698</v>
      </c>
      <c r="B9" s="925" t="s">
        <v>1327</v>
      </c>
      <c r="C9" s="928" t="s">
        <v>238</v>
      </c>
      <c r="D9" s="927">
        <f>D10+D13+D14+D28</f>
        <v>1575.74</v>
      </c>
      <c r="E9" s="927">
        <f>E10+E13+E14+E28</f>
        <v>13471.856211916911</v>
      </c>
      <c r="F9" s="1659">
        <f>F10+F13+F14+F28</f>
        <v>1658.6850399999998</v>
      </c>
    </row>
    <row r="10" spans="1:11" ht="21.75" customHeight="1">
      <c r="A10" s="929" t="s">
        <v>260</v>
      </c>
      <c r="B10" s="930" t="s">
        <v>1328</v>
      </c>
      <c r="C10" s="926" t="s">
        <v>238</v>
      </c>
      <c r="D10" s="927">
        <f>SUM(D11:D12)</f>
        <v>273</v>
      </c>
      <c r="E10" s="927">
        <f>SUM(E11:E12)</f>
        <v>353.66043846090884</v>
      </c>
      <c r="F10" s="1659">
        <f>SUM(F11:F12)</f>
        <v>285.55799999999999</v>
      </c>
      <c r="H10" s="1299"/>
      <c r="I10" s="1299" t="s">
        <v>1624</v>
      </c>
      <c r="J10" s="1299"/>
      <c r="K10" s="1299"/>
    </row>
    <row r="11" spans="1:11">
      <c r="A11" s="931" t="s">
        <v>1329</v>
      </c>
      <c r="B11" s="854" t="s">
        <v>1330</v>
      </c>
      <c r="C11" s="855" t="s">
        <v>238</v>
      </c>
      <c r="D11" s="918"/>
      <c r="E11" s="918">
        <f>'П 1.15.'!D9</f>
        <v>61.360438460908846</v>
      </c>
      <c r="F11" s="1661">
        <f>273*1.046</f>
        <v>285.55799999999999</v>
      </c>
      <c r="H11" s="1299"/>
      <c r="I11" s="1300">
        <v>7572.833019710979</v>
      </c>
      <c r="J11" s="1305" t="s">
        <v>1678</v>
      </c>
      <c r="K11" s="1299"/>
    </row>
    <row r="12" spans="1:11" ht="34.200000000000003">
      <c r="A12" s="931" t="s">
        <v>1331</v>
      </c>
      <c r="B12" s="854" t="s">
        <v>1332</v>
      </c>
      <c r="C12" s="855" t="s">
        <v>238</v>
      </c>
      <c r="D12" s="918">
        <v>273</v>
      </c>
      <c r="E12" s="918">
        <f>ROUND(('П 1.15.'!D11-'П 1.15.'!D12),1)</f>
        <v>292.3</v>
      </c>
      <c r="F12" s="1660"/>
      <c r="H12" s="1299"/>
      <c r="I12" s="1303" t="s">
        <v>1682</v>
      </c>
      <c r="J12" s="1304" t="s">
        <v>1683</v>
      </c>
      <c r="K12" s="1305"/>
    </row>
    <row r="13" spans="1:11" ht="17.25" customHeight="1">
      <c r="A13" s="929" t="s">
        <v>262</v>
      </c>
      <c r="B13" s="930" t="s">
        <v>1333</v>
      </c>
      <c r="C13" s="926" t="s">
        <v>238</v>
      </c>
      <c r="D13" s="927">
        <v>1196.5</v>
      </c>
      <c r="E13" s="927">
        <f>'П 1.15.'!D17</f>
        <v>12877.195773456002</v>
      </c>
      <c r="F13" s="1665">
        <f>1252+10</f>
        <v>1262</v>
      </c>
      <c r="H13" s="1299"/>
      <c r="I13" s="1301" t="s">
        <v>1680</v>
      </c>
      <c r="J13" s="1302">
        <v>22060</v>
      </c>
      <c r="K13" s="1299" t="s">
        <v>1681</v>
      </c>
    </row>
    <row r="14" spans="1:11">
      <c r="A14" s="929" t="s">
        <v>1190</v>
      </c>
      <c r="B14" s="930" t="s">
        <v>1334</v>
      </c>
      <c r="C14" s="926" t="s">
        <v>238</v>
      </c>
      <c r="D14" s="927">
        <f>SUM(D15:D16,D23:D27)</f>
        <v>50</v>
      </c>
      <c r="E14" s="927">
        <f>SUM(E15:E16,E23:E27)</f>
        <v>134</v>
      </c>
      <c r="F14" s="1659">
        <f>SUM(F15:F16,F23:F27)</f>
        <v>52.300000000000004</v>
      </c>
      <c r="H14" s="1299"/>
      <c r="I14" s="1301" t="s">
        <v>1679</v>
      </c>
      <c r="J14" s="1302">
        <f>'П1.30 - 07.06.11г.'!C22</f>
        <v>20123</v>
      </c>
      <c r="K14" s="1299" t="s">
        <v>1681</v>
      </c>
    </row>
    <row r="15" spans="1:11">
      <c r="A15" s="931" t="s">
        <v>1335</v>
      </c>
      <c r="B15" s="854" t="s">
        <v>1336</v>
      </c>
      <c r="C15" s="855" t="s">
        <v>238</v>
      </c>
      <c r="D15" s="918"/>
      <c r="E15" s="918"/>
      <c r="F15" s="1660"/>
      <c r="G15" t="s">
        <v>1337</v>
      </c>
    </row>
    <row r="16" spans="1:11">
      <c r="A16" s="931" t="s">
        <v>1338</v>
      </c>
      <c r="B16" s="854" t="s">
        <v>1339</v>
      </c>
      <c r="C16" s="855" t="s">
        <v>238</v>
      </c>
      <c r="D16" s="935">
        <f>SUM(D17:D22)</f>
        <v>0</v>
      </c>
      <c r="E16" s="935">
        <f>SUM(E17:E22)</f>
        <v>0</v>
      </c>
      <c r="F16" s="1660"/>
      <c r="G16" s="295"/>
      <c r="H16" s="295"/>
      <c r="I16" s="295"/>
      <c r="J16" s="295"/>
    </row>
    <row r="17" spans="1:10">
      <c r="A17" s="932" t="s">
        <v>1340</v>
      </c>
      <c r="B17" s="933" t="s">
        <v>1341</v>
      </c>
      <c r="C17" s="855" t="s">
        <v>238</v>
      </c>
      <c r="D17" s="918"/>
      <c r="E17" s="918"/>
      <c r="F17" s="1660"/>
      <c r="G17" s="295"/>
      <c r="H17" s="856"/>
      <c r="I17" s="295"/>
      <c r="J17" s="295"/>
    </row>
    <row r="18" spans="1:10" ht="22.8">
      <c r="A18" s="932" t="s">
        <v>1342</v>
      </c>
      <c r="B18" s="933" t="s">
        <v>1343</v>
      </c>
      <c r="C18" s="855" t="s">
        <v>238</v>
      </c>
      <c r="D18" s="919"/>
      <c r="E18" s="919"/>
      <c r="F18" s="1660"/>
      <c r="G18" s="295"/>
      <c r="H18" s="856"/>
      <c r="I18" s="295"/>
      <c r="J18" s="295"/>
    </row>
    <row r="19" spans="1:10">
      <c r="A19" s="932" t="s">
        <v>1344</v>
      </c>
      <c r="B19" s="933" t="s">
        <v>1345</v>
      </c>
      <c r="C19" s="855" t="s">
        <v>238</v>
      </c>
      <c r="D19" s="919"/>
      <c r="E19" s="919"/>
      <c r="F19" s="1660"/>
    </row>
    <row r="20" spans="1:10">
      <c r="A20" s="932" t="s">
        <v>1346</v>
      </c>
      <c r="B20" s="933" t="s">
        <v>1347</v>
      </c>
      <c r="C20" s="855" t="s">
        <v>238</v>
      </c>
      <c r="D20" s="919"/>
      <c r="E20" s="919"/>
      <c r="F20" s="1660"/>
    </row>
    <row r="21" spans="1:10">
      <c r="A21" s="932" t="s">
        <v>1348</v>
      </c>
      <c r="B21" s="933" t="s">
        <v>1349</v>
      </c>
      <c r="C21" s="855" t="s">
        <v>238</v>
      </c>
      <c r="D21" s="919"/>
      <c r="E21" s="919"/>
      <c r="F21" s="1660"/>
    </row>
    <row r="22" spans="1:10">
      <c r="A22" s="932" t="s">
        <v>1350</v>
      </c>
      <c r="B22" s="934" t="s">
        <v>1351</v>
      </c>
      <c r="C22" s="855" t="s">
        <v>238</v>
      </c>
      <c r="D22" s="919"/>
      <c r="E22" s="919"/>
      <c r="F22" s="1660"/>
      <c r="G22" t="s">
        <v>1352</v>
      </c>
    </row>
    <row r="23" spans="1:10">
      <c r="A23" s="931" t="s">
        <v>1353</v>
      </c>
      <c r="B23" s="854" t="s">
        <v>1354</v>
      </c>
      <c r="C23" s="855" t="s">
        <v>238</v>
      </c>
      <c r="D23" s="919"/>
      <c r="E23" s="919"/>
      <c r="F23" s="1660"/>
    </row>
    <row r="24" spans="1:10">
      <c r="A24" s="931" t="s">
        <v>1355</v>
      </c>
      <c r="B24" s="854" t="s">
        <v>1356</v>
      </c>
      <c r="C24" s="855" t="s">
        <v>238</v>
      </c>
      <c r="D24" s="919"/>
      <c r="E24" s="919"/>
      <c r="F24" s="1660"/>
    </row>
    <row r="25" spans="1:10" ht="22.8">
      <c r="A25" s="931" t="s">
        <v>1357</v>
      </c>
      <c r="B25" s="854" t="s">
        <v>1358</v>
      </c>
      <c r="C25" s="855" t="s">
        <v>238</v>
      </c>
      <c r="D25" s="935"/>
      <c r="E25" s="919">
        <f>ROUND(('РСЭО 2012г.'!E33+'РСЭО 2012г.'!E34),1)</f>
        <v>82.3</v>
      </c>
      <c r="F25" s="1660"/>
      <c r="G25" t="s">
        <v>1359</v>
      </c>
    </row>
    <row r="26" spans="1:10">
      <c r="A26" s="931" t="s">
        <v>1360</v>
      </c>
      <c r="B26" s="854" t="s">
        <v>1361</v>
      </c>
      <c r="C26" s="855" t="s">
        <v>238</v>
      </c>
      <c r="D26" s="935"/>
      <c r="E26" s="918"/>
      <c r="F26" s="1660"/>
    </row>
    <row r="27" spans="1:10">
      <c r="A27" s="931" t="s">
        <v>1362</v>
      </c>
      <c r="B27" s="854" t="s">
        <v>1714</v>
      </c>
      <c r="C27" s="855" t="s">
        <v>238</v>
      </c>
      <c r="D27" s="919">
        <v>50</v>
      </c>
      <c r="E27" s="919">
        <f>ROUND(('ОХР '!H37),1)</f>
        <v>51.7</v>
      </c>
      <c r="F27" s="1660">
        <f>50*1.046</f>
        <v>52.300000000000004</v>
      </c>
      <c r="G27" t="s">
        <v>1359</v>
      </c>
    </row>
    <row r="28" spans="1:10" ht="19.5" customHeight="1">
      <c r="A28" s="929" t="s">
        <v>1191</v>
      </c>
      <c r="B28" s="936" t="s">
        <v>1363</v>
      </c>
      <c r="C28" s="926" t="s">
        <v>238</v>
      </c>
      <c r="D28" s="919">
        <f>SUM(D29:D31)</f>
        <v>56.24</v>
      </c>
      <c r="E28" s="937">
        <f>SUM(E29:E31)</f>
        <v>107</v>
      </c>
      <c r="F28" s="1664">
        <f>SUM(F29:F31)</f>
        <v>58.827040000000004</v>
      </c>
    </row>
    <row r="29" spans="1:10" ht="18.75" customHeight="1">
      <c r="A29" s="931" t="s">
        <v>1364</v>
      </c>
      <c r="B29" s="854" t="s">
        <v>1365</v>
      </c>
      <c r="C29" s="855" t="s">
        <v>238</v>
      </c>
      <c r="D29" s="935">
        <v>0</v>
      </c>
      <c r="E29" s="935">
        <v>0</v>
      </c>
      <c r="F29" s="1660"/>
    </row>
    <row r="30" spans="1:10" ht="18.75" customHeight="1">
      <c r="A30" s="931" t="s">
        <v>1366</v>
      </c>
      <c r="B30" s="854" t="s">
        <v>1367</v>
      </c>
      <c r="C30" s="855" t="s">
        <v>238</v>
      </c>
      <c r="D30" s="857">
        <f>(95.6-25.3)*0.8</f>
        <v>56.24</v>
      </c>
      <c r="E30" s="857">
        <f>'П 1.21.3.'!E16+'П 1.21.3.'!E19</f>
        <v>107</v>
      </c>
      <c r="F30" s="1661">
        <f>D30*1.046</f>
        <v>58.827040000000004</v>
      </c>
    </row>
    <row r="31" spans="1:10" ht="18" customHeight="1">
      <c r="A31" s="931" t="s">
        <v>1368</v>
      </c>
      <c r="B31" s="854" t="s">
        <v>1369</v>
      </c>
      <c r="C31" s="855" t="s">
        <v>238</v>
      </c>
      <c r="D31" s="935">
        <v>0</v>
      </c>
      <c r="E31" s="935">
        <v>0</v>
      </c>
      <c r="F31" s="1660"/>
    </row>
    <row r="32" spans="1:10" ht="9.75" customHeight="1">
      <c r="A32" s="4124"/>
      <c r="B32" s="4124"/>
      <c r="C32" s="4124"/>
      <c r="D32" s="4124"/>
      <c r="E32" s="4124"/>
      <c r="F32" s="1660"/>
    </row>
    <row r="33" spans="1:10" ht="25.5" customHeight="1">
      <c r="A33" s="925" t="s">
        <v>699</v>
      </c>
      <c r="B33" s="925" t="s">
        <v>1370</v>
      </c>
      <c r="C33" s="925" t="s">
        <v>238</v>
      </c>
      <c r="D33" s="937">
        <f>SUM(D34:D38,D42:D47)</f>
        <v>431.06000000000006</v>
      </c>
      <c r="E33" s="937">
        <f>SUM(E34:E38,E42:E47)</f>
        <v>4752.7856342374998</v>
      </c>
      <c r="F33" s="1667">
        <f>SUM(F34:F38,F42:F47)</f>
        <v>1099.8339999999998</v>
      </c>
    </row>
    <row r="34" spans="1:10" ht="23.25" customHeight="1">
      <c r="A34" s="929" t="s">
        <v>1194</v>
      </c>
      <c r="B34" s="938" t="s">
        <v>1371</v>
      </c>
      <c r="C34" s="926" t="s">
        <v>238</v>
      </c>
      <c r="D34" s="935">
        <v>0</v>
      </c>
      <c r="E34" s="935">
        <v>0</v>
      </c>
      <c r="F34" s="1660"/>
    </row>
    <row r="35" spans="1:10" ht="19.5" customHeight="1">
      <c r="A35" s="929" t="s">
        <v>1195</v>
      </c>
      <c r="B35" s="938" t="s">
        <v>1372</v>
      </c>
      <c r="C35" s="926" t="s">
        <v>238</v>
      </c>
      <c r="D35" s="935">
        <v>0</v>
      </c>
      <c r="E35" s="935">
        <v>0</v>
      </c>
      <c r="F35" s="1660"/>
    </row>
    <row r="36" spans="1:10" ht="16.5" customHeight="1">
      <c r="A36" s="929" t="s">
        <v>1196</v>
      </c>
      <c r="B36" s="938" t="s">
        <v>653</v>
      </c>
      <c r="C36" s="926" t="s">
        <v>238</v>
      </c>
      <c r="D36" s="935">
        <v>0</v>
      </c>
      <c r="E36" s="935">
        <v>0</v>
      </c>
      <c r="F36" s="1660"/>
    </row>
    <row r="37" spans="1:10">
      <c r="A37" s="929" t="s">
        <v>1373</v>
      </c>
      <c r="B37" s="938" t="s">
        <v>1374</v>
      </c>
      <c r="C37" s="926" t="s">
        <v>238</v>
      </c>
      <c r="D37" s="935">
        <v>0</v>
      </c>
      <c r="E37" s="935">
        <v>0</v>
      </c>
      <c r="F37" s="1660"/>
    </row>
    <row r="38" spans="1:10">
      <c r="A38" s="929" t="s">
        <v>1375</v>
      </c>
      <c r="B38" s="939" t="s">
        <v>1376</v>
      </c>
      <c r="C38" s="926" t="s">
        <v>238</v>
      </c>
      <c r="D38" s="937">
        <f>SUM(D39:D41)</f>
        <v>17.889823885654664</v>
      </c>
      <c r="E38" s="937">
        <f>SUM(E39:E41)</f>
        <v>17.889823885654664</v>
      </c>
      <c r="F38" s="1664">
        <f>SUM(F39:F41)</f>
        <v>25.3</v>
      </c>
    </row>
    <row r="39" spans="1:10">
      <c r="A39" s="931" t="s">
        <v>1377</v>
      </c>
      <c r="B39" s="854" t="s">
        <v>1378</v>
      </c>
      <c r="C39" s="855" t="s">
        <v>238</v>
      </c>
      <c r="D39" s="857"/>
      <c r="E39" s="857"/>
      <c r="F39" s="1660"/>
    </row>
    <row r="40" spans="1:10">
      <c r="A40" s="931" t="s">
        <v>1379</v>
      </c>
      <c r="B40" s="854" t="s">
        <v>1380</v>
      </c>
      <c r="C40" s="855" t="s">
        <v>238</v>
      </c>
      <c r="D40" s="857">
        <f>E40</f>
        <v>17.889823885654664</v>
      </c>
      <c r="E40" s="857">
        <f>'П 1.21.3.'!E35</f>
        <v>17.889823885654664</v>
      </c>
      <c r="F40" s="1660">
        <v>25.3</v>
      </c>
    </row>
    <row r="41" spans="1:10">
      <c r="A41" s="931" t="s">
        <v>1381</v>
      </c>
      <c r="B41" s="854" t="s">
        <v>1382</v>
      </c>
      <c r="C41" s="855" t="s">
        <v>238</v>
      </c>
      <c r="D41" s="857"/>
      <c r="E41" s="857"/>
      <c r="F41" s="1660"/>
      <c r="G41" t="s">
        <v>1383</v>
      </c>
    </row>
    <row r="42" spans="1:10" ht="28.5" customHeight="1">
      <c r="A42" s="929" t="s">
        <v>1384</v>
      </c>
      <c r="B42" s="938" t="s">
        <v>1385</v>
      </c>
      <c r="C42" s="926" t="s">
        <v>238</v>
      </c>
      <c r="D42" s="857">
        <v>311.10000000000002</v>
      </c>
      <c r="E42" s="857">
        <f>E13*0.357</f>
        <v>4597.1588911237923</v>
      </c>
      <c r="F42" s="1661">
        <f>0.357*F13</f>
        <v>450.53399999999999</v>
      </c>
      <c r="H42" s="858">
        <f>D42/D13</f>
        <v>0.26000835770998748</v>
      </c>
      <c r="I42" s="858">
        <f>E42/E13</f>
        <v>0.35699999999999998</v>
      </c>
    </row>
    <row r="43" spans="1:10" ht="24.75" customHeight="1">
      <c r="A43" s="929" t="s">
        <v>1386</v>
      </c>
      <c r="B43" s="938" t="s">
        <v>1387</v>
      </c>
      <c r="C43" s="926" t="s">
        <v>238</v>
      </c>
      <c r="D43" s="857">
        <v>80.599999999999994</v>
      </c>
      <c r="E43" s="857">
        <f>'П 1.17'!D15</f>
        <v>110.98691922805301</v>
      </c>
      <c r="F43" s="1660">
        <v>80.599999999999994</v>
      </c>
    </row>
    <row r="44" spans="1:10" ht="30.75" customHeight="1">
      <c r="A44" s="929" t="s">
        <v>1388</v>
      </c>
      <c r="B44" s="938" t="s">
        <v>1389</v>
      </c>
      <c r="C44" s="926" t="s">
        <v>238</v>
      </c>
      <c r="D44" s="935"/>
      <c r="E44" s="935"/>
      <c r="F44" s="1660"/>
    </row>
    <row r="45" spans="1:10" ht="30" customHeight="1">
      <c r="A45" s="929" t="s">
        <v>1390</v>
      </c>
      <c r="B45" s="938" t="s">
        <v>1391</v>
      </c>
      <c r="C45" s="926" t="s">
        <v>238</v>
      </c>
      <c r="D45" s="935">
        <v>0</v>
      </c>
      <c r="E45" s="935">
        <v>0</v>
      </c>
      <c r="F45" s="1660"/>
      <c r="G45" t="s">
        <v>1392</v>
      </c>
    </row>
    <row r="46" spans="1:10" ht="20.25" customHeight="1">
      <c r="A46" s="929" t="s">
        <v>1393</v>
      </c>
      <c r="B46" s="938" t="s">
        <v>1394</v>
      </c>
      <c r="C46" s="926" t="s">
        <v>238</v>
      </c>
      <c r="D46" s="857">
        <f>95.6-D30-D40</f>
        <v>21.470176114345328</v>
      </c>
      <c r="E46" s="857">
        <f>'П 1.21.3.'!E30</f>
        <v>26.75</v>
      </c>
      <c r="F46" s="1660">
        <v>28.4</v>
      </c>
      <c r="I46" s="859">
        <f>D40+D46+D30</f>
        <v>95.6</v>
      </c>
      <c r="J46" s="859">
        <f>E40+E46+E30</f>
        <v>151.63982388565466</v>
      </c>
    </row>
    <row r="47" spans="1:10" ht="26.25" customHeight="1">
      <c r="A47" s="929" t="s">
        <v>1395</v>
      </c>
      <c r="B47" s="938" t="s">
        <v>1396</v>
      </c>
      <c r="C47" s="926" t="s">
        <v>238</v>
      </c>
      <c r="D47" s="935">
        <v>0</v>
      </c>
      <c r="E47" s="935">
        <v>0</v>
      </c>
      <c r="F47" s="1661">
        <v>515</v>
      </c>
      <c r="G47" s="859" t="s">
        <v>879</v>
      </c>
      <c r="H47" s="859"/>
    </row>
    <row r="48" spans="1:10" ht="10.5" customHeight="1">
      <c r="G48" s="859"/>
      <c r="H48" s="859"/>
    </row>
    <row r="49" spans="1:12" s="776" customFormat="1" ht="23.25" customHeight="1">
      <c r="A49" s="839" t="s">
        <v>1266</v>
      </c>
      <c r="B49" s="839"/>
      <c r="C49" s="834"/>
      <c r="D49" s="835"/>
      <c r="E49" s="835"/>
      <c r="F49" s="1657"/>
      <c r="G49" s="835"/>
      <c r="H49" s="838"/>
      <c r="I49" s="835"/>
      <c r="J49" s="835"/>
      <c r="K49" s="835"/>
      <c r="L49" s="835"/>
    </row>
    <row r="50" spans="1:12" s="776" customFormat="1" ht="15" customHeight="1">
      <c r="A50" s="839" t="s">
        <v>1304</v>
      </c>
      <c r="B50" s="840"/>
      <c r="C50" s="834"/>
      <c r="D50" s="835"/>
      <c r="E50" s="842" t="s">
        <v>1268</v>
      </c>
      <c r="F50" s="1658"/>
      <c r="G50" s="835"/>
      <c r="I50" s="835"/>
      <c r="J50" s="835"/>
      <c r="K50" s="835"/>
      <c r="L50" s="835"/>
    </row>
    <row r="51" spans="1:12" ht="22.5" customHeight="1">
      <c r="A51" s="940"/>
      <c r="B51" s="4124"/>
      <c r="C51" s="4124"/>
      <c r="D51" s="4124"/>
      <c r="E51" s="4124"/>
    </row>
    <row r="52" spans="1:12" hidden="1">
      <c r="A52" s="941"/>
      <c r="B52" s="942"/>
      <c r="C52" s="942"/>
      <c r="D52" s="942"/>
      <c r="E52" s="942"/>
    </row>
    <row r="53" spans="1:12" ht="33" customHeight="1">
      <c r="A53" s="941"/>
      <c r="B53" s="4124"/>
      <c r="C53" s="4124"/>
      <c r="D53" s="4124"/>
      <c r="E53" s="4124"/>
    </row>
    <row r="54" spans="1:12" ht="60.75" customHeight="1">
      <c r="B54" s="4124"/>
      <c r="C54" s="4124"/>
      <c r="D54" s="4124"/>
      <c r="E54" s="4124"/>
    </row>
    <row r="62" spans="1:12" ht="15.6">
      <c r="B62" s="921"/>
    </row>
  </sheetData>
  <mergeCells count="6">
    <mergeCell ref="B54:E54"/>
    <mergeCell ref="A2:E3"/>
    <mergeCell ref="A4:E4"/>
    <mergeCell ref="A32:E32"/>
    <mergeCell ref="B51:E51"/>
    <mergeCell ref="B53:E53"/>
  </mergeCells>
  <printOptions horizontalCentered="1"/>
  <pageMargins left="0.78740157480314965" right="0.39370078740157483" top="0.78740157480314965" bottom="0.19685039370078741" header="0.51181102362204722" footer="0.51181102362204722"/>
  <pageSetup paperSize="9" scale="75" orientation="portrait" r:id="rId1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0">
    <tabColor rgb="FFC00000"/>
  </sheetPr>
  <dimension ref="A1:S68"/>
  <sheetViews>
    <sheetView topLeftCell="D18" workbookViewId="0">
      <selection activeCell="K8" sqref="K8"/>
    </sheetView>
  </sheetViews>
  <sheetFormatPr defaultColWidth="9.109375" defaultRowHeight="15.6"/>
  <cols>
    <col min="1" max="1" width="6" style="26" customWidth="1"/>
    <col min="2" max="2" width="42.6640625" style="26" customWidth="1"/>
    <col min="3" max="3" width="7.6640625" style="26" customWidth="1"/>
    <col min="4" max="4" width="11.109375" style="26" customWidth="1"/>
    <col min="5" max="5" width="12.44140625" style="26" customWidth="1"/>
    <col min="6" max="6" width="12.88671875" style="26" customWidth="1"/>
    <col min="7" max="7" width="12.44140625" style="26" customWidth="1"/>
    <col min="8" max="8" width="11" style="26" customWidth="1"/>
    <col min="9" max="9" width="13.109375" style="26" customWidth="1"/>
    <col min="10" max="10" width="10.44140625" style="26" customWidth="1"/>
    <col min="11" max="11" width="12" style="26" customWidth="1"/>
    <col min="12" max="13" width="9" style="172" customWidth="1"/>
    <col min="14" max="14" width="12.5546875" style="172" bestFit="1" customWidth="1"/>
    <col min="15" max="15" width="9.109375" style="26"/>
    <col min="16" max="16" width="10.44140625" style="26" customWidth="1"/>
    <col min="17" max="18" width="9.109375" style="26"/>
    <col min="19" max="19" width="11.6640625" style="26" customWidth="1"/>
    <col min="20" max="16384" width="9.109375" style="26"/>
  </cols>
  <sheetData>
    <row r="1" spans="1:14">
      <c r="A1" s="109" t="s">
        <v>1826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321"/>
      <c r="M1" s="321"/>
      <c r="N1" s="321"/>
    </row>
    <row r="2" spans="1:14">
      <c r="A2" s="109" t="s">
        <v>1262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321"/>
      <c r="M2" s="321"/>
      <c r="N2" s="321"/>
    </row>
    <row r="3" spans="1:14" ht="16.2" thickBot="1">
      <c r="A3" s="1523" t="s">
        <v>1829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321"/>
      <c r="M3" s="321"/>
      <c r="N3" s="321"/>
    </row>
    <row r="4" spans="1:14" ht="16.2" hidden="1" thickBot="1">
      <c r="B4" s="322" t="s">
        <v>893</v>
      </c>
      <c r="C4" s="322"/>
      <c r="D4" s="172"/>
      <c r="E4" s="172"/>
      <c r="F4" s="172"/>
      <c r="G4" s="172"/>
      <c r="H4" s="172"/>
      <c r="I4" s="172"/>
    </row>
    <row r="5" spans="1:14" ht="16.2" hidden="1" thickBot="1">
      <c r="B5" s="172"/>
      <c r="C5" s="172"/>
      <c r="D5" s="172"/>
      <c r="E5" s="172"/>
      <c r="H5" s="172"/>
      <c r="I5" s="172"/>
    </row>
    <row r="6" spans="1:14" ht="27.75" hidden="1" customHeight="1">
      <c r="B6" s="4202" t="s">
        <v>836</v>
      </c>
      <c r="C6" s="679"/>
      <c r="D6" s="4397" t="s">
        <v>837</v>
      </c>
      <c r="E6" s="4397" t="s">
        <v>898</v>
      </c>
      <c r="F6" s="4399" t="s">
        <v>839</v>
      </c>
    </row>
    <row r="7" spans="1:14" ht="48" hidden="1" customHeight="1">
      <c r="B7" s="4203"/>
      <c r="C7" s="680"/>
      <c r="D7" s="4398"/>
      <c r="E7" s="4398"/>
      <c r="F7" s="4399"/>
    </row>
    <row r="8" spans="1:14" ht="18.600000000000001" hidden="1" thickBot="1">
      <c r="B8" s="4203"/>
      <c r="C8" s="680"/>
      <c r="D8" s="323" t="s">
        <v>899</v>
      </c>
      <c r="E8" s="323" t="s">
        <v>900</v>
      </c>
      <c r="F8" s="81"/>
    </row>
    <row r="9" spans="1:14" ht="31.8" hidden="1" thickBot="1">
      <c r="B9" s="4204"/>
      <c r="C9" s="681"/>
      <c r="D9" s="81" t="s">
        <v>291</v>
      </c>
      <c r="E9" s="81" t="s">
        <v>251</v>
      </c>
      <c r="F9" s="81" t="s">
        <v>251</v>
      </c>
      <c r="G9" s="322" t="s">
        <v>835</v>
      </c>
    </row>
    <row r="10" spans="1:14" ht="16.2" hidden="1" thickBot="1">
      <c r="B10" s="81" t="s">
        <v>697</v>
      </c>
      <c r="C10" s="81"/>
      <c r="D10" s="324">
        <v>300621.82</v>
      </c>
      <c r="E10" s="324">
        <v>176.8</v>
      </c>
      <c r="F10" s="325">
        <v>592.41</v>
      </c>
      <c r="G10" s="326">
        <f>(D10*12/(F10-E10))</f>
        <v>8679.9206948822211</v>
      </c>
    </row>
    <row r="11" spans="1:14" ht="16.2" hidden="1" thickBot="1">
      <c r="B11" s="81" t="s">
        <v>676</v>
      </c>
      <c r="C11" s="81"/>
      <c r="D11" s="324">
        <v>490793.23</v>
      </c>
      <c r="E11" s="324">
        <v>180</v>
      </c>
      <c r="F11" s="325">
        <v>969.48</v>
      </c>
      <c r="G11" s="326">
        <f>(D11*12/(F11-E11))</f>
        <v>7459.9974160206712</v>
      </c>
      <c r="H11" s="327"/>
      <c r="I11" s="328"/>
      <c r="L11" s="329"/>
    </row>
    <row r="12" spans="1:14" ht="16.2" hidden="1" thickBot="1">
      <c r="B12" s="330" t="s">
        <v>847</v>
      </c>
      <c r="C12" s="330"/>
      <c r="D12" s="324">
        <v>680321</v>
      </c>
      <c r="E12" s="324">
        <v>210</v>
      </c>
      <c r="F12" s="325">
        <v>1441.35</v>
      </c>
      <c r="G12" s="326">
        <f>(D12*12/(F12-E12))</f>
        <v>6630.0012181751745</v>
      </c>
      <c r="H12" s="99" t="s">
        <v>901</v>
      </c>
    </row>
    <row r="13" spans="1:14" ht="16.2" hidden="1" thickBot="1">
      <c r="B13" s="81" t="s">
        <v>681</v>
      </c>
      <c r="C13" s="81"/>
      <c r="D13" s="324">
        <v>851305.82</v>
      </c>
      <c r="E13" s="324">
        <v>432</v>
      </c>
      <c r="F13" s="325">
        <v>2296.17</v>
      </c>
      <c r="G13" s="326">
        <f>(D13*12/(F13-E13))</f>
        <v>5480.0097845153605</v>
      </c>
      <c r="H13" s="331">
        <f>(365-53)*16</f>
        <v>4992</v>
      </c>
      <c r="I13" s="26" t="s">
        <v>892</v>
      </c>
      <c r="L13" s="172" t="s">
        <v>892</v>
      </c>
    </row>
    <row r="14" spans="1:14" ht="16.2" hidden="1" thickBot="1">
      <c r="B14" s="85"/>
      <c r="C14" s="85"/>
      <c r="D14" s="332"/>
      <c r="E14" s="332"/>
      <c r="F14" s="333"/>
      <c r="G14" s="326"/>
      <c r="H14" s="331"/>
    </row>
    <row r="15" spans="1:14" ht="16.2" thickBot="1">
      <c r="A15" s="4400"/>
      <c r="B15" s="4403" t="s">
        <v>902</v>
      </c>
      <c r="C15" s="683"/>
      <c r="D15" s="4406" t="s">
        <v>903</v>
      </c>
      <c r="E15" s="4407"/>
      <c r="F15" s="334" t="s">
        <v>904</v>
      </c>
      <c r="G15" s="335"/>
      <c r="H15" s="336"/>
      <c r="I15" s="337" t="s">
        <v>905</v>
      </c>
      <c r="J15" s="338"/>
      <c r="K15" s="338"/>
      <c r="L15" s="339"/>
      <c r="M15" s="340"/>
      <c r="N15" s="341"/>
    </row>
    <row r="16" spans="1:14" ht="27.6">
      <c r="A16" s="4401"/>
      <c r="B16" s="4404"/>
      <c r="C16" s="711"/>
      <c r="D16" s="4408"/>
      <c r="E16" s="4409"/>
      <c r="F16" s="342" t="s">
        <v>906</v>
      </c>
      <c r="G16" s="343"/>
      <c r="H16" s="344" t="s">
        <v>907</v>
      </c>
      <c r="I16" s="345" t="s">
        <v>908</v>
      </c>
      <c r="J16" s="346"/>
      <c r="K16" s="347"/>
      <c r="L16" s="756" t="s">
        <v>1248</v>
      </c>
      <c r="M16" s="348"/>
      <c r="N16" s="1448"/>
    </row>
    <row r="17" spans="1:19" s="357" customFormat="1" ht="80.25" customHeight="1">
      <c r="A17" s="4402"/>
      <c r="B17" s="4405"/>
      <c r="C17" s="682"/>
      <c r="D17" s="174" t="s">
        <v>909</v>
      </c>
      <c r="E17" s="349" t="s">
        <v>910</v>
      </c>
      <c r="F17" s="350" t="s">
        <v>911</v>
      </c>
      <c r="G17" s="17" t="s">
        <v>912</v>
      </c>
      <c r="H17" s="351" t="s">
        <v>913</v>
      </c>
      <c r="I17" s="352" t="s">
        <v>914</v>
      </c>
      <c r="J17" s="174" t="s">
        <v>915</v>
      </c>
      <c r="K17" s="353" t="s">
        <v>419</v>
      </c>
      <c r="L17" s="354" t="s">
        <v>1260</v>
      </c>
      <c r="M17" s="355" t="s">
        <v>915</v>
      </c>
      <c r="N17" s="356" t="s">
        <v>419</v>
      </c>
    </row>
    <row r="18" spans="1:19" s="369" customFormat="1" ht="28.5" customHeight="1">
      <c r="A18" s="358">
        <v>1</v>
      </c>
      <c r="B18" s="359">
        <v>2</v>
      </c>
      <c r="C18" s="359"/>
      <c r="D18" s="360">
        <v>3</v>
      </c>
      <c r="E18" s="361">
        <v>4</v>
      </c>
      <c r="F18" s="362">
        <v>5</v>
      </c>
      <c r="G18" s="360">
        <v>6</v>
      </c>
      <c r="H18" s="363">
        <v>7</v>
      </c>
      <c r="I18" s="364" t="s">
        <v>916</v>
      </c>
      <c r="J18" s="365" t="s">
        <v>917</v>
      </c>
      <c r="K18" s="366" t="s">
        <v>918</v>
      </c>
      <c r="L18" s="362">
        <v>11</v>
      </c>
      <c r="M18" s="360">
        <v>12</v>
      </c>
      <c r="N18" s="363">
        <v>13</v>
      </c>
      <c r="O18" s="367" t="s">
        <v>919</v>
      </c>
      <c r="P18" s="368"/>
      <c r="Q18" s="1452" t="s">
        <v>1806</v>
      </c>
      <c r="R18" s="1453"/>
      <c r="S18" s="1454"/>
    </row>
    <row r="19" spans="1:19" ht="17.399999999999999">
      <c r="A19" s="370" t="s">
        <v>920</v>
      </c>
      <c r="B19" s="300" t="s">
        <v>921</v>
      </c>
      <c r="C19" s="300"/>
      <c r="D19" s="371"/>
      <c r="E19" s="372"/>
      <c r="F19" s="373"/>
      <c r="G19" s="371"/>
      <c r="H19" s="374"/>
      <c r="I19" s="375">
        <f>'НВВ на содержание'!E8</f>
        <v>18224.641846154409</v>
      </c>
      <c r="J19" s="376">
        <f>E41*E42/1000</f>
        <v>7537.4764162647625</v>
      </c>
      <c r="K19" s="377">
        <f>ROUND((I19+J19),1)</f>
        <v>25762.1</v>
      </c>
      <c r="L19" s="378"/>
      <c r="M19" s="379"/>
      <c r="N19" s="380">
        <f>N23-N31+N35</f>
        <v>14422.644865044</v>
      </c>
      <c r="O19" s="367">
        <f>$E$41*$E$42/1000</f>
        <v>7537.4764162647625</v>
      </c>
      <c r="Q19" s="1452">
        <f>N23+K35-N32-K34</f>
        <v>14344.047118024</v>
      </c>
      <c r="R19" s="1454"/>
      <c r="S19" s="1455"/>
    </row>
    <row r="20" spans="1:19" ht="16.2" thickBot="1">
      <c r="A20" s="381"/>
      <c r="B20" s="371" t="s">
        <v>922</v>
      </c>
      <c r="C20" s="371"/>
      <c r="D20" s="371"/>
      <c r="E20" s="372"/>
      <c r="F20" s="382"/>
      <c r="G20" s="383"/>
      <c r="H20" s="384"/>
      <c r="I20" s="729">
        <f>I23+I35-I31</f>
        <v>13573.639309743998</v>
      </c>
      <c r="J20" s="385">
        <f>ROUND((J23+J35-J31),1)</f>
        <v>2864</v>
      </c>
      <c r="K20" s="377">
        <f>ROUND((I20+J20),1)</f>
        <v>16437.599999999999</v>
      </c>
      <c r="L20" s="386"/>
      <c r="M20" s="298"/>
      <c r="N20" s="387"/>
      <c r="Q20" s="367"/>
    </row>
    <row r="21" spans="1:19" ht="1.5" hidden="1" customHeight="1">
      <c r="A21" s="388"/>
      <c r="B21" s="389" t="s">
        <v>923</v>
      </c>
      <c r="C21" s="389"/>
      <c r="D21" s="389"/>
      <c r="E21" s="390"/>
      <c r="F21" s="391"/>
      <c r="G21" s="392"/>
      <c r="H21" s="393"/>
      <c r="I21" s="394">
        <f>K19-K20</f>
        <v>9324.5</v>
      </c>
      <c r="J21" s="395"/>
      <c r="K21" s="396"/>
      <c r="L21" s="397"/>
      <c r="M21" s="398"/>
      <c r="N21" s="399"/>
    </row>
    <row r="22" spans="1:19" ht="15.75" customHeight="1">
      <c r="A22" s="4385" t="s">
        <v>924</v>
      </c>
      <c r="B22" s="4387" t="s">
        <v>1799</v>
      </c>
      <c r="C22" s="4388"/>
      <c r="D22" s="4389"/>
      <c r="E22" s="4389"/>
      <c r="F22" s="400"/>
      <c r="G22" s="401"/>
      <c r="H22" s="402"/>
      <c r="I22" s="403" t="s">
        <v>925</v>
      </c>
      <c r="J22" s="404"/>
      <c r="K22" s="405"/>
      <c r="L22" s="406" t="s">
        <v>926</v>
      </c>
      <c r="M22" s="404"/>
      <c r="N22" s="407"/>
    </row>
    <row r="23" spans="1:19" ht="24" customHeight="1">
      <c r="A23" s="4386"/>
      <c r="B23" s="4390"/>
      <c r="C23" s="4391"/>
      <c r="D23" s="4391"/>
      <c r="E23" s="4391"/>
      <c r="F23" s="408"/>
      <c r="G23" s="409"/>
      <c r="H23" s="410"/>
      <c r="I23" s="411">
        <f>SUM(I25:I29)</f>
        <v>13359.547215359999</v>
      </c>
      <c r="J23" s="412">
        <f>SUM(J25:J29)</f>
        <v>3187.1466742999996</v>
      </c>
      <c r="K23" s="413">
        <f>I23+J23</f>
        <v>16546.693889659997</v>
      </c>
      <c r="L23" s="386"/>
      <c r="M23" s="298"/>
      <c r="N23" s="413">
        <f>SUM(N25:N29)</f>
        <v>14459.599999999999</v>
      </c>
      <c r="O23" s="716">
        <f>N23-K23</f>
        <v>-2087.0938896599982</v>
      </c>
      <c r="P23" s="730">
        <f>N19-K20</f>
        <v>-2014.9551349559988</v>
      </c>
    </row>
    <row r="24" spans="1:19" ht="27.75" customHeight="1">
      <c r="A24" s="373"/>
      <c r="B24" s="371" t="s">
        <v>927</v>
      </c>
      <c r="C24" s="712" t="s">
        <v>1250</v>
      </c>
      <c r="D24" s="1461">
        <f>SUM(D25:D29)</f>
        <v>1.3779999999999999</v>
      </c>
      <c r="E24" s="1462">
        <f>SUM(E25:E29)</f>
        <v>9367.7000000000007</v>
      </c>
      <c r="F24" s="373"/>
      <c r="G24" s="371"/>
      <c r="H24" s="374"/>
      <c r="I24" s="411"/>
      <c r="J24" s="412"/>
      <c r="K24" s="413"/>
      <c r="L24" s="386"/>
      <c r="M24" s="298"/>
      <c r="N24" s="413"/>
    </row>
    <row r="25" spans="1:19">
      <c r="A25" s="381"/>
      <c r="B25" s="415" t="s">
        <v>1798</v>
      </c>
      <c r="C25" s="1457">
        <f>E25/D25</f>
        <v>7115.3846153846162</v>
      </c>
      <c r="D25" s="1524">
        <v>0.57199999999999995</v>
      </c>
      <c r="E25" s="1525">
        <f>2033.37+2036.63</f>
        <v>4070</v>
      </c>
      <c r="F25" s="416">
        <f>E63</f>
        <v>427956.36</v>
      </c>
      <c r="G25" s="417">
        <f>'изм.приказ 27 от 28.04.2011'!D42</f>
        <v>179.28</v>
      </c>
      <c r="H25" s="418">
        <f>'изм.приказ 27 от 28.04.2011'!F42</f>
        <v>789.41</v>
      </c>
      <c r="I25" s="664">
        <f>D25*F25*12/1000</f>
        <v>2937.4924550399996</v>
      </c>
      <c r="J25" s="664">
        <f>E25*G25/1000</f>
        <v>729.66959999999995</v>
      </c>
      <c r="K25" s="669">
        <f>I25+J25</f>
        <v>3667.1620550399994</v>
      </c>
      <c r="L25" s="1444"/>
      <c r="M25" s="664"/>
      <c r="N25" s="669">
        <f>ROUND((E25*H25/1000),1)</f>
        <v>3212.9</v>
      </c>
      <c r="O25" s="1533">
        <f>'2012г.об.под факт2010'!N23-'послед2012г.об.по стр-ре СЭ (2)'!N23</f>
        <v>1091.2000000000007</v>
      </c>
    </row>
    <row r="26" spans="1:19">
      <c r="A26" s="381"/>
      <c r="B26" s="415" t="s">
        <v>928</v>
      </c>
      <c r="C26" s="1457">
        <f>E26/D26</f>
        <v>6734.2281879194634</v>
      </c>
      <c r="D26" s="1461">
        <v>0.745</v>
      </c>
      <c r="E26" s="1525">
        <f>2506.49+2510.51</f>
        <v>5017</v>
      </c>
      <c r="F26" s="416">
        <f>E65</f>
        <v>1110334.72</v>
      </c>
      <c r="G26" s="417">
        <f>'изм.приказ 27 от 28.04.2011'!D44</f>
        <v>469.5</v>
      </c>
      <c r="H26" s="418">
        <f>'изм.приказ 27 от 28.04.2011'!F44</f>
        <v>2146.56</v>
      </c>
      <c r="I26" s="664">
        <f>D26*F26*12/1000</f>
        <v>9926.3923967999999</v>
      </c>
      <c r="J26" s="664">
        <f>E26*G26/1000</f>
        <v>2355.4814999999999</v>
      </c>
      <c r="K26" s="669">
        <f>I26+J26</f>
        <v>12281.8738968</v>
      </c>
      <c r="L26" s="1444"/>
      <c r="M26" s="664"/>
      <c r="N26" s="669">
        <f>ROUND((E26*H26/1000),1)</f>
        <v>10769.3</v>
      </c>
      <c r="O26" s="1534" t="s">
        <v>1828</v>
      </c>
    </row>
    <row r="27" spans="1:19">
      <c r="A27" s="381"/>
      <c r="B27" s="419" t="s">
        <v>1797</v>
      </c>
      <c r="C27" s="1457">
        <f>E27/D27</f>
        <v>6600</v>
      </c>
      <c r="D27" s="1461">
        <v>0.02</v>
      </c>
      <c r="E27" s="1462">
        <f>65.4+66.6</f>
        <v>132</v>
      </c>
      <c r="F27" s="416">
        <f>'изм.приказ 27 от 28.04.2011'!B45</f>
        <v>2019526.48</v>
      </c>
      <c r="G27" s="417">
        <f>'изм.приказ 27 от 28.04.2011'!D45</f>
        <v>535.79999999999995</v>
      </c>
      <c r="H27" s="418">
        <f>'изм.приказ 27 от 28.04.2011'!F45</f>
        <v>3325.91</v>
      </c>
      <c r="I27" s="664">
        <f>D27*F27*12/1000</f>
        <v>484.68635519999998</v>
      </c>
      <c r="J27" s="664">
        <f>E27*G27/1000</f>
        <v>70.725599999999986</v>
      </c>
      <c r="K27" s="669">
        <f>I27+J27</f>
        <v>555.41195519999997</v>
      </c>
      <c r="L27" s="1444"/>
      <c r="M27" s="664"/>
      <c r="N27" s="669">
        <f>ROUND((E27*H27/1000),1)</f>
        <v>439</v>
      </c>
    </row>
    <row r="28" spans="1:19" s="485" customFormat="1" ht="28.2">
      <c r="A28" s="381"/>
      <c r="B28" s="419" t="s">
        <v>1796</v>
      </c>
      <c r="C28" s="1457">
        <f>E28/D28</f>
        <v>5566.6666666666661</v>
      </c>
      <c r="D28" s="1461">
        <f>0.003</f>
        <v>3.0000000000000001E-3</v>
      </c>
      <c r="E28" s="1462">
        <f>7.75+8.95</f>
        <v>16.7</v>
      </c>
      <c r="F28" s="416">
        <f>'изм.приказ 27 от 28.04.2011'!B46</f>
        <v>22308.959999999999</v>
      </c>
      <c r="G28" s="417">
        <f>'изм.приказ 27 от 28.04.2011'!D46</f>
        <v>210.28899999999999</v>
      </c>
      <c r="H28" s="418">
        <f>'изм.приказ 27 от 28.04.2011'!F46</f>
        <v>258.20999999999998</v>
      </c>
      <c r="I28" s="664">
        <f>D28*F28*12/1000</f>
        <v>0.80312256000000004</v>
      </c>
      <c r="J28" s="664">
        <f>E28*G28/1000</f>
        <v>3.5118262999999996</v>
      </c>
      <c r="K28" s="669">
        <f>I28+J28</f>
        <v>4.3149488599999994</v>
      </c>
      <c r="L28" s="1444"/>
      <c r="M28" s="664"/>
      <c r="N28" s="669">
        <f>ROUND((E28*H28/1000),1)</f>
        <v>4.3</v>
      </c>
    </row>
    <row r="29" spans="1:19" s="485" customFormat="1" ht="28.8" thickBot="1">
      <c r="A29" s="495"/>
      <c r="B29" s="419" t="s">
        <v>929</v>
      </c>
      <c r="C29" s="734">
        <f>E29/D29</f>
        <v>3473.6842105263158</v>
      </c>
      <c r="D29" s="1526">
        <f>0.038</f>
        <v>3.7999999999999999E-2</v>
      </c>
      <c r="E29" s="1527">
        <f>61.29+70.71</f>
        <v>132</v>
      </c>
      <c r="F29" s="502">
        <f>F28</f>
        <v>22308.959999999999</v>
      </c>
      <c r="G29" s="503">
        <f>G28</f>
        <v>210.28899999999999</v>
      </c>
      <c r="H29" s="504">
        <f>G67</f>
        <v>258.20999999999998</v>
      </c>
      <c r="I29" s="422">
        <f>D29*F29*12/1000</f>
        <v>10.17288576</v>
      </c>
      <c r="J29" s="423">
        <f>E29*G29/1000</f>
        <v>27.758147999999998</v>
      </c>
      <c r="K29" s="424">
        <f>I29+J29</f>
        <v>37.931033759999998</v>
      </c>
      <c r="L29" s="422"/>
      <c r="M29" s="1445"/>
      <c r="N29" s="424">
        <f>ROUND((E29*H29/1000),1)</f>
        <v>34.1</v>
      </c>
      <c r="O29" s="26"/>
    </row>
    <row r="30" spans="1:19" ht="16.5" customHeight="1">
      <c r="A30" s="4392" t="s">
        <v>930</v>
      </c>
      <c r="B30" s="4393" t="s">
        <v>1800</v>
      </c>
      <c r="C30" s="1458"/>
      <c r="D30" s="425" t="s">
        <v>931</v>
      </c>
      <c r="E30" s="456"/>
      <c r="F30" s="458" t="s">
        <v>932</v>
      </c>
      <c r="G30" s="425"/>
      <c r="H30" s="425"/>
      <c r="I30" s="426" t="s">
        <v>925</v>
      </c>
      <c r="J30" s="427"/>
      <c r="K30" s="428"/>
      <c r="L30" s="406" t="s">
        <v>926</v>
      </c>
      <c r="M30" s="427"/>
      <c r="N30" s="428"/>
    </row>
    <row r="31" spans="1:19" ht="27.6">
      <c r="A31" s="4386"/>
      <c r="B31" s="4394"/>
      <c r="C31" s="1459"/>
      <c r="D31" s="355" t="s">
        <v>909</v>
      </c>
      <c r="E31" s="457" t="s">
        <v>910</v>
      </c>
      <c r="F31" s="459" t="s">
        <v>933</v>
      </c>
      <c r="G31" s="429" t="s">
        <v>251</v>
      </c>
      <c r="H31" s="506" t="s">
        <v>1118</v>
      </c>
      <c r="I31" s="1444">
        <f>SUM(I32:I34)</f>
        <v>2325.3075864800003</v>
      </c>
      <c r="J31" s="664">
        <f>SUM(J32:J34)</f>
        <v>1689.7856701799999</v>
      </c>
      <c r="K31" s="1456">
        <f>SUM(K32:K34)</f>
        <v>4015.09325666</v>
      </c>
      <c r="L31" s="722">
        <f>SUM(L34:L34)</f>
        <v>0</v>
      </c>
      <c r="M31" s="573">
        <f>SUM(M34:M34)</f>
        <v>0</v>
      </c>
      <c r="N31" s="735">
        <f>SUM(N32:N34)</f>
        <v>3943.6471237199994</v>
      </c>
    </row>
    <row r="32" spans="1:19" ht="22.5" customHeight="1">
      <c r="A32" s="430">
        <v>1</v>
      </c>
      <c r="B32" s="371" t="s">
        <v>1830</v>
      </c>
      <c r="C32" s="733">
        <f>E32/D32</f>
        <v>7183.2162162162167</v>
      </c>
      <c r="D32" s="1538">
        <v>7.3999999999999996E-2</v>
      </c>
      <c r="E32" s="1525">
        <v>531.55799999999999</v>
      </c>
      <c r="F32" s="720">
        <v>279175.21000000002</v>
      </c>
      <c r="G32" s="721">
        <v>108.71</v>
      </c>
      <c r="H32" s="1451">
        <f>K32/E32*1000+12.17</f>
        <v>587.25918435993799</v>
      </c>
      <c r="I32" s="386">
        <f>$D32*$F32*12/1000</f>
        <v>247.90758647999999</v>
      </c>
      <c r="J32" s="298">
        <f>$E32*$G32/1000</f>
        <v>57.785670179999997</v>
      </c>
      <c r="K32" s="387">
        <f>I32+J32</f>
        <v>305.69325665999997</v>
      </c>
      <c r="L32" s="573"/>
      <c r="M32" s="573"/>
      <c r="N32" s="710">
        <f>E32*H32/1000</f>
        <v>312.16231751999993</v>
      </c>
    </row>
    <row r="33" spans="1:15" ht="22.5" customHeight="1">
      <c r="A33" s="1539">
        <v>2</v>
      </c>
      <c r="B33" s="1540" t="s">
        <v>1835</v>
      </c>
      <c r="C33" s="1541">
        <f>E33/D33</f>
        <v>7110.9999999999991</v>
      </c>
      <c r="D33" s="1536">
        <f>'П1.30 - 07.06.11г.'!D14</f>
        <v>6.5000000000000002E-2</v>
      </c>
      <c r="E33" s="1441">
        <f>'П1.30 - 07.06.11г.'!C14</f>
        <v>462.21499999999997</v>
      </c>
      <c r="F33" s="720"/>
      <c r="G33" s="721"/>
      <c r="H33" s="1451"/>
      <c r="I33" s="664">
        <f>ROUND(($D$33*$F$33*12/1000),1)</f>
        <v>0</v>
      </c>
      <c r="J33" s="664">
        <f>ROUND(($E$33*$G$33/1000),1)</f>
        <v>0</v>
      </c>
      <c r="K33" s="669">
        <f>I33+J33</f>
        <v>0</v>
      </c>
      <c r="L33" s="573"/>
      <c r="M33" s="573"/>
      <c r="N33" s="710">
        <f>E33*H33/1000</f>
        <v>0</v>
      </c>
    </row>
    <row r="34" spans="1:15" ht="22.5" customHeight="1" thickBot="1">
      <c r="A34" s="430">
        <v>3</v>
      </c>
      <c r="B34" s="371" t="s">
        <v>1831</v>
      </c>
      <c r="C34" s="733">
        <f>E34/D34</f>
        <v>8745.2795698924729</v>
      </c>
      <c r="D34" s="1536">
        <v>9.2999999999999999E-2</v>
      </c>
      <c r="E34" s="1440">
        <v>813.31100000000004</v>
      </c>
      <c r="F34" s="720">
        <v>1861465.03</v>
      </c>
      <c r="G34" s="721">
        <v>2006.61</v>
      </c>
      <c r="H34" s="1451">
        <f>K34/E34*1000-95.8</f>
        <v>4465.0629417283171</v>
      </c>
      <c r="I34" s="664">
        <f>ROUND(($D$34*$F$34*12/1000),1)</f>
        <v>2077.4</v>
      </c>
      <c r="J34" s="664">
        <f>ROUND(($E$34*$G$34/1000),1)</f>
        <v>1632</v>
      </c>
      <c r="K34" s="669">
        <f>I34+J34</f>
        <v>3709.4</v>
      </c>
      <c r="L34" s="573"/>
      <c r="M34" s="573"/>
      <c r="N34" s="710">
        <f>E34*H34/1000</f>
        <v>3631.4848061999996</v>
      </c>
    </row>
    <row r="35" spans="1:15" ht="47.4" thickBot="1">
      <c r="A35" s="744" t="s">
        <v>935</v>
      </c>
      <c r="B35" s="745" t="s">
        <v>1801</v>
      </c>
      <c r="C35" s="1460"/>
      <c r="D35" s="746"/>
      <c r="E35" s="747"/>
      <c r="F35" s="748" t="s">
        <v>933</v>
      </c>
      <c r="G35" s="749" t="s">
        <v>251</v>
      </c>
      <c r="H35" s="750" t="s">
        <v>251</v>
      </c>
      <c r="I35" s="751">
        <f>SUM(I36:I38)</f>
        <v>2539.3996808640004</v>
      </c>
      <c r="J35" s="752">
        <f>SUM(J36:J38)</f>
        <v>1366.6097546799999</v>
      </c>
      <c r="K35" s="753">
        <f>SUM(K36:K38)</f>
        <v>3906.0094355440006</v>
      </c>
      <c r="L35" s="754">
        <f>SUM(L37:L38)</f>
        <v>0</v>
      </c>
      <c r="M35" s="755">
        <f>SUM(M37:M38)</f>
        <v>0</v>
      </c>
      <c r="N35" s="753">
        <f>SUM(N36:N38)</f>
        <v>3906.6919887640006</v>
      </c>
    </row>
    <row r="36" spans="1:15">
      <c r="A36" s="736">
        <v>1</v>
      </c>
      <c r="B36" s="454" t="s">
        <v>1834</v>
      </c>
      <c r="C36" s="737">
        <f>E36/D36</f>
        <v>7638.9249261348386</v>
      </c>
      <c r="D36" s="1535">
        <f>D24+D37+D38+D32+D34+G41-D33</f>
        <v>2.9783999999999997</v>
      </c>
      <c r="E36" s="1446">
        <f>E24+E37+E38+E32+E34+E41-E33</f>
        <v>22751.774000000001</v>
      </c>
      <c r="F36" s="738">
        <v>451.08</v>
      </c>
      <c r="G36" s="739">
        <v>0.82</v>
      </c>
      <c r="H36" s="1451">
        <f>K36/E36*1000+0.03</f>
        <v>1.5586023298227203</v>
      </c>
      <c r="I36" s="740">
        <f>$D$36*$F$36*12/1000</f>
        <v>16.121960063999996</v>
      </c>
      <c r="J36" s="741">
        <f>$E$36*$G$36/1000</f>
        <v>18.65645468</v>
      </c>
      <c r="K36" s="742">
        <f>I36+J36</f>
        <v>34.778414743999996</v>
      </c>
      <c r="L36" s="743"/>
      <c r="M36" s="741"/>
      <c r="N36" s="742">
        <f>E36*H36/1000</f>
        <v>35.460967963999998</v>
      </c>
    </row>
    <row r="37" spans="1:15">
      <c r="A37" s="455">
        <v>2</v>
      </c>
      <c r="B37" s="371" t="s">
        <v>1832</v>
      </c>
      <c r="C37" s="733">
        <f>E37/D37</f>
        <v>8642.2018348623842</v>
      </c>
      <c r="D37" s="1538">
        <f>'[12]П1.30 -01.11.11г.'!$D$22</f>
        <v>1.0900000000000001</v>
      </c>
      <c r="E37" s="1542">
        <f>'[12]П1.30 -01.11.11г.'!$C$22</f>
        <v>9420</v>
      </c>
      <c r="F37" s="723">
        <v>169906.8</v>
      </c>
      <c r="G37" s="724">
        <v>114.55</v>
      </c>
      <c r="H37" s="725">
        <f>K37/E37*1000</f>
        <v>350.47154394904464</v>
      </c>
      <c r="I37" s="386">
        <f>$D37*$F37*12/1000</f>
        <v>2222.380944</v>
      </c>
      <c r="J37" s="298">
        <f>$E37*$G37/1000</f>
        <v>1079.0609999999999</v>
      </c>
      <c r="K37" s="387">
        <f>I37+J37</f>
        <v>3301.4419440000001</v>
      </c>
      <c r="L37" s="501"/>
      <c r="M37" s="298"/>
      <c r="N37" s="387">
        <f>E37*H37/1000</f>
        <v>3301.4419440000006</v>
      </c>
    </row>
    <row r="38" spans="1:15" ht="32.25" customHeight="1" thickBot="1">
      <c r="A38" s="431">
        <v>3</v>
      </c>
      <c r="B38" s="1543" t="s">
        <v>1833</v>
      </c>
      <c r="C38" s="734">
        <f>E38/D38</f>
        <v>6607.8431372549021</v>
      </c>
      <c r="D38" s="1537">
        <v>0.10199999999999999</v>
      </c>
      <c r="E38" s="714">
        <v>674</v>
      </c>
      <c r="F38" s="726">
        <v>245830.7</v>
      </c>
      <c r="G38" s="727">
        <v>398.95</v>
      </c>
      <c r="H38" s="728">
        <f>K38/E38*1000</f>
        <v>845.38438694362014</v>
      </c>
      <c r="I38" s="719">
        <f>$D$38*$F$38*12/1000</f>
        <v>300.8967768</v>
      </c>
      <c r="J38" s="718">
        <f>$E$38*$G$38/1000</f>
        <v>268.89229999999998</v>
      </c>
      <c r="K38" s="757">
        <f>I38+J38</f>
        <v>569.78907679999998</v>
      </c>
      <c r="L38" s="731"/>
      <c r="M38" s="732"/>
      <c r="N38" s="424">
        <f>E38*H38/1000</f>
        <v>569.78907679999998</v>
      </c>
    </row>
    <row r="39" spans="1:15" hidden="1">
      <c r="F39" s="172"/>
      <c r="G39" s="172"/>
      <c r="H39" s="172"/>
      <c r="L39" s="26"/>
      <c r="M39" s="26"/>
      <c r="N39" s="26"/>
    </row>
    <row r="40" spans="1:15">
      <c r="B40" s="99" t="s">
        <v>851</v>
      </c>
      <c r="C40" s="99"/>
      <c r="L40" s="26"/>
      <c r="M40" s="26"/>
      <c r="N40" s="26"/>
    </row>
    <row r="41" spans="1:15">
      <c r="D41" s="99" t="s">
        <v>1805</v>
      </c>
      <c r="E41" s="1532">
        <v>2407.42</v>
      </c>
      <c r="F41" s="26" t="s">
        <v>936</v>
      </c>
      <c r="G41" s="26">
        <v>0.30640000000000001</v>
      </c>
      <c r="H41" s="715">
        <f>E37+E38+E29+E41</f>
        <v>12633.42</v>
      </c>
      <c r="L41" s="26"/>
      <c r="M41" s="26"/>
      <c r="N41" s="26"/>
    </row>
    <row r="42" spans="1:15">
      <c r="D42" s="99" t="s">
        <v>937</v>
      </c>
      <c r="E42" s="432">
        <f>Расчет!I2</f>
        <v>3130.935364940377</v>
      </c>
      <c r="F42" s="26" t="s">
        <v>938</v>
      </c>
      <c r="L42" s="26"/>
      <c r="M42" s="26"/>
      <c r="N42" s="26"/>
    </row>
    <row r="43" spans="1:15" hidden="1"/>
    <row r="44" spans="1:15" hidden="1">
      <c r="E44" s="26" t="s">
        <v>938</v>
      </c>
      <c r="G44" s="507" t="s">
        <v>1257</v>
      </c>
      <c r="H44" s="507"/>
      <c r="I44" s="507"/>
      <c r="J44" s="507"/>
      <c r="K44" s="507"/>
    </row>
    <row r="45" spans="1:15" hidden="1">
      <c r="E45" s="514"/>
      <c r="F45" s="513"/>
      <c r="G45" s="508" t="s">
        <v>932</v>
      </c>
      <c r="H45" s="508"/>
      <c r="I45" s="508"/>
      <c r="J45" s="512" t="s">
        <v>1119</v>
      </c>
      <c r="K45" s="512"/>
      <c r="L45" s="26"/>
      <c r="M45" s="26"/>
      <c r="N45" s="26"/>
      <c r="O45" s="433"/>
    </row>
    <row r="46" spans="1:15" ht="27" hidden="1">
      <c r="E46" s="514"/>
      <c r="F46" s="513"/>
      <c r="G46" s="509" t="s">
        <v>933</v>
      </c>
      <c r="H46" s="509" t="s">
        <v>251</v>
      </c>
      <c r="I46" s="510" t="s">
        <v>1118</v>
      </c>
      <c r="J46" s="507"/>
      <c r="K46" s="507"/>
      <c r="L46" s="26"/>
      <c r="M46" s="26"/>
      <c r="N46" s="26"/>
      <c r="O46" s="434"/>
    </row>
    <row r="47" spans="1:15" hidden="1">
      <c r="E47" s="514"/>
      <c r="F47" s="513"/>
      <c r="G47" s="231"/>
      <c r="H47" s="231"/>
      <c r="I47" s="231"/>
      <c r="J47" s="507"/>
      <c r="K47" s="507"/>
      <c r="L47" s="26"/>
      <c r="M47" s="26"/>
      <c r="N47" s="26"/>
      <c r="O47" s="433"/>
    </row>
    <row r="48" spans="1:15" hidden="1">
      <c r="E48" s="514"/>
      <c r="F48" s="513" t="s">
        <v>1258</v>
      </c>
      <c r="G48" s="231"/>
      <c r="H48" s="231"/>
      <c r="I48" s="231"/>
      <c r="J48" s="507"/>
      <c r="K48" s="507"/>
    </row>
    <row r="49" spans="2:14" hidden="1">
      <c r="E49" s="514"/>
      <c r="F49" s="513" t="s">
        <v>934</v>
      </c>
      <c r="G49" s="511"/>
      <c r="H49" s="511"/>
      <c r="I49" s="511"/>
      <c r="J49" s="507"/>
      <c r="K49" s="511"/>
    </row>
    <row r="50" spans="2:14" hidden="1">
      <c r="E50" s="514"/>
      <c r="F50" s="513" t="s">
        <v>960</v>
      </c>
      <c r="G50" s="511"/>
      <c r="H50" s="511"/>
      <c r="I50" s="511"/>
      <c r="J50" s="507"/>
      <c r="K50" s="511"/>
    </row>
    <row r="51" spans="2:14" hidden="1">
      <c r="E51" s="514"/>
      <c r="F51" s="513" t="s">
        <v>1255</v>
      </c>
      <c r="G51" s="511"/>
      <c r="H51" s="511"/>
      <c r="I51" s="511"/>
      <c r="J51" s="507"/>
      <c r="K51" s="511"/>
    </row>
    <row r="52" spans="2:14" hidden="1">
      <c r="E52" s="514"/>
      <c r="F52" s="513" t="s">
        <v>640</v>
      </c>
      <c r="G52" s="511"/>
      <c r="H52" s="511"/>
      <c r="I52" s="511"/>
      <c r="J52" s="507"/>
      <c r="K52" s="511"/>
    </row>
    <row r="53" spans="2:14" hidden="1"/>
    <row r="54" spans="2:14" hidden="1"/>
    <row r="55" spans="2:14" hidden="1">
      <c r="K55" s="172"/>
      <c r="L55" s="26"/>
      <c r="M55" s="26"/>
      <c r="N55" s="26"/>
    </row>
    <row r="56" spans="2:14" hidden="1"/>
    <row r="57" spans="2:14" hidden="1"/>
    <row r="58" spans="2:14" ht="12.75" customHeight="1">
      <c r="B58" s="10" t="s">
        <v>1265</v>
      </c>
      <c r="C58" s="10"/>
      <c r="D58" s="10"/>
      <c r="E58" s="10"/>
      <c r="F58" s="10"/>
      <c r="G58" s="206"/>
      <c r="H58" s="207"/>
    </row>
    <row r="59" spans="2:14">
      <c r="B59" s="4209" t="s">
        <v>836</v>
      </c>
      <c r="C59" s="12"/>
      <c r="D59" s="12"/>
      <c r="E59" s="4395" t="s">
        <v>837</v>
      </c>
      <c r="F59" s="39" t="s">
        <v>838</v>
      </c>
      <c r="G59" s="4209" t="s">
        <v>839</v>
      </c>
      <c r="H59" s="10"/>
    </row>
    <row r="60" spans="2:14" ht="66.599999999999994">
      <c r="B60" s="4216"/>
      <c r="C60" s="21"/>
      <c r="D60" s="21"/>
      <c r="E60" s="4396"/>
      <c r="F60" s="39" t="s">
        <v>840</v>
      </c>
      <c r="G60" s="4210"/>
      <c r="H60" s="10"/>
    </row>
    <row r="61" spans="2:14" ht="16.8">
      <c r="B61" s="4216"/>
      <c r="C61" s="21"/>
      <c r="D61" s="21"/>
      <c r="E61" s="176" t="s">
        <v>841</v>
      </c>
      <c r="F61" s="176" t="s">
        <v>842</v>
      </c>
      <c r="G61" s="17"/>
      <c r="H61" s="207" t="s">
        <v>835</v>
      </c>
    </row>
    <row r="62" spans="2:14" ht="15.75" customHeight="1">
      <c r="B62" s="4210"/>
      <c r="C62" s="14"/>
      <c r="D62" s="14"/>
      <c r="E62" s="17" t="s">
        <v>291</v>
      </c>
      <c r="F62" s="17" t="s">
        <v>843</v>
      </c>
      <c r="G62" s="17" t="s">
        <v>843</v>
      </c>
      <c r="H62" s="206"/>
    </row>
    <row r="63" spans="2:14">
      <c r="B63" s="17" t="s">
        <v>697</v>
      </c>
      <c r="C63" s="690"/>
      <c r="D63" s="690"/>
      <c r="E63" s="1530">
        <f>'изм.приказ 27 от 28.04.2011'!B42</f>
        <v>427956.36</v>
      </c>
      <c r="F63" s="1530">
        <f>'изм.приказ 27 от 28.04.2011'!D42</f>
        <v>179.28</v>
      </c>
      <c r="G63" s="1530">
        <f>'изм.приказ 27 от 28.04.2011'!F42</f>
        <v>789.41</v>
      </c>
      <c r="H63" s="692">
        <f>(E63*12/(G63-F63))</f>
        <v>8417.0198482290671</v>
      </c>
    </row>
    <row r="64" spans="2:14">
      <c r="B64" s="17" t="s">
        <v>676</v>
      </c>
      <c r="C64" s="17"/>
      <c r="D64" s="1466"/>
      <c r="E64" s="313">
        <f>'изм.приказ 27 от 28.04.2011'!B43</f>
        <v>781756.21</v>
      </c>
      <c r="F64" s="313">
        <f>'изм.приказ 27 от 28.04.2011'!D43</f>
        <v>191.71</v>
      </c>
      <c r="G64" s="313">
        <f>'изм.приказ 27 от 28.04.2011'!F43</f>
        <v>1324.32</v>
      </c>
      <c r="H64" s="206">
        <f>(E64*12/(G64-F64))</f>
        <v>8282.7050087850184</v>
      </c>
    </row>
    <row r="65" spans="2:8">
      <c r="B65" s="39" t="s">
        <v>847</v>
      </c>
      <c r="C65" s="39"/>
      <c r="D65" s="1528"/>
      <c r="E65" s="313">
        <f>'изм.приказ 27 от 28.04.2011'!B44</f>
        <v>1110334.72</v>
      </c>
      <c r="F65" s="313">
        <f>'изм.приказ 27 от 28.04.2011'!D44</f>
        <v>469.5</v>
      </c>
      <c r="G65" s="313">
        <f>'изм.приказ 27 от 28.04.2011'!F44</f>
        <v>2146.56</v>
      </c>
      <c r="H65" s="206">
        <f>(E65*12/(G65-F65))</f>
        <v>7944.8658008658012</v>
      </c>
    </row>
    <row r="66" spans="2:8">
      <c r="B66" s="17" t="s">
        <v>681</v>
      </c>
      <c r="C66" s="690"/>
      <c r="D66" s="690"/>
      <c r="E66" s="1531">
        <f>'изм.приказ 27 от 28.04.2011'!B45</f>
        <v>2019526.48</v>
      </c>
      <c r="F66" s="1531">
        <f>'изм.приказ 27 от 28.04.2011'!D45</f>
        <v>535.79999999999995</v>
      </c>
      <c r="G66" s="1531">
        <f>'изм.приказ 27 от 28.04.2011'!F45</f>
        <v>3325.91</v>
      </c>
      <c r="H66" s="692">
        <f>(E66*12/(G66-F66))</f>
        <v>8685.7929472314718</v>
      </c>
    </row>
    <row r="67" spans="2:8">
      <c r="B67" s="465" t="s">
        <v>962</v>
      </c>
      <c r="C67" s="465"/>
      <c r="D67" s="1529"/>
      <c r="E67" s="466">
        <f>'изм.приказ 27 от 28.04.2011'!B46</f>
        <v>22308.959999999999</v>
      </c>
      <c r="F67" s="466">
        <f>'изм.приказ 27 от 28.04.2011'!D46</f>
        <v>210.28899999999999</v>
      </c>
      <c r="G67" s="466">
        <f>'изм.приказ 27 от 28.04.2011'!F46</f>
        <v>258.20999999999998</v>
      </c>
      <c r="H67" s="320">
        <f>(E67*12/(G67-F67))</f>
        <v>5586.4343398510064</v>
      </c>
    </row>
    <row r="68" spans="2:8">
      <c r="B68" s="106"/>
      <c r="C68" s="106"/>
      <c r="D68" s="106"/>
      <c r="E68" s="106"/>
      <c r="F68" s="106"/>
      <c r="G68" s="106"/>
      <c r="H68" s="106"/>
    </row>
  </sheetData>
  <mergeCells count="14">
    <mergeCell ref="G59:G60"/>
    <mergeCell ref="A22:A23"/>
    <mergeCell ref="B22:E23"/>
    <mergeCell ref="A30:A31"/>
    <mergeCell ref="B30:B31"/>
    <mergeCell ref="B59:B62"/>
    <mergeCell ref="E59:E60"/>
    <mergeCell ref="B6:B9"/>
    <mergeCell ref="D6:D7"/>
    <mergeCell ref="E6:E7"/>
    <mergeCell ref="F6:F7"/>
    <mergeCell ref="A15:A17"/>
    <mergeCell ref="B15:B17"/>
    <mergeCell ref="D15:E16"/>
  </mergeCells>
  <printOptions horizontalCentered="1"/>
  <pageMargins left="0.39370078740157483" right="0.39370078740157483" top="0.19685039370078741" bottom="3.937007874015748E-2" header="0.11811023622047245" footer="3.937007874015748E-2"/>
  <pageSetup paperSize="9" scale="61" orientation="landscape" r:id="rId1"/>
  <headerFooter alignWithMargins="0">
    <oddFooter>&amp;L&amp;8________________________________________________________________________
&amp;F&amp;A</oddFooter>
  </headerFooter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1">
    <tabColor rgb="FF7030A0"/>
  </sheetPr>
  <dimension ref="A1:N103"/>
  <sheetViews>
    <sheetView zoomScaleSheetLayoutView="100" workbookViewId="0">
      <pane ySplit="8" topLeftCell="A9" activePane="bottomLeft" state="frozen"/>
      <selection activeCell="K8" sqref="K8"/>
      <selection pane="bottomLeft" activeCell="K8" sqref="K8"/>
    </sheetView>
  </sheetViews>
  <sheetFormatPr defaultColWidth="9.109375" defaultRowHeight="13.2"/>
  <cols>
    <col min="1" max="1" width="35.5546875" style="52" customWidth="1"/>
    <col min="2" max="6" width="13.44140625" style="52" customWidth="1"/>
    <col min="7" max="7" width="9.109375" style="282"/>
    <col min="8" max="9" width="9.5546875" style="282" bestFit="1" customWidth="1"/>
    <col min="10" max="14" width="9.109375" style="282"/>
    <col min="15" max="16384" width="9.109375" style="52"/>
  </cols>
  <sheetData>
    <row r="1" spans="1:14" ht="17.399999999999999">
      <c r="A1" s="552" t="s">
        <v>1265</v>
      </c>
      <c r="F1" s="553" t="s">
        <v>621</v>
      </c>
      <c r="G1" s="52"/>
      <c r="H1" s="594">
        <f>B10+B13+B17+B30</f>
        <v>160376.16899999999</v>
      </c>
      <c r="I1" s="594">
        <v>159801.12099999998</v>
      </c>
      <c r="J1" s="52"/>
      <c r="K1" s="52"/>
      <c r="L1" s="52"/>
      <c r="M1" s="52"/>
      <c r="N1" s="52"/>
    </row>
    <row r="2" spans="1:14" ht="20.399999999999999">
      <c r="A2" s="554" t="s">
        <v>970</v>
      </c>
      <c r="B2" s="555"/>
      <c r="C2" s="555"/>
      <c r="D2" s="555"/>
      <c r="E2" s="555"/>
      <c r="F2" s="555"/>
      <c r="G2" s="52"/>
      <c r="H2" s="594">
        <f>B11+B14+B18+B31</f>
        <v>31.726347847524671</v>
      </c>
      <c r="I2" s="594">
        <v>31.358097955738721</v>
      </c>
      <c r="J2" s="52"/>
      <c r="K2" s="52"/>
      <c r="L2" s="52"/>
      <c r="M2" s="52"/>
      <c r="N2" s="52"/>
    </row>
    <row r="3" spans="1:14" s="282" customFormat="1">
      <c r="A3" s="52"/>
      <c r="B3" s="52"/>
      <c r="C3" s="52"/>
      <c r="D3" s="52"/>
      <c r="E3" s="52"/>
      <c r="F3" s="52"/>
    </row>
    <row r="4" spans="1:14" ht="21.75" customHeight="1" thickBot="1">
      <c r="A4" s="556" t="s">
        <v>1262</v>
      </c>
      <c r="B4" s="556"/>
      <c r="C4" s="556"/>
      <c r="D4" s="556"/>
      <c r="E4" s="556"/>
      <c r="F4" s="556"/>
      <c r="G4" s="52"/>
      <c r="H4" s="584"/>
      <c r="I4" s="52"/>
      <c r="J4" s="52"/>
      <c r="K4" s="52"/>
      <c r="L4" s="52"/>
      <c r="M4" s="52"/>
      <c r="N4" s="52"/>
    </row>
    <row r="5" spans="1:14">
      <c r="A5" s="4124" t="s">
        <v>971</v>
      </c>
      <c r="B5" s="4124"/>
      <c r="C5" s="4124"/>
      <c r="D5" s="4124"/>
      <c r="E5" s="4124"/>
      <c r="F5" s="4124"/>
      <c r="G5" s="52"/>
      <c r="H5" s="584" t="s">
        <v>1121</v>
      </c>
      <c r="I5" s="52"/>
      <c r="J5" s="52"/>
      <c r="K5" s="52"/>
      <c r="L5" s="52"/>
      <c r="M5" s="52"/>
      <c r="N5" s="52"/>
    </row>
    <row r="6" spans="1:14" ht="15.6">
      <c r="F6" s="553"/>
      <c r="G6" s="52"/>
      <c r="H6" s="1019">
        <v>36138.020999999993</v>
      </c>
      <c r="I6" s="594">
        <f>B13+B17+B30</f>
        <v>34656.069000000003</v>
      </c>
      <c r="J6" s="594">
        <f>I6-H6</f>
        <v>-1481.9519999999902</v>
      </c>
      <c r="K6" s="52"/>
      <c r="L6" s="52"/>
      <c r="M6" s="52"/>
      <c r="N6" s="52"/>
    </row>
    <row r="7" spans="1:14" ht="15.75" customHeight="1">
      <c r="A7" s="4124" t="s">
        <v>972</v>
      </c>
      <c r="B7" s="4124" t="s">
        <v>973</v>
      </c>
      <c r="C7" s="4124" t="s">
        <v>974</v>
      </c>
      <c r="D7" s="4124"/>
      <c r="E7" s="4124"/>
      <c r="F7" s="4124"/>
      <c r="G7" s="52"/>
      <c r="H7" s="1020">
        <v>4.3580979557387227</v>
      </c>
      <c r="I7" s="1011">
        <f>B14+B18+B31</f>
        <v>4.4254078764876255</v>
      </c>
      <c r="J7" s="1011">
        <f>I7-H7</f>
        <v>6.7309920748902741E-2</v>
      </c>
      <c r="K7" s="52"/>
      <c r="L7" s="52"/>
      <c r="M7" s="52"/>
      <c r="N7" s="52"/>
    </row>
    <row r="8" spans="1:14" ht="15.6">
      <c r="A8" s="4124"/>
      <c r="B8" s="4124"/>
      <c r="C8" s="557" t="s">
        <v>697</v>
      </c>
      <c r="D8" s="557" t="s">
        <v>548</v>
      </c>
      <c r="E8" s="557" t="s">
        <v>549</v>
      </c>
      <c r="F8" s="557" t="s">
        <v>681</v>
      </c>
      <c r="G8" s="52"/>
      <c r="H8" s="52"/>
      <c r="I8" s="52"/>
      <c r="J8" s="52"/>
      <c r="K8" s="52"/>
      <c r="L8" s="52"/>
      <c r="M8" s="52"/>
      <c r="N8" s="52"/>
    </row>
    <row r="9" spans="1:14" ht="21.75" customHeight="1">
      <c r="A9" s="559" t="s">
        <v>975</v>
      </c>
      <c r="B9" s="560"/>
      <c r="C9" s="560"/>
      <c r="D9" s="560"/>
      <c r="E9" s="560"/>
      <c r="F9" s="560"/>
      <c r="G9" s="52"/>
      <c r="H9" s="52"/>
      <c r="I9" s="52"/>
      <c r="J9" s="282">
        <f>-21700+19763+531.558+16.5+40-133.01</f>
        <v>-1481.952</v>
      </c>
      <c r="K9" s="52"/>
      <c r="L9" s="52"/>
      <c r="M9" s="52"/>
      <c r="N9" s="52"/>
    </row>
    <row r="10" spans="1:14" ht="23.25" customHeight="1">
      <c r="A10" s="561" t="s">
        <v>976</v>
      </c>
      <c r="B10" s="562">
        <f>SUM(C10:F10)</f>
        <v>125720.1</v>
      </c>
      <c r="C10" s="562">
        <v>123663.1</v>
      </c>
      <c r="D10" s="562">
        <v>825</v>
      </c>
      <c r="E10" s="562">
        <f>807</f>
        <v>807</v>
      </c>
      <c r="F10" s="562">
        <f>425</f>
        <v>425</v>
      </c>
      <c r="G10" s="52"/>
      <c r="H10" s="52"/>
      <c r="I10" s="52"/>
      <c r="J10" s="1017">
        <f>-2.51+2.51+0.074+0.0033+0.0053-0.01531</f>
        <v>6.7289999999999989E-2</v>
      </c>
      <c r="K10" s="52"/>
      <c r="L10" s="52"/>
      <c r="M10" s="52"/>
      <c r="N10" s="52"/>
    </row>
    <row r="11" spans="1:14" ht="23.25" customHeight="1">
      <c r="A11" s="565" t="s">
        <v>977</v>
      </c>
      <c r="B11" s="1197">
        <f>SUM(C11:F11)</f>
        <v>27.30093997103705</v>
      </c>
      <c r="C11" s="566">
        <v>27</v>
      </c>
      <c r="D11" s="566">
        <f>825/6942</f>
        <v>0.11884183232497839</v>
      </c>
      <c r="E11" s="566">
        <f>E10/6837</f>
        <v>0.11803422553751645</v>
      </c>
      <c r="F11" s="566">
        <f>F10/6634</f>
        <v>6.4063913174555315E-2</v>
      </c>
      <c r="G11" s="52"/>
      <c r="H11" s="52"/>
      <c r="I11" s="52"/>
      <c r="J11" s="52"/>
      <c r="K11" s="52"/>
      <c r="L11" s="52"/>
      <c r="M11" s="52"/>
      <c r="N11" s="52"/>
    </row>
    <row r="12" spans="1:14" ht="21.75" customHeight="1">
      <c r="A12" s="559" t="s">
        <v>978</v>
      </c>
      <c r="B12" s="567"/>
      <c r="C12" s="567"/>
      <c r="D12" s="567"/>
      <c r="E12" s="560"/>
      <c r="F12" s="560"/>
      <c r="G12" s="52"/>
      <c r="H12" s="594"/>
      <c r="I12" s="52"/>
      <c r="J12" s="52"/>
      <c r="K12" s="52"/>
      <c r="L12" s="52"/>
      <c r="M12" s="52"/>
      <c r="N12" s="52"/>
    </row>
    <row r="13" spans="1:14" ht="23.25" customHeight="1">
      <c r="A13" s="561" t="s">
        <v>976</v>
      </c>
      <c r="B13" s="562">
        <f>SUM(C13:F13)</f>
        <v>2529.6999999999998</v>
      </c>
      <c r="C13" s="566">
        <v>2529.6999999999998</v>
      </c>
      <c r="D13" s="566"/>
      <c r="E13" s="562"/>
      <c r="F13" s="562"/>
      <c r="G13" s="52"/>
      <c r="H13" s="52"/>
      <c r="I13" s="52"/>
      <c r="J13" s="52"/>
      <c r="K13" s="52"/>
      <c r="L13" s="52"/>
      <c r="M13" s="52"/>
      <c r="N13" s="52"/>
    </row>
    <row r="14" spans="1:14" ht="23.25" customHeight="1">
      <c r="A14" s="565" t="s">
        <v>977</v>
      </c>
      <c r="B14" s="566">
        <f>SUM(C14:F14)</f>
        <v>0.30878943479104243</v>
      </c>
      <c r="C14" s="566">
        <v>0.30878943479104243</v>
      </c>
      <c r="D14" s="566"/>
      <c r="E14" s="566"/>
      <c r="F14" s="566"/>
      <c r="G14" s="52"/>
      <c r="H14" s="52"/>
      <c r="I14" s="52"/>
      <c r="J14" s="52"/>
      <c r="K14" s="52"/>
      <c r="L14" s="52"/>
      <c r="M14" s="52"/>
      <c r="N14" s="52"/>
    </row>
    <row r="15" spans="1:14" ht="21.75" customHeight="1">
      <c r="A15" s="568" t="s">
        <v>979</v>
      </c>
      <c r="B15" s="569"/>
      <c r="C15" s="570"/>
      <c r="D15" s="569"/>
      <c r="E15" s="569"/>
      <c r="F15" s="569"/>
      <c r="G15" s="52"/>
      <c r="H15" s="52"/>
      <c r="I15" s="52"/>
      <c r="J15" s="52"/>
      <c r="K15" s="52"/>
      <c r="L15" s="52"/>
      <c r="M15" s="52"/>
      <c r="N15" s="52"/>
    </row>
    <row r="16" spans="1:14" ht="14.25" customHeight="1">
      <c r="A16" s="571" t="s">
        <v>980</v>
      </c>
      <c r="B16" s="571"/>
      <c r="C16" s="571"/>
      <c r="D16" s="571"/>
      <c r="E16" s="571"/>
      <c r="F16" s="571"/>
      <c r="G16" s="52"/>
      <c r="H16" s="52"/>
      <c r="I16" s="52"/>
      <c r="J16" s="52"/>
      <c r="K16" s="52"/>
      <c r="L16" s="52"/>
      <c r="M16" s="52"/>
      <c r="N16" s="52"/>
    </row>
    <row r="17" spans="1:14" ht="23.25" customHeight="1">
      <c r="A17" s="379" t="s">
        <v>976</v>
      </c>
      <c r="B17" s="572">
        <f>SUM(C17:F17)</f>
        <v>9984.4999999999982</v>
      </c>
      <c r="C17" s="572">
        <f t="shared" ref="C17:F18" si="0">C21+C24+C27</f>
        <v>4070</v>
      </c>
      <c r="D17" s="573">
        <f t="shared" si="0"/>
        <v>16.5</v>
      </c>
      <c r="E17" s="573">
        <f t="shared" si="0"/>
        <v>5412.2999999999993</v>
      </c>
      <c r="F17" s="573">
        <f t="shared" si="0"/>
        <v>485.69999999999902</v>
      </c>
    </row>
    <row r="18" spans="1:14" ht="23.25" customHeight="1">
      <c r="A18" s="574" t="s">
        <v>977</v>
      </c>
      <c r="B18" s="575">
        <f>SUM(C18:F18)</f>
        <v>1.297618441696583</v>
      </c>
      <c r="C18" s="575">
        <f t="shared" si="0"/>
        <v>0.53700000000000003</v>
      </c>
      <c r="D18" s="1010">
        <f t="shared" si="0"/>
        <v>3.3E-3</v>
      </c>
      <c r="E18" s="576">
        <f t="shared" si="0"/>
        <v>0.68200000000000005</v>
      </c>
      <c r="F18" s="576">
        <f t="shared" si="0"/>
        <v>7.5318441696582902E-2</v>
      </c>
    </row>
    <row r="19" spans="1:14" ht="14.25" customHeight="1">
      <c r="A19" s="577" t="s">
        <v>643</v>
      </c>
      <c r="B19" s="577"/>
      <c r="C19" s="577"/>
      <c r="D19" s="577"/>
      <c r="E19" s="577"/>
      <c r="F19" s="577"/>
    </row>
    <row r="20" spans="1:14" ht="19.5" customHeight="1">
      <c r="A20" s="578" t="s">
        <v>981</v>
      </c>
      <c r="B20" s="579"/>
      <c r="C20" s="579"/>
      <c r="D20" s="579"/>
      <c r="E20" s="579"/>
      <c r="F20" s="580"/>
    </row>
    <row r="21" spans="1:14" ht="23.25" customHeight="1">
      <c r="A21" s="561" t="s">
        <v>976</v>
      </c>
      <c r="B21" s="564">
        <f>SUM(C21:F21)</f>
        <v>9712.9999999999982</v>
      </c>
      <c r="C21" s="564">
        <v>4070</v>
      </c>
      <c r="D21" s="141">
        <v>0</v>
      </c>
      <c r="E21" s="1022">
        <f>5395.4</f>
        <v>5395.4</v>
      </c>
      <c r="F21" s="1014">
        <f>207.599999999999+40</f>
        <v>247.599999999999</v>
      </c>
    </row>
    <row r="22" spans="1:14" ht="23.25" customHeight="1">
      <c r="A22" s="565" t="s">
        <v>977</v>
      </c>
      <c r="B22" s="563">
        <f>SUM(C22:F22)</f>
        <v>1.2503184416965831</v>
      </c>
      <c r="C22" s="563">
        <v>0.53700000000000003</v>
      </c>
      <c r="D22" s="141">
        <v>0</v>
      </c>
      <c r="E22" s="1023">
        <f>0.679</f>
        <v>0.67900000000000005</v>
      </c>
      <c r="F22" s="1014">
        <f>0.029+40/7521</f>
        <v>3.4318441696582901E-2</v>
      </c>
    </row>
    <row r="23" spans="1:14" ht="30.75" customHeight="1">
      <c r="A23" s="4124" t="s">
        <v>1132</v>
      </c>
      <c r="B23" s="4124"/>
      <c r="C23" s="4124"/>
      <c r="D23" s="4124"/>
      <c r="E23" s="4124"/>
      <c r="F23" s="4124"/>
    </row>
    <row r="24" spans="1:14" ht="47.25" customHeight="1">
      <c r="A24" s="561" t="s">
        <v>976</v>
      </c>
      <c r="B24" s="564">
        <f>SUM(C24:F24)</f>
        <v>255.00000000000003</v>
      </c>
      <c r="C24" s="141">
        <v>0</v>
      </c>
      <c r="D24" s="141">
        <v>0</v>
      </c>
      <c r="E24" s="564">
        <v>16.899999999999999</v>
      </c>
      <c r="F24" s="564">
        <v>238.10000000000002</v>
      </c>
    </row>
    <row r="25" spans="1:14" ht="23.25" customHeight="1">
      <c r="A25" s="565" t="s">
        <v>977</v>
      </c>
      <c r="B25" s="563">
        <f>SUM(C25:F25)</f>
        <v>4.4000000000000004E-2</v>
      </c>
      <c r="C25" s="141">
        <v>0</v>
      </c>
      <c r="D25" s="141">
        <v>0</v>
      </c>
      <c r="E25" s="1021">
        <v>3.0000000000000001E-3</v>
      </c>
      <c r="F25" s="1021">
        <v>4.1000000000000002E-2</v>
      </c>
      <c r="H25" s="1018">
        <f>E24/E25</f>
        <v>5633.333333333333</v>
      </c>
      <c r="I25" s="1018">
        <f>F24/F25</f>
        <v>5807.3170731707323</v>
      </c>
    </row>
    <row r="26" spans="1:14" ht="49.5" customHeight="1">
      <c r="A26" s="4124" t="s">
        <v>1133</v>
      </c>
      <c r="B26" s="4124"/>
      <c r="C26" s="4124"/>
      <c r="D26" s="4124"/>
      <c r="E26" s="4124"/>
      <c r="F26" s="4124"/>
    </row>
    <row r="27" spans="1:14" ht="23.25" customHeight="1">
      <c r="A27" s="561" t="s">
        <v>976</v>
      </c>
      <c r="B27" s="573">
        <f>SUM(C27:F27)</f>
        <v>16.5</v>
      </c>
      <c r="C27" s="564"/>
      <c r="D27" s="1012">
        <f>16.5</f>
        <v>16.5</v>
      </c>
      <c r="E27" s="1022"/>
      <c r="F27" s="562"/>
    </row>
    <row r="28" spans="1:14" ht="23.25" customHeight="1">
      <c r="A28" s="565" t="s">
        <v>977</v>
      </c>
      <c r="B28" s="1010">
        <f>SUM(C28:F28)</f>
        <v>3.3E-3</v>
      </c>
      <c r="C28" s="563"/>
      <c r="D28" s="1013">
        <f>D27/5000</f>
        <v>3.3E-3</v>
      </c>
      <c r="E28" s="1024"/>
      <c r="F28" s="566"/>
    </row>
    <row r="29" spans="1:14" ht="21.75" customHeight="1">
      <c r="A29" s="581" t="s">
        <v>982</v>
      </c>
      <c r="B29" s="577"/>
      <c r="C29" s="577"/>
      <c r="D29" s="577"/>
      <c r="E29" s="577"/>
      <c r="F29" s="577"/>
    </row>
    <row r="30" spans="1:14" ht="23.25" customHeight="1">
      <c r="A30" s="561" t="s">
        <v>976</v>
      </c>
      <c r="B30" s="573">
        <f>SUM(C30:F30)</f>
        <v>22141.869000000002</v>
      </c>
      <c r="C30" s="1014">
        <f>23187.311-21700+19763</f>
        <v>21250.311000000002</v>
      </c>
      <c r="D30" s="141">
        <v>0</v>
      </c>
      <c r="E30" s="562">
        <v>360</v>
      </c>
      <c r="F30" s="1014">
        <f>531.558</f>
        <v>531.55799999999999</v>
      </c>
      <c r="I30" s="766">
        <v>23680.321</v>
      </c>
    </row>
    <row r="31" spans="1:14" ht="23.25" customHeight="1">
      <c r="A31" s="565" t="s">
        <v>977</v>
      </c>
      <c r="B31" s="576">
        <f>SUM(C31:F31)</f>
        <v>2.819</v>
      </c>
      <c r="C31" s="1014">
        <f>2.705-2.51+2.51</f>
        <v>2.7050000000000001</v>
      </c>
      <c r="D31" s="141">
        <v>0</v>
      </c>
      <c r="E31" s="566">
        <v>0.04</v>
      </c>
      <c r="F31" s="1014">
        <f>0.074</f>
        <v>7.3999999999999996E-2</v>
      </c>
      <c r="I31" s="471">
        <v>2.7603135126301153</v>
      </c>
    </row>
    <row r="32" spans="1:14" s="584" customFormat="1" ht="15.75" customHeight="1">
      <c r="A32" s="582"/>
      <c r="B32" s="582"/>
      <c r="C32" s="582"/>
      <c r="D32" s="582"/>
      <c r="E32" s="582"/>
      <c r="F32" s="582"/>
      <c r="G32" s="583"/>
      <c r="H32" s="583"/>
      <c r="I32" s="583"/>
      <c r="J32" s="583"/>
      <c r="K32" s="583"/>
      <c r="L32" s="583"/>
      <c r="M32" s="583"/>
      <c r="N32" s="583"/>
    </row>
    <row r="33" spans="1:14" s="584" customFormat="1" ht="15.75" customHeight="1">
      <c r="G33" s="583"/>
      <c r="H33" s="583"/>
      <c r="I33" s="583"/>
      <c r="J33" s="583"/>
      <c r="K33" s="583"/>
      <c r="L33" s="583"/>
      <c r="M33" s="583"/>
      <c r="N33" s="583"/>
    </row>
    <row r="34" spans="1:14" s="485" customFormat="1" ht="15.75" customHeight="1">
      <c r="C34" s="585"/>
      <c r="E34" s="586"/>
      <c r="G34" s="587"/>
      <c r="H34" s="587"/>
      <c r="I34" s="587"/>
      <c r="J34" s="587"/>
      <c r="K34" s="587"/>
      <c r="L34" s="587"/>
      <c r="M34" s="587"/>
      <c r="N34" s="587"/>
    </row>
    <row r="35" spans="1:14" s="485" customFormat="1" ht="15.75" customHeight="1">
      <c r="A35" s="172" t="s">
        <v>626</v>
      </c>
      <c r="B35" s="172"/>
      <c r="C35" s="172"/>
      <c r="D35" s="165" t="s">
        <v>1266</v>
      </c>
      <c r="E35" s="172"/>
      <c r="F35" s="172"/>
      <c r="G35" s="587"/>
      <c r="H35" s="587"/>
      <c r="I35" s="587"/>
      <c r="J35" s="587"/>
      <c r="K35" s="587"/>
      <c r="L35" s="587"/>
      <c r="M35" s="587"/>
      <c r="N35" s="587"/>
    </row>
    <row r="36" spans="1:14" s="485" customFormat="1" ht="15.75" customHeight="1">
      <c r="A36" s="172" t="s">
        <v>1134</v>
      </c>
      <c r="B36" s="172"/>
      <c r="C36" s="172"/>
      <c r="D36" s="551" t="s">
        <v>1300</v>
      </c>
      <c r="E36" s="172"/>
      <c r="F36" s="172"/>
      <c r="G36" s="587"/>
      <c r="H36" s="587"/>
      <c r="I36" s="587"/>
      <c r="J36" s="587"/>
      <c r="K36" s="587"/>
      <c r="L36" s="587"/>
      <c r="M36" s="587"/>
      <c r="N36" s="587"/>
    </row>
    <row r="37" spans="1:14" s="485" customFormat="1" ht="19.5" customHeight="1">
      <c r="B37" s="172"/>
      <c r="C37" s="172"/>
      <c r="D37" s="26" t="s">
        <v>1262</v>
      </c>
      <c r="E37" s="172"/>
      <c r="F37" s="172"/>
      <c r="G37" s="587"/>
      <c r="H37" s="587"/>
      <c r="I37" s="587"/>
      <c r="J37" s="587"/>
      <c r="K37" s="587"/>
      <c r="L37" s="587"/>
      <c r="M37" s="587"/>
      <c r="N37" s="587"/>
    </row>
    <row r="38" spans="1:14" s="485" customFormat="1" ht="15.75" customHeight="1">
      <c r="B38" s="172"/>
      <c r="C38" s="172"/>
      <c r="E38" s="589"/>
      <c r="F38" s="321"/>
      <c r="G38" s="587"/>
      <c r="H38" s="587"/>
      <c r="I38" s="587"/>
      <c r="J38" s="587"/>
      <c r="K38" s="587"/>
      <c r="L38" s="587"/>
      <c r="M38" s="587"/>
      <c r="N38" s="587"/>
    </row>
    <row r="39" spans="1:14" ht="15.6">
      <c r="A39" s="172" t="s">
        <v>1135</v>
      </c>
      <c r="B39" s="201"/>
      <c r="C39" s="201"/>
      <c r="D39" s="551" t="s">
        <v>1301</v>
      </c>
      <c r="E39" s="201"/>
      <c r="F39" s="201"/>
    </row>
    <row r="40" spans="1:14">
      <c r="A40" s="588" t="s">
        <v>983</v>
      </c>
      <c r="B40" s="282"/>
      <c r="C40" s="282"/>
      <c r="D40" s="588" t="s">
        <v>984</v>
      </c>
      <c r="E40" s="282"/>
      <c r="F40" s="590"/>
    </row>
    <row r="41" spans="1:14">
      <c r="A41" s="591"/>
      <c r="B41" s="592"/>
      <c r="C41" s="471"/>
      <c r="D41" s="558"/>
      <c r="E41" s="471"/>
      <c r="F41" s="590"/>
    </row>
    <row r="42" spans="1:14">
      <c r="A42" s="593"/>
      <c r="B42" s="592"/>
      <c r="C42" s="471"/>
      <c r="D42" s="558"/>
      <c r="E42" s="471"/>
      <c r="F42" s="590"/>
    </row>
    <row r="43" spans="1:14">
      <c r="A43" s="282"/>
      <c r="B43" s="558"/>
      <c r="C43" s="558"/>
      <c r="D43" s="558"/>
      <c r="E43" s="471"/>
      <c r="F43" s="590"/>
    </row>
    <row r="44" spans="1:14">
      <c r="A44" s="282"/>
      <c r="B44" s="282"/>
      <c r="C44" s="471"/>
      <c r="D44" s="282"/>
      <c r="E44" s="282"/>
      <c r="F44" s="282"/>
    </row>
    <row r="46" spans="1:14">
      <c r="A46" s="282"/>
    </row>
    <row r="102" spans="4:14">
      <c r="D102" s="61" t="e">
        <f>D127+#REF!</f>
        <v>#REF!</v>
      </c>
      <c r="E102" s="594" t="e">
        <f>E127+#REF!</f>
        <v>#REF!</v>
      </c>
      <c r="G102" s="52"/>
      <c r="H102" s="52"/>
      <c r="I102" s="52"/>
      <c r="J102" s="52"/>
      <c r="K102" s="52"/>
      <c r="L102" s="52"/>
      <c r="M102" s="52"/>
      <c r="N102" s="52"/>
    </row>
    <row r="103" spans="4:14">
      <c r="E103" s="594"/>
      <c r="G103" s="52"/>
      <c r="H103" s="52"/>
      <c r="I103" s="52"/>
      <c r="J103" s="52"/>
      <c r="K103" s="52"/>
      <c r="L103" s="52"/>
      <c r="M103" s="52"/>
      <c r="N103" s="52"/>
    </row>
  </sheetData>
  <mergeCells count="6">
    <mergeCell ref="A26:F26"/>
    <mergeCell ref="A5:F5"/>
    <mergeCell ref="A7:A8"/>
    <mergeCell ref="B7:B8"/>
    <mergeCell ref="C7:F7"/>
    <mergeCell ref="A23:F23"/>
  </mergeCells>
  <printOptions horizontalCentered="1"/>
  <pageMargins left="0.98402777777777783" right="0.98402777777777783" top="0.78749999999999998" bottom="0.11805555555555557" header="0.51180555555555562" footer="0.51180555555555562"/>
  <pageSetup paperSize="9" scale="77" firstPageNumber="0" orientation="portrait" horizontalDpi="300" verticalDpi="300" r:id="rId1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2">
    <tabColor rgb="FF92D050"/>
  </sheetPr>
  <dimension ref="A1:L55"/>
  <sheetViews>
    <sheetView topLeftCell="A23" workbookViewId="0">
      <selection activeCell="K8" sqref="K8"/>
    </sheetView>
  </sheetViews>
  <sheetFormatPr defaultColWidth="9.109375" defaultRowHeight="13.2"/>
  <cols>
    <col min="1" max="1" width="4.5546875" style="135" customWidth="1"/>
    <col min="2" max="2" width="55" style="135" customWidth="1"/>
    <col min="3" max="3" width="14.33203125" style="135" customWidth="1"/>
    <col min="4" max="4" width="13.88671875" style="135" customWidth="1"/>
    <col min="5" max="5" width="12.5546875" style="1111" customWidth="1"/>
    <col min="6" max="7" width="9.109375" style="135"/>
    <col min="8" max="8" width="9.109375" style="1105"/>
    <col min="9" max="16384" width="9.109375" style="135"/>
  </cols>
  <sheetData>
    <row r="1" spans="1:8" ht="75.75" hidden="1" customHeight="1">
      <c r="A1" s="1103" t="s">
        <v>1510</v>
      </c>
      <c r="B1" s="161"/>
      <c r="E1" s="1104"/>
    </row>
    <row r="2" spans="1:8" ht="15" hidden="1" customHeight="1">
      <c r="A2" s="1106"/>
      <c r="B2" s="161"/>
      <c r="C2" s="1107"/>
      <c r="D2" s="1108"/>
      <c r="E2" s="1104"/>
    </row>
    <row r="3" spans="1:8" ht="15" hidden="1" customHeight="1">
      <c r="A3" s="1106"/>
      <c r="B3" s="161"/>
      <c r="C3" s="1107"/>
      <c r="D3" s="1108"/>
      <c r="E3" s="1104"/>
    </row>
    <row r="4" spans="1:8" ht="15" hidden="1" customHeight="1">
      <c r="A4" s="1106"/>
      <c r="B4" s="161"/>
      <c r="C4" s="1107"/>
      <c r="D4" s="1108"/>
      <c r="E4" s="1104"/>
    </row>
    <row r="5" spans="1:8" ht="15" hidden="1" customHeight="1">
      <c r="A5" s="1106"/>
      <c r="B5" s="161"/>
      <c r="C5" s="1107"/>
      <c r="D5" s="1108"/>
      <c r="E5" s="1104"/>
    </row>
    <row r="6" spans="1:8" ht="15" hidden="1" customHeight="1">
      <c r="A6" s="1106"/>
      <c r="B6" s="161"/>
      <c r="C6" s="1107"/>
      <c r="D6" s="1108"/>
      <c r="E6" s="1104"/>
    </row>
    <row r="7" spans="1:8" ht="15" hidden="1" customHeight="1">
      <c r="A7" s="1106"/>
      <c r="B7" s="161"/>
      <c r="C7" s="1107"/>
      <c r="D7" s="1108"/>
      <c r="E7" s="1104"/>
    </row>
    <row r="8" spans="1:8" ht="19.5" hidden="1" customHeight="1">
      <c r="A8" s="1106"/>
      <c r="B8" s="161"/>
      <c r="C8" s="1107"/>
      <c r="D8" s="1108"/>
      <c r="E8" s="1104"/>
    </row>
    <row r="9" spans="1:8" ht="19.5" hidden="1" customHeight="1">
      <c r="A9" s="1106"/>
      <c r="B9" s="161"/>
      <c r="C9" s="1107"/>
      <c r="D9" s="1108"/>
      <c r="E9" s="1104"/>
    </row>
    <row r="10" spans="1:8" ht="19.5" hidden="1" customHeight="1">
      <c r="A10" s="1106"/>
      <c r="B10" s="161"/>
      <c r="C10" s="1107"/>
      <c r="D10" s="1108"/>
      <c r="E10" s="1104"/>
    </row>
    <row r="11" spans="1:8" ht="76.5" customHeight="1">
      <c r="A11" s="1109"/>
      <c r="B11" s="1110"/>
      <c r="C11" s="4124" t="s">
        <v>1511</v>
      </c>
      <c r="D11" s="4124"/>
    </row>
    <row r="12" spans="1:8" ht="18" customHeight="1">
      <c r="A12" s="1109" t="s">
        <v>1512</v>
      </c>
      <c r="B12" s="1110"/>
      <c r="C12" s="1110"/>
      <c r="D12" s="1110"/>
      <c r="E12" s="1112"/>
    </row>
    <row r="13" spans="1:8" ht="17.399999999999999">
      <c r="A13" s="1109" t="s">
        <v>1513</v>
      </c>
      <c r="B13" s="1110"/>
      <c r="C13" s="1110"/>
      <c r="D13" s="1110"/>
      <c r="E13" s="1112"/>
    </row>
    <row r="14" spans="1:8" ht="17.399999999999999">
      <c r="A14" s="1109" t="s">
        <v>1495</v>
      </c>
      <c r="B14" s="1110"/>
      <c r="C14" s="1110"/>
      <c r="D14" s="1110"/>
      <c r="E14" s="1112"/>
    </row>
    <row r="15" spans="1:8" ht="24.75" customHeight="1">
      <c r="A15" s="161"/>
      <c r="B15" s="161"/>
    </row>
    <row r="16" spans="1:8" s="1116" customFormat="1" ht="151.5" customHeight="1">
      <c r="A16" s="1113" t="s">
        <v>1514</v>
      </c>
      <c r="B16" s="1113" t="s">
        <v>1515</v>
      </c>
      <c r="C16" s="1113" t="s">
        <v>1516</v>
      </c>
      <c r="D16" s="1114" t="s">
        <v>1517</v>
      </c>
      <c r="E16" s="1115" t="s">
        <v>836</v>
      </c>
      <c r="F16" s="1116" t="s">
        <v>832</v>
      </c>
      <c r="H16" s="1117" t="s">
        <v>963</v>
      </c>
    </row>
    <row r="17" spans="1:10" s="1116" customFormat="1" ht="23.25" customHeight="1">
      <c r="A17" s="1118" t="s">
        <v>1518</v>
      </c>
      <c r="B17" s="1119"/>
      <c r="C17" s="1119"/>
      <c r="D17" s="1119"/>
      <c r="E17" s="1120"/>
      <c r="F17" s="1116" t="s">
        <v>832</v>
      </c>
      <c r="H17" s="1117"/>
    </row>
    <row r="18" spans="1:10" ht="23.25" customHeight="1">
      <c r="A18" s="1121"/>
      <c r="B18" s="1121"/>
      <c r="C18" s="1122" t="s">
        <v>981</v>
      </c>
      <c r="D18" s="1123"/>
      <c r="E18" s="1123"/>
    </row>
    <row r="19" spans="1:10" ht="15.75" customHeight="1">
      <c r="A19" s="1121" t="s">
        <v>200</v>
      </c>
      <c r="B19" s="1124" t="s">
        <v>1519</v>
      </c>
      <c r="C19" s="1179">
        <f>C34+(4940.64-4069.969)</f>
        <v>3074.6400000000003</v>
      </c>
      <c r="D19" s="1183">
        <f>D34+(0.6033-0.537)</f>
        <v>0.31929999999999992</v>
      </c>
      <c r="E19" s="1125" t="s">
        <v>697</v>
      </c>
      <c r="H19" s="1126">
        <f>C19/D19</f>
        <v>9629.3141246476698</v>
      </c>
    </row>
    <row r="20" spans="1:10" ht="21" customHeight="1">
      <c r="A20" s="1121" t="s">
        <v>207</v>
      </c>
      <c r="B20" s="1124" t="s">
        <v>1520</v>
      </c>
      <c r="C20" s="1121">
        <f>C46</f>
        <v>1866</v>
      </c>
      <c r="D20" s="1184">
        <f>D46</f>
        <v>0.28399999999999997</v>
      </c>
      <c r="E20" s="1125" t="s">
        <v>697</v>
      </c>
      <c r="G20" s="1130">
        <f>SUM(C19:C20)</f>
        <v>4940.6400000000003</v>
      </c>
      <c r="H20" s="1126">
        <f t="shared" ref="H20:H46" si="0">C20/D20</f>
        <v>6570.422535211268</v>
      </c>
    </row>
    <row r="21" spans="1:10" ht="35.25" customHeight="1">
      <c r="A21" s="1121"/>
      <c r="B21" s="1127" t="s">
        <v>1521</v>
      </c>
      <c r="C21" s="1181">
        <f>SUM(C19:C20)</f>
        <v>4940.6400000000003</v>
      </c>
      <c r="D21" s="1185">
        <f>ROUND((SUM(D19:D20)),4)</f>
        <v>0.60329999999999995</v>
      </c>
      <c r="E21" s="1129" t="s">
        <v>697</v>
      </c>
      <c r="G21" s="1180">
        <f>SUM(D19:D20)</f>
        <v>0.60329999999999995</v>
      </c>
      <c r="H21" s="1126">
        <f t="shared" si="0"/>
        <v>8189.3585280954758</v>
      </c>
    </row>
    <row r="22" spans="1:10" ht="24.75" customHeight="1">
      <c r="A22" s="1121" t="s">
        <v>208</v>
      </c>
      <c r="B22" s="1124" t="s">
        <v>981</v>
      </c>
      <c r="C22" s="1182">
        <v>4637.9399999999996</v>
      </c>
      <c r="D22" s="1184">
        <v>0.5988</v>
      </c>
      <c r="E22" s="1125" t="s">
        <v>549</v>
      </c>
      <c r="H22" s="1126">
        <f t="shared" si="0"/>
        <v>7745.3907815631255</v>
      </c>
    </row>
    <row r="23" spans="1:10" ht="15.75" customHeight="1">
      <c r="A23" s="1121" t="s">
        <v>210</v>
      </c>
      <c r="B23" s="1124" t="s">
        <v>981</v>
      </c>
      <c r="C23" s="1182">
        <v>54.15</v>
      </c>
      <c r="D23" s="1184">
        <v>7.1999999999999998E-3</v>
      </c>
      <c r="E23" s="1125" t="s">
        <v>681</v>
      </c>
      <c r="H23" s="1126">
        <f t="shared" si="0"/>
        <v>7520.833333333333</v>
      </c>
    </row>
    <row r="24" spans="1:10" ht="33.75" customHeight="1">
      <c r="A24" s="1121"/>
      <c r="B24" s="1132" t="s">
        <v>1522</v>
      </c>
      <c r="C24" s="1187">
        <f>C21+C22+C23</f>
        <v>9632.73</v>
      </c>
      <c r="D24" s="1186">
        <f>D21+D22+D23</f>
        <v>1.2093</v>
      </c>
      <c r="E24" s="1133"/>
      <c r="H24" s="1126">
        <f t="shared" si="0"/>
        <v>7965.5420491193245</v>
      </c>
    </row>
    <row r="25" spans="1:10" ht="18" customHeight="1">
      <c r="A25" s="1121"/>
      <c r="B25" s="1121"/>
      <c r="C25" s="1134" t="s">
        <v>1523</v>
      </c>
      <c r="D25" s="1123"/>
      <c r="E25" s="1123"/>
      <c r="H25" s="1126"/>
    </row>
    <row r="26" spans="1:10" ht="16.5" hidden="1" customHeight="1">
      <c r="A26" s="1121"/>
      <c r="B26" s="1121"/>
      <c r="C26" s="1131"/>
      <c r="D26" s="1121"/>
      <c r="E26" s="1125" t="s">
        <v>697</v>
      </c>
      <c r="H26" s="1126" t="e">
        <f t="shared" si="0"/>
        <v>#DIV/0!</v>
      </c>
    </row>
    <row r="27" spans="1:10" ht="21.75" customHeight="1">
      <c r="A27" s="1121" t="s">
        <v>212</v>
      </c>
      <c r="B27" s="1124" t="s">
        <v>1523</v>
      </c>
      <c r="C27" s="1182">
        <v>21.36</v>
      </c>
      <c r="D27" s="1184">
        <v>4.3E-3</v>
      </c>
      <c r="E27" s="1125" t="s">
        <v>549</v>
      </c>
      <c r="H27" s="1126">
        <f t="shared" si="0"/>
        <v>4967.4418604651164</v>
      </c>
    </row>
    <row r="28" spans="1:10" ht="24" customHeight="1">
      <c r="A28" s="1121" t="s">
        <v>215</v>
      </c>
      <c r="B28" s="1124" t="s">
        <v>1523</v>
      </c>
      <c r="C28" s="1182">
        <v>188.37</v>
      </c>
      <c r="D28" s="1184">
        <v>3.7499999999999999E-2</v>
      </c>
      <c r="E28" s="1125" t="s">
        <v>681</v>
      </c>
      <c r="H28" s="1126">
        <f t="shared" si="0"/>
        <v>5023.2000000000007</v>
      </c>
    </row>
    <row r="29" spans="1:10" ht="28.5" customHeight="1">
      <c r="A29" s="1121"/>
      <c r="B29" s="1132" t="s">
        <v>1524</v>
      </c>
      <c r="C29" s="1187">
        <f>SUM(C27:C28)</f>
        <v>209.73000000000002</v>
      </c>
      <c r="D29" s="1186">
        <f>SUM(D27:D28)</f>
        <v>4.1799999999999997E-2</v>
      </c>
      <c r="E29" s="1133"/>
      <c r="H29" s="1126">
        <f>C29/D29</f>
        <v>5017.4641148325363</v>
      </c>
    </row>
    <row r="30" spans="1:10" s="1139" customFormat="1" ht="21" customHeight="1">
      <c r="A30" s="1135"/>
      <c r="B30" s="1136" t="s">
        <v>1525</v>
      </c>
      <c r="C30" s="1137">
        <f>C24+C29</f>
        <v>9842.4599999999991</v>
      </c>
      <c r="D30" s="1188">
        <f>D24+D29</f>
        <v>1.2511000000000001</v>
      </c>
      <c r="E30" s="1138"/>
      <c r="H30" s="1126">
        <f t="shared" si="0"/>
        <v>7867.0450003996466</v>
      </c>
    </row>
    <row r="31" spans="1:10" s="1116" customFormat="1" ht="21" customHeight="1">
      <c r="A31" s="1140" t="s">
        <v>1526</v>
      </c>
      <c r="B31" s="1141"/>
      <c r="C31" s="1142"/>
      <c r="D31" s="1121"/>
      <c r="E31" s="1143"/>
      <c r="F31" s="1116" t="s">
        <v>832</v>
      </c>
      <c r="H31" s="1126"/>
    </row>
    <row r="32" spans="1:10" ht="78" customHeight="1">
      <c r="A32" s="1144">
        <f>A18+1</f>
        <v>1</v>
      </c>
      <c r="B32" s="1145" t="s">
        <v>1527</v>
      </c>
      <c r="C32" s="1146">
        <v>3017.28</v>
      </c>
      <c r="D32" s="1147">
        <v>0.34599999999999997</v>
      </c>
      <c r="E32" s="1148" t="s">
        <v>697</v>
      </c>
      <c r="G32" s="1149">
        <f>C33+C35+C45</f>
        <v>21250.311000000002</v>
      </c>
      <c r="H32" s="1126">
        <f t="shared" si="0"/>
        <v>8720.462427745666</v>
      </c>
      <c r="I32" s="1150">
        <f>[17]Лист1!H20</f>
        <v>8417.0198482290671</v>
      </c>
      <c r="J32" s="1130">
        <f>SUM(D33:D34)</f>
        <v>0.34599999999999997</v>
      </c>
    </row>
    <row r="33" spans="1:12" ht="16.5" customHeight="1">
      <c r="A33" s="1151" t="s">
        <v>138</v>
      </c>
      <c r="B33" s="1152" t="s">
        <v>1528</v>
      </c>
      <c r="C33" s="1146">
        <v>813.31100000000004</v>
      </c>
      <c r="D33" s="1147">
        <v>9.2999999999999999E-2</v>
      </c>
      <c r="E33" s="1148" t="s">
        <v>697</v>
      </c>
      <c r="G33" s="135" t="s">
        <v>1529</v>
      </c>
      <c r="H33" s="1126">
        <f t="shared" si="0"/>
        <v>8745.2795698924729</v>
      </c>
    </row>
    <row r="34" spans="1:12" ht="16.5" customHeight="1">
      <c r="A34" s="1151" t="s">
        <v>141</v>
      </c>
      <c r="B34" s="1153" t="s">
        <v>1530</v>
      </c>
      <c r="C34" s="1154">
        <f>C32-C33</f>
        <v>2203.9690000000001</v>
      </c>
      <c r="D34" s="1147">
        <f>D32-D33</f>
        <v>0.253</v>
      </c>
      <c r="E34" s="1148" t="s">
        <v>697</v>
      </c>
      <c r="F34" s="135" t="s">
        <v>1531</v>
      </c>
      <c r="G34" s="1155">
        <v>2203.9690000000001</v>
      </c>
      <c r="H34" s="1126">
        <f t="shared" si="0"/>
        <v>8711.3399209486161</v>
      </c>
    </row>
    <row r="35" spans="1:12" ht="15.6">
      <c r="A35" s="4124">
        <f>A32+1</f>
        <v>2</v>
      </c>
      <c r="B35" s="4124" t="s">
        <v>1532</v>
      </c>
      <c r="C35" s="1156">
        <v>19763</v>
      </c>
      <c r="D35" s="1157">
        <v>2.5099999999999998</v>
      </c>
      <c r="E35" s="1148" t="s">
        <v>697</v>
      </c>
      <c r="F35" s="135" t="s">
        <v>1533</v>
      </c>
      <c r="G35" s="1155">
        <v>0.253</v>
      </c>
      <c r="H35" s="1126">
        <f t="shared" si="0"/>
        <v>7873.7051792828688</v>
      </c>
      <c r="I35" s="135" t="s">
        <v>697</v>
      </c>
      <c r="J35" s="135">
        <v>21700</v>
      </c>
      <c r="K35" s="135">
        <v>2.56</v>
      </c>
      <c r="L35" s="135" t="s">
        <v>1534</v>
      </c>
    </row>
    <row r="36" spans="1:12" ht="15.6">
      <c r="A36" s="4124"/>
      <c r="B36" s="4124"/>
      <c r="C36" s="1156">
        <v>360</v>
      </c>
      <c r="D36" s="1157">
        <v>0.04</v>
      </c>
      <c r="E36" s="1125" t="s">
        <v>549</v>
      </c>
      <c r="F36" s="1130">
        <f>SUM(D35:D36)</f>
        <v>2.5499999999999998</v>
      </c>
      <c r="G36" s="1158">
        <f>G34/G35</f>
        <v>8711.3399209486161</v>
      </c>
      <c r="H36" s="1126">
        <f t="shared" si="0"/>
        <v>9000</v>
      </c>
      <c r="I36" s="135" t="s">
        <v>847</v>
      </c>
      <c r="J36" s="135">
        <v>360</v>
      </c>
      <c r="K36" s="135">
        <v>0.04</v>
      </c>
    </row>
    <row r="37" spans="1:12" ht="46.8">
      <c r="A37" s="1144">
        <f>A35+1</f>
        <v>3</v>
      </c>
      <c r="B37" s="1159" t="s">
        <v>1535</v>
      </c>
      <c r="C37" s="1160">
        <v>531.55799999999999</v>
      </c>
      <c r="D37" s="1157">
        <v>7.3999999999999996E-2</v>
      </c>
      <c r="E37" s="1148" t="s">
        <v>681</v>
      </c>
      <c r="H37" s="1126">
        <f t="shared" si="0"/>
        <v>7183.2162162162167</v>
      </c>
      <c r="J37" s="135">
        <f>SUM(J35:J36)</f>
        <v>22060</v>
      </c>
      <c r="K37" s="1161">
        <f>SUM(K35:K36)</f>
        <v>2.6</v>
      </c>
    </row>
    <row r="38" spans="1:12" ht="54" customHeight="1">
      <c r="A38" s="1144">
        <f t="shared" ref="A38:A44" si="1">A37+1</f>
        <v>4</v>
      </c>
      <c r="B38" s="1145" t="s">
        <v>1536</v>
      </c>
      <c r="C38" s="1131">
        <v>2540</v>
      </c>
      <c r="D38" s="1121">
        <f>D46+D45</f>
        <v>0.38599999999999995</v>
      </c>
      <c r="E38" s="1148" t="s">
        <v>697</v>
      </c>
      <c r="H38" s="1126">
        <f t="shared" si="0"/>
        <v>6580.3108808290162</v>
      </c>
    </row>
    <row r="39" spans="1:12" ht="26.25" hidden="1" customHeight="1">
      <c r="A39" s="1144">
        <f t="shared" si="1"/>
        <v>5</v>
      </c>
      <c r="B39" s="1145"/>
      <c r="C39" s="1131"/>
      <c r="D39" s="1121"/>
      <c r="E39" s="1148" t="s">
        <v>697</v>
      </c>
      <c r="H39" s="1126" t="e">
        <f t="shared" si="0"/>
        <v>#DIV/0!</v>
      </c>
    </row>
    <row r="40" spans="1:12" ht="35.1" hidden="1" customHeight="1">
      <c r="A40" s="1144">
        <f t="shared" si="1"/>
        <v>6</v>
      </c>
      <c r="B40" s="1145"/>
      <c r="C40" s="1131"/>
      <c r="D40" s="1121"/>
      <c r="E40" s="1148" t="s">
        <v>697</v>
      </c>
      <c r="H40" s="1126" t="e">
        <f t="shared" si="0"/>
        <v>#DIV/0!</v>
      </c>
    </row>
    <row r="41" spans="1:12" ht="35.1" hidden="1" customHeight="1">
      <c r="A41" s="1144">
        <f t="shared" si="1"/>
        <v>7</v>
      </c>
      <c r="B41" s="1145"/>
      <c r="C41" s="1131"/>
      <c r="D41" s="1121"/>
      <c r="E41" s="1148" t="s">
        <v>697</v>
      </c>
      <c r="H41" s="1126" t="e">
        <f t="shared" si="0"/>
        <v>#DIV/0!</v>
      </c>
    </row>
    <row r="42" spans="1:12" ht="35.1" hidden="1" customHeight="1">
      <c r="A42" s="1144">
        <f t="shared" si="1"/>
        <v>8</v>
      </c>
      <c r="B42" s="1145"/>
      <c r="C42" s="1131"/>
      <c r="D42" s="1121"/>
      <c r="E42" s="1148" t="s">
        <v>697</v>
      </c>
      <c r="H42" s="1126" t="e">
        <f t="shared" si="0"/>
        <v>#DIV/0!</v>
      </c>
    </row>
    <row r="43" spans="1:12" ht="35.25" hidden="1" customHeight="1">
      <c r="A43" s="1144">
        <f t="shared" si="1"/>
        <v>9</v>
      </c>
      <c r="B43" s="1145"/>
      <c r="C43" s="1131"/>
      <c r="D43" s="1121"/>
      <c r="E43" s="1148" t="s">
        <v>697</v>
      </c>
      <c r="H43" s="1126" t="e">
        <f t="shared" si="0"/>
        <v>#DIV/0!</v>
      </c>
    </row>
    <row r="44" spans="1:12" ht="15.6" hidden="1">
      <c r="A44" s="1144">
        <f t="shared" si="1"/>
        <v>10</v>
      </c>
      <c r="B44" s="1145"/>
      <c r="C44" s="1131"/>
      <c r="D44" s="1121"/>
      <c r="E44" s="1148" t="s">
        <v>697</v>
      </c>
      <c r="H44" s="1126" t="e">
        <f t="shared" si="0"/>
        <v>#DIV/0!</v>
      </c>
    </row>
    <row r="45" spans="1:12" ht="20.25" customHeight="1">
      <c r="A45" s="1151" t="s">
        <v>247</v>
      </c>
      <c r="B45" s="1152" t="s">
        <v>1528</v>
      </c>
      <c r="C45" s="1131">
        <v>674</v>
      </c>
      <c r="D45" s="1121">
        <v>0.10199999999999999</v>
      </c>
      <c r="E45" s="1148" t="s">
        <v>697</v>
      </c>
      <c r="H45" s="1126">
        <f t="shared" si="0"/>
        <v>6607.8431372549021</v>
      </c>
    </row>
    <row r="46" spans="1:12" ht="20.25" customHeight="1">
      <c r="A46" s="1151" t="s">
        <v>248</v>
      </c>
      <c r="B46" s="1153" t="s">
        <v>1530</v>
      </c>
      <c r="C46" s="1128">
        <f>C38-C45</f>
        <v>1866</v>
      </c>
      <c r="D46" s="1162">
        <v>0.28399999999999997</v>
      </c>
      <c r="E46" s="1148" t="s">
        <v>697</v>
      </c>
      <c r="H46" s="1126">
        <f t="shared" si="0"/>
        <v>6570.422535211268</v>
      </c>
    </row>
    <row r="47" spans="1:12" s="1139" customFormat="1" ht="21" customHeight="1">
      <c r="A47" s="1135"/>
      <c r="B47" s="1137" t="s">
        <v>1537</v>
      </c>
      <c r="C47" s="1137">
        <f>C33+C35+C36+C37+C45</f>
        <v>22141.869000000002</v>
      </c>
      <c r="D47" s="1137">
        <f>D33+D35+D36+D37+D45</f>
        <v>2.8189999999999995</v>
      </c>
      <c r="E47" s="1138"/>
      <c r="H47" s="1126">
        <f>C47/D47</f>
        <v>7854.5118836466854</v>
      </c>
    </row>
    <row r="48" spans="1:12" s="1139" customFormat="1" ht="35.1" customHeight="1">
      <c r="A48" s="1163"/>
      <c r="B48" s="1164" t="s">
        <v>1538</v>
      </c>
      <c r="C48" s="1165">
        <f>C30+C47</f>
        <v>31984.329000000002</v>
      </c>
      <c r="D48" s="1165">
        <f>D30+D47</f>
        <v>4.0701000000000001</v>
      </c>
      <c r="E48" s="1166"/>
      <c r="H48" s="1126">
        <f>C48/D48</f>
        <v>7858.364413650771</v>
      </c>
    </row>
    <row r="49" spans="1:8" s="1139" customFormat="1" ht="15.6">
      <c r="A49" s="1167"/>
      <c r="B49" s="1168"/>
      <c r="C49" s="1169"/>
      <c r="D49" s="1169"/>
      <c r="E49" s="277"/>
      <c r="H49" s="1170"/>
    </row>
    <row r="50" spans="1:8" s="1139" customFormat="1" ht="15.6">
      <c r="A50" s="1167"/>
      <c r="B50" s="1168"/>
      <c r="C50" s="1169"/>
      <c r="D50" s="1169"/>
      <c r="E50" s="277"/>
      <c r="H50" s="1170"/>
    </row>
    <row r="51" spans="1:8" s="1139" customFormat="1" ht="15.6">
      <c r="A51" s="1167"/>
      <c r="B51" s="1168"/>
      <c r="C51" s="1169"/>
      <c r="D51" s="1169"/>
      <c r="E51" s="277"/>
      <c r="H51" s="1170"/>
    </row>
    <row r="52" spans="1:8" s="1139" customFormat="1" ht="15.6">
      <c r="A52" s="1167"/>
      <c r="B52" s="1168"/>
      <c r="C52" s="1169"/>
      <c r="D52" s="1169"/>
      <c r="E52" s="277"/>
      <c r="H52" s="1170"/>
    </row>
    <row r="53" spans="1:8" s="161" customFormat="1" ht="15.6">
      <c r="A53" s="1171" t="s">
        <v>1539</v>
      </c>
      <c r="B53" s="1172"/>
      <c r="D53" s="1173"/>
      <c r="E53" s="1174"/>
      <c r="H53" s="1105"/>
    </row>
    <row r="54" spans="1:8" s="1139" customFormat="1" ht="15.6">
      <c r="A54" s="1171" t="s">
        <v>1304</v>
      </c>
      <c r="B54" s="1168"/>
      <c r="C54" s="1169"/>
      <c r="D54" s="1173" t="s">
        <v>1268</v>
      </c>
      <c r="E54" s="277"/>
      <c r="H54" s="1170"/>
    </row>
    <row r="55" spans="1:8" s="166" customFormat="1" ht="15.6">
      <c r="A55" s="165"/>
      <c r="B55" s="1175"/>
      <c r="C55" s="1176"/>
      <c r="E55" s="1177"/>
      <c r="H55" s="1178"/>
    </row>
  </sheetData>
  <mergeCells count="3">
    <mergeCell ref="C11:D11"/>
    <mergeCell ref="A35:A36"/>
    <mergeCell ref="B35:B36"/>
  </mergeCells>
  <printOptions horizontalCentered="1"/>
  <pageMargins left="0.78740157480314965" right="0.59055118110236227" top="0.78740157480314965" bottom="0.39370078740157483" header="0.51181102362204722" footer="3.937007874015748E-2"/>
  <pageSetup paperSize="9" scale="85" orientation="portrait" r:id="rId1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3"/>
  <dimension ref="A1:N103"/>
  <sheetViews>
    <sheetView zoomScaleSheetLayoutView="100" workbookViewId="0">
      <pane ySplit="8" topLeftCell="A9" activePane="bottomLeft" state="frozen"/>
      <selection activeCell="K8" sqref="K8"/>
      <selection pane="bottomLeft" activeCell="K8" sqref="K8"/>
    </sheetView>
  </sheetViews>
  <sheetFormatPr defaultColWidth="9.109375" defaultRowHeight="13.2"/>
  <cols>
    <col min="1" max="1" width="35.5546875" style="52" customWidth="1"/>
    <col min="2" max="6" width="13.44140625" style="52" customWidth="1"/>
    <col min="7" max="7" width="9.109375" style="282"/>
    <col min="8" max="9" width="9.5546875" style="282" bestFit="1" customWidth="1"/>
    <col min="10" max="14" width="9.109375" style="282"/>
    <col min="15" max="16384" width="9.109375" style="52"/>
  </cols>
  <sheetData>
    <row r="1" spans="1:14" ht="17.399999999999999">
      <c r="A1" s="552" t="s">
        <v>1265</v>
      </c>
      <c r="F1" s="553" t="s">
        <v>621</v>
      </c>
      <c r="G1" s="52">
        <v>160111.84900000002</v>
      </c>
      <c r="H1" s="594">
        <f>B10+B17+B30+B13</f>
        <v>160111.84900000002</v>
      </c>
      <c r="I1" s="594">
        <f>'Прилож.1-2012г.'!C48</f>
        <v>31984.329000000002</v>
      </c>
      <c r="J1" s="52" t="s">
        <v>1542</v>
      </c>
      <c r="K1" s="52" t="s">
        <v>1490</v>
      </c>
      <c r="L1" s="52"/>
      <c r="M1" s="52"/>
      <c r="N1" s="52"/>
    </row>
    <row r="2" spans="1:14" ht="20.399999999999999">
      <c r="A2" s="554" t="s">
        <v>970</v>
      </c>
      <c r="B2" s="555"/>
      <c r="C2" s="555"/>
      <c r="D2" s="555"/>
      <c r="E2" s="555"/>
      <c r="F2" s="555"/>
      <c r="G2" s="52">
        <v>31.67743997103705</v>
      </c>
      <c r="H2" s="1240">
        <f>B11+B18+B31+B14</f>
        <v>31.67743997103705</v>
      </c>
      <c r="I2" s="1011">
        <f>'Прилож.1-2012г.'!D48</f>
        <v>4.0701000000000001</v>
      </c>
      <c r="J2" s="52"/>
      <c r="K2" s="52"/>
      <c r="L2" s="52"/>
      <c r="M2" s="52"/>
      <c r="N2" s="52"/>
    </row>
    <row r="3" spans="1:14" s="282" customFormat="1">
      <c r="A3" s="52"/>
      <c r="B3" s="52"/>
      <c r="C3" s="52"/>
      <c r="D3" s="52"/>
      <c r="E3" s="52"/>
      <c r="F3" s="52"/>
    </row>
    <row r="4" spans="1:14" ht="21.75" customHeight="1" thickBot="1">
      <c r="A4" s="556" t="s">
        <v>1262</v>
      </c>
      <c r="B4" s="556"/>
      <c r="C4" s="556"/>
      <c r="D4" s="556"/>
      <c r="E4" s="556"/>
      <c r="F4" s="556"/>
      <c r="G4" s="52"/>
      <c r="H4" s="584"/>
      <c r="I4" s="52"/>
      <c r="J4" s="52"/>
      <c r="K4" s="52"/>
      <c r="L4" s="52"/>
      <c r="M4" s="52"/>
      <c r="N4" s="52"/>
    </row>
    <row r="5" spans="1:14">
      <c r="A5" s="4124" t="s">
        <v>971</v>
      </c>
      <c r="B5" s="4124"/>
      <c r="C5" s="4124"/>
      <c r="D5" s="4124"/>
      <c r="E5" s="4124"/>
      <c r="F5" s="4124"/>
      <c r="G5" s="52"/>
      <c r="H5" s="584" t="s">
        <v>1121</v>
      </c>
      <c r="I5" s="52"/>
      <c r="J5" s="52"/>
      <c r="K5" s="52"/>
      <c r="L5" s="52">
        <v>34391.749000000003</v>
      </c>
      <c r="M5" s="52"/>
      <c r="N5" s="52"/>
    </row>
    <row r="6" spans="1:14" ht="15.6">
      <c r="F6" s="553"/>
      <c r="G6" s="52"/>
      <c r="H6" s="1019">
        <f>'П1.30 - 07.06.11г.'!C8</f>
        <v>34391.749000000003</v>
      </c>
      <c r="I6" s="594">
        <f>B13+B17+B30</f>
        <v>34391.749000000003</v>
      </c>
      <c r="J6" s="594">
        <f>I6-H6</f>
        <v>0</v>
      </c>
      <c r="K6" s="52"/>
      <c r="L6" s="52">
        <v>4.3765000000000001</v>
      </c>
      <c r="M6" s="52"/>
      <c r="N6" s="52"/>
    </row>
    <row r="7" spans="1:14" ht="15.75" customHeight="1">
      <c r="A7" s="4124" t="s">
        <v>972</v>
      </c>
      <c r="B7" s="4124" t="s">
        <v>973</v>
      </c>
      <c r="C7" s="4124" t="s">
        <v>974</v>
      </c>
      <c r="D7" s="4124"/>
      <c r="E7" s="4124"/>
      <c r="F7" s="4124"/>
      <c r="G7" s="52"/>
      <c r="H7" s="1020">
        <f>'П1.30 - 07.06.11г.'!D8</f>
        <v>4.3764999999999992</v>
      </c>
      <c r="I7" s="1011">
        <f>B14+B18+B31</f>
        <v>4.3765000000000001</v>
      </c>
      <c r="J7" s="1011">
        <f>I7-H7</f>
        <v>0</v>
      </c>
      <c r="K7" s="52"/>
      <c r="L7" s="52"/>
      <c r="M7" s="52"/>
      <c r="N7" s="52"/>
    </row>
    <row r="8" spans="1:14" ht="15.6">
      <c r="A8" s="4124"/>
      <c r="B8" s="4124"/>
      <c r="C8" s="557" t="s">
        <v>697</v>
      </c>
      <c r="D8" s="557" t="s">
        <v>548</v>
      </c>
      <c r="E8" s="557" t="s">
        <v>549</v>
      </c>
      <c r="F8" s="557" t="s">
        <v>681</v>
      </c>
      <c r="G8" s="52"/>
      <c r="H8" s="52"/>
      <c r="I8" s="52"/>
      <c r="J8" s="52"/>
      <c r="K8" s="52"/>
      <c r="L8" s="52"/>
      <c r="M8" s="52"/>
      <c r="N8" s="52"/>
    </row>
    <row r="9" spans="1:14" ht="21.75" customHeight="1">
      <c r="A9" s="559" t="s">
        <v>975</v>
      </c>
      <c r="B9" s="560"/>
      <c r="C9" s="560"/>
      <c r="D9" s="560"/>
      <c r="E9" s="560"/>
      <c r="F9" s="560"/>
      <c r="G9" s="52"/>
      <c r="H9" s="52"/>
      <c r="I9" s="52"/>
      <c r="J9" s="594">
        <f>-21700+19763+531.558+16.5+40-133.01</f>
        <v>-1481.952</v>
      </c>
      <c r="K9" s="52"/>
      <c r="L9" s="52"/>
      <c r="M9" s="52"/>
      <c r="N9" s="52"/>
    </row>
    <row r="10" spans="1:14" ht="23.25" customHeight="1">
      <c r="A10" s="561" t="s">
        <v>976</v>
      </c>
      <c r="B10" s="562">
        <f>SUM(C10:F10)</f>
        <v>125720.1</v>
      </c>
      <c r="C10" s="562">
        <v>123663.1</v>
      </c>
      <c r="D10" s="562">
        <v>825</v>
      </c>
      <c r="E10" s="562">
        <f>807</f>
        <v>807</v>
      </c>
      <c r="F10" s="562">
        <f>425</f>
        <v>425</v>
      </c>
      <c r="G10" s="52"/>
      <c r="H10" s="52"/>
      <c r="I10" s="152">
        <f>SUM(D10:F10)</f>
        <v>2057</v>
      </c>
      <c r="J10" s="1017">
        <f>-2.51+2.51+0.074+0.0033+0.0053-0.01531</f>
        <v>6.7289999999999989E-2</v>
      </c>
      <c r="K10" s="52"/>
      <c r="L10" s="52"/>
      <c r="M10" s="52"/>
      <c r="N10" s="52"/>
    </row>
    <row r="11" spans="1:14" ht="23.25" customHeight="1">
      <c r="A11" s="565" t="s">
        <v>977</v>
      </c>
      <c r="B11" s="1197">
        <f>SUM(C11:F11)</f>
        <v>27.30093997103705</v>
      </c>
      <c r="C11" s="566">
        <v>27</v>
      </c>
      <c r="D11" s="566">
        <f>825/6942</f>
        <v>0.11884183232497839</v>
      </c>
      <c r="E11" s="566">
        <f>E10/6837</f>
        <v>0.11803422553751645</v>
      </c>
      <c r="F11" s="566">
        <f>F10/6634</f>
        <v>6.4063913174555315E-2</v>
      </c>
      <c r="G11" s="52"/>
      <c r="H11" s="52"/>
      <c r="I11" s="152">
        <f>I10+531.558+56.5</f>
        <v>2645.058</v>
      </c>
      <c r="J11" s="52"/>
      <c r="K11" s="52"/>
      <c r="L11" s="52"/>
      <c r="M11" s="52"/>
      <c r="N11" s="52"/>
    </row>
    <row r="12" spans="1:14" ht="21.75" customHeight="1">
      <c r="A12" s="559" t="s">
        <v>978</v>
      </c>
      <c r="B12" s="567"/>
      <c r="C12" s="567"/>
      <c r="D12" s="567"/>
      <c r="E12" s="560"/>
      <c r="F12" s="560"/>
      <c r="G12" s="52"/>
      <c r="H12" s="594">
        <f>C10+C17</f>
        <v>128603.74</v>
      </c>
      <c r="I12" s="52"/>
      <c r="J12" s="52"/>
      <c r="K12" s="52"/>
      <c r="L12" s="52"/>
      <c r="M12" s="52"/>
      <c r="N12" s="52"/>
    </row>
    <row r="13" spans="1:14" ht="23.25" customHeight="1">
      <c r="A13" s="561" t="s">
        <v>976</v>
      </c>
      <c r="B13" s="1196">
        <f>ROUND((B17+B30)/(1-7/100)*7/100,2)</f>
        <v>2407.42</v>
      </c>
      <c r="C13" s="1196"/>
      <c r="D13" s="566"/>
      <c r="E13" s="562"/>
      <c r="F13" s="562"/>
      <c r="G13" s="52"/>
      <c r="H13" s="52"/>
      <c r="I13" s="52"/>
      <c r="J13" s="52"/>
      <c r="K13" s="52"/>
      <c r="L13" s="52"/>
      <c r="M13" s="52"/>
      <c r="N13" s="52"/>
    </row>
    <row r="14" spans="1:14" ht="23.25" customHeight="1">
      <c r="A14" s="565" t="s">
        <v>977</v>
      </c>
      <c r="B14" s="1197">
        <f>ROUND((B18+B31)/(1-7/100)*7/100,4)</f>
        <v>0.30640000000000001</v>
      </c>
      <c r="C14" s="1197"/>
      <c r="D14" s="566"/>
      <c r="E14" s="566"/>
      <c r="F14" s="566"/>
      <c r="G14" s="52"/>
      <c r="H14" s="52"/>
      <c r="I14" s="52"/>
      <c r="J14" s="52"/>
      <c r="K14" s="52"/>
      <c r="L14" s="52"/>
      <c r="M14" s="52"/>
      <c r="N14" s="52"/>
    </row>
    <row r="15" spans="1:14" ht="21.75" customHeight="1">
      <c r="A15" s="568" t="s">
        <v>979</v>
      </c>
      <c r="B15" s="569"/>
      <c r="C15" s="570"/>
      <c r="D15" s="569"/>
      <c r="E15" s="569"/>
      <c r="F15" s="569"/>
      <c r="G15" s="52"/>
      <c r="H15" s="52"/>
      <c r="I15" s="52"/>
      <c r="J15" s="52"/>
      <c r="K15" s="52"/>
      <c r="L15" s="52"/>
      <c r="M15" s="52"/>
      <c r="N15" s="52"/>
    </row>
    <row r="16" spans="1:14" ht="14.25" customHeight="1">
      <c r="A16" s="571" t="s">
        <v>980</v>
      </c>
      <c r="B16" s="571"/>
      <c r="C16" s="571"/>
      <c r="D16" s="571"/>
      <c r="E16" s="571"/>
      <c r="F16" s="571"/>
      <c r="G16" s="52"/>
      <c r="H16" s="52"/>
      <c r="I16" s="52"/>
      <c r="J16" s="52"/>
      <c r="K16" s="52"/>
      <c r="L16" s="52"/>
      <c r="M16" s="52"/>
      <c r="N16" s="52"/>
    </row>
    <row r="17" spans="1:14" ht="23.25" customHeight="1">
      <c r="A17" s="379" t="s">
        <v>976</v>
      </c>
      <c r="B17" s="1198">
        <f>SUM(C17:F17)</f>
        <v>9842.4599999999991</v>
      </c>
      <c r="C17" s="1198">
        <f t="shared" ref="C17:F18" si="0">C21+C24+C27</f>
        <v>4940.6400000000003</v>
      </c>
      <c r="D17" s="141">
        <f t="shared" si="0"/>
        <v>0</v>
      </c>
      <c r="E17" s="1199">
        <f t="shared" si="0"/>
        <v>4659.2999999999993</v>
      </c>
      <c r="F17" s="1199">
        <f t="shared" si="0"/>
        <v>242.52</v>
      </c>
      <c r="H17" s="1211">
        <f>C17+C30</f>
        <v>26190.951000000001</v>
      </c>
    </row>
    <row r="18" spans="1:14" ht="23.25" customHeight="1">
      <c r="A18" s="574" t="s">
        <v>977</v>
      </c>
      <c r="B18" s="1200">
        <f>SUM(C18:F18)</f>
        <v>1.2510999999999999</v>
      </c>
      <c r="C18" s="1200">
        <f t="shared" si="0"/>
        <v>0.60329999999999995</v>
      </c>
      <c r="D18" s="141">
        <f t="shared" si="0"/>
        <v>0</v>
      </c>
      <c r="E18" s="1201">
        <f t="shared" si="0"/>
        <v>0.60309999999999997</v>
      </c>
      <c r="F18" s="1201">
        <f t="shared" si="0"/>
        <v>4.4699999999999997E-2</v>
      </c>
      <c r="H18" s="1212">
        <f>C18+C31</f>
        <v>3.3083</v>
      </c>
    </row>
    <row r="19" spans="1:14" ht="14.25" customHeight="1">
      <c r="A19" s="577" t="s">
        <v>643</v>
      </c>
      <c r="B19" s="577"/>
      <c r="C19" s="577"/>
      <c r="D19" s="577"/>
      <c r="E19" s="577"/>
      <c r="F19" s="577"/>
    </row>
    <row r="20" spans="1:14" ht="19.5" customHeight="1">
      <c r="A20" s="578" t="s">
        <v>981</v>
      </c>
      <c r="B20" s="579"/>
      <c r="C20" s="579"/>
      <c r="D20" s="579"/>
      <c r="E20" s="579"/>
      <c r="F20" s="580"/>
    </row>
    <row r="21" spans="1:14" ht="23.25" customHeight="1">
      <c r="A21" s="561" t="s">
        <v>976</v>
      </c>
      <c r="B21" s="1195">
        <f>SUM(C21:F21)</f>
        <v>9632.73</v>
      </c>
      <c r="C21" s="1195">
        <f>'стр-ра пол.отп. 2012г.июнь'!C14</f>
        <v>4940.6400000000003</v>
      </c>
      <c r="D21" s="141">
        <f>'стр-ра пол.отп. 2012г.июнь'!D14</f>
        <v>0</v>
      </c>
      <c r="E21" s="1195">
        <f>'стр-ра пол.отп. 2012г.июнь'!E14</f>
        <v>4637.9399999999996</v>
      </c>
      <c r="F21" s="1195">
        <f>'стр-ра пол.отп. 2012г.июнь'!F14</f>
        <v>54.15</v>
      </c>
    </row>
    <row r="22" spans="1:14" ht="23.25" customHeight="1">
      <c r="A22" s="565" t="s">
        <v>977</v>
      </c>
      <c r="B22" s="1194">
        <f>SUM(C22:F22)</f>
        <v>1.2093</v>
      </c>
      <c r="C22" s="1194">
        <f>'стр-ра пол.отп. 2012г.июнь'!C15</f>
        <v>0.60329999999999995</v>
      </c>
      <c r="D22" s="141">
        <f>'стр-ра пол.отп. 2012г.июнь'!D15</f>
        <v>0</v>
      </c>
      <c r="E22" s="1194">
        <f>'стр-ра пол.отп. 2012г.июнь'!E15</f>
        <v>0.5988</v>
      </c>
      <c r="F22" s="1194">
        <f>'стр-ра пол.отп. 2012г.июнь'!F15</f>
        <v>7.1999999999999998E-3</v>
      </c>
    </row>
    <row r="23" spans="1:14" ht="30.75" customHeight="1">
      <c r="A23" s="4124" t="s">
        <v>1132</v>
      </c>
      <c r="B23" s="4124"/>
      <c r="C23" s="4124"/>
      <c r="D23" s="4124"/>
      <c r="E23" s="4124"/>
      <c r="F23" s="4124"/>
    </row>
    <row r="24" spans="1:14" ht="47.25" customHeight="1">
      <c r="A24" s="561" t="s">
        <v>976</v>
      </c>
      <c r="B24" s="1195">
        <f>SUM(C24:F24)</f>
        <v>209.73000000000002</v>
      </c>
      <c r="C24" s="141">
        <v>0</v>
      </c>
      <c r="D24" s="141">
        <v>0</v>
      </c>
      <c r="E24" s="1195">
        <f>'стр-ра пол.отп. 2012г.июнь'!E17</f>
        <v>21.36</v>
      </c>
      <c r="F24" s="1195">
        <f>'стр-ра пол.отп. 2012г.июнь'!F17</f>
        <v>188.37</v>
      </c>
    </row>
    <row r="25" spans="1:14" ht="23.25" customHeight="1">
      <c r="A25" s="565" t="s">
        <v>977</v>
      </c>
      <c r="B25" s="1194">
        <f>SUM(C25:F25)</f>
        <v>4.1799999999999997E-2</v>
      </c>
      <c r="C25" s="141">
        <v>0</v>
      </c>
      <c r="D25" s="141">
        <v>0</v>
      </c>
      <c r="E25" s="1194">
        <f>'стр-ра пол.отп. 2012г.июнь'!E18</f>
        <v>4.3E-3</v>
      </c>
      <c r="F25" s="1194">
        <f>'стр-ра пол.отп. 2012г.июнь'!F18</f>
        <v>3.7499999999999999E-2</v>
      </c>
      <c r="G25" s="1018">
        <f>B24/B25</f>
        <v>5017.4641148325363</v>
      </c>
      <c r="H25" s="1018">
        <f>E24/E25</f>
        <v>4967.4418604651164</v>
      </c>
      <c r="I25" s="1018">
        <f>F24/F25</f>
        <v>5023.2000000000007</v>
      </c>
    </row>
    <row r="26" spans="1:14" ht="49.5" customHeight="1">
      <c r="A26" s="4124" t="s">
        <v>1133</v>
      </c>
      <c r="B26" s="4124"/>
      <c r="C26" s="4124"/>
      <c r="D26" s="4124"/>
      <c r="E26" s="4124"/>
      <c r="F26" s="4124"/>
    </row>
    <row r="27" spans="1:14" ht="23.25" customHeight="1">
      <c r="A27" s="561" t="s">
        <v>976</v>
      </c>
      <c r="B27" s="1202">
        <f>SUM(C27:F27)</f>
        <v>0</v>
      </c>
      <c r="C27" s="564"/>
      <c r="D27" s="1015"/>
      <c r="E27" s="1015"/>
      <c r="F27" s="562"/>
    </row>
    <row r="28" spans="1:14" ht="23.25" customHeight="1">
      <c r="A28" s="565" t="s">
        <v>977</v>
      </c>
      <c r="B28" s="1010">
        <f>SUM(C28:F28)</f>
        <v>0</v>
      </c>
      <c r="C28" s="563"/>
      <c r="D28" s="1016"/>
      <c r="E28" s="1016"/>
      <c r="F28" s="566"/>
    </row>
    <row r="29" spans="1:14" ht="21.75" customHeight="1">
      <c r="A29" s="581" t="s">
        <v>982</v>
      </c>
      <c r="B29" s="577"/>
      <c r="C29" s="577"/>
      <c r="D29" s="577"/>
      <c r="E29" s="577"/>
      <c r="F29" s="577"/>
    </row>
    <row r="30" spans="1:14" ht="23.25" customHeight="1">
      <c r="A30" s="561" t="s">
        <v>976</v>
      </c>
      <c r="B30" s="576">
        <f>SUM(C30:F30)</f>
        <v>22141.869000000002</v>
      </c>
      <c r="C30" s="1014">
        <f>23187.311-21700+19763</f>
        <v>21250.311000000002</v>
      </c>
      <c r="D30" s="141">
        <v>0</v>
      </c>
      <c r="E30" s="1196">
        <v>360</v>
      </c>
      <c r="F30" s="1014">
        <f>531.558</f>
        <v>531.55799999999999</v>
      </c>
      <c r="I30" s="766">
        <v>23680.321</v>
      </c>
    </row>
    <row r="31" spans="1:14" ht="23.25" customHeight="1">
      <c r="A31" s="565" t="s">
        <v>977</v>
      </c>
      <c r="B31" s="1201">
        <f>SUM(C31:F31)</f>
        <v>2.819</v>
      </c>
      <c r="C31" s="1013">
        <f>2.705-2.51+2.51</f>
        <v>2.7050000000000001</v>
      </c>
      <c r="D31" s="141">
        <v>0</v>
      </c>
      <c r="E31" s="1197">
        <v>0.04</v>
      </c>
      <c r="F31" s="1013">
        <f>0.074</f>
        <v>7.3999999999999996E-2</v>
      </c>
      <c r="I31" s="471">
        <v>2.7603135126301153</v>
      </c>
    </row>
    <row r="32" spans="1:14" s="584" customFormat="1" ht="15.75" customHeight="1">
      <c r="A32" s="582"/>
      <c r="B32" s="582"/>
      <c r="C32" s="582"/>
      <c r="D32" s="582"/>
      <c r="E32" s="582"/>
      <c r="F32" s="582"/>
      <c r="G32" s="583"/>
      <c r="H32" s="583"/>
      <c r="I32" s="583"/>
      <c r="J32" s="583"/>
      <c r="K32" s="583"/>
      <c r="L32" s="583"/>
      <c r="M32" s="583"/>
      <c r="N32" s="583"/>
    </row>
    <row r="33" spans="1:14" s="584" customFormat="1" ht="15.75" customHeight="1">
      <c r="G33" s="583"/>
      <c r="H33" s="583"/>
      <c r="I33" s="583"/>
      <c r="J33" s="583"/>
      <c r="K33" s="583"/>
      <c r="L33" s="583"/>
      <c r="M33" s="583"/>
      <c r="N33" s="583"/>
    </row>
    <row r="34" spans="1:14" s="485" customFormat="1" ht="15.75" customHeight="1">
      <c r="C34" s="585"/>
      <c r="E34" s="586"/>
      <c r="G34" s="587"/>
      <c r="H34" s="587"/>
      <c r="I34" s="587"/>
      <c r="J34" s="587"/>
      <c r="K34" s="587"/>
      <c r="L34" s="587"/>
      <c r="M34" s="587"/>
      <c r="N34" s="587"/>
    </row>
    <row r="35" spans="1:14" s="485" customFormat="1" ht="15.75" customHeight="1">
      <c r="A35" s="172" t="s">
        <v>626</v>
      </c>
      <c r="B35" s="172"/>
      <c r="C35" s="172"/>
      <c r="D35" s="165" t="s">
        <v>1266</v>
      </c>
      <c r="E35" s="172"/>
      <c r="F35" s="172"/>
      <c r="G35" s="587"/>
      <c r="H35" s="587"/>
      <c r="I35" s="587"/>
      <c r="J35" s="587"/>
      <c r="K35" s="587"/>
      <c r="L35" s="587"/>
      <c r="M35" s="587"/>
      <c r="N35" s="587"/>
    </row>
    <row r="36" spans="1:14" s="485" customFormat="1" ht="15.75" customHeight="1">
      <c r="A36" s="172" t="s">
        <v>1134</v>
      </c>
      <c r="B36" s="172"/>
      <c r="C36" s="172"/>
      <c r="D36" s="551" t="s">
        <v>1300</v>
      </c>
      <c r="E36" s="172"/>
      <c r="F36" s="172"/>
      <c r="G36" s="587"/>
      <c r="H36" s="587"/>
      <c r="I36" s="587"/>
      <c r="J36" s="587"/>
      <c r="K36" s="587"/>
      <c r="L36" s="587"/>
      <c r="M36" s="587"/>
      <c r="N36" s="587"/>
    </row>
    <row r="37" spans="1:14" s="485" customFormat="1" ht="19.5" customHeight="1">
      <c r="B37" s="172"/>
      <c r="C37" s="172"/>
      <c r="D37" s="26" t="s">
        <v>1262</v>
      </c>
      <c r="E37" s="172"/>
      <c r="F37" s="172"/>
      <c r="G37" s="587"/>
      <c r="H37" s="587"/>
      <c r="I37" s="587"/>
      <c r="J37" s="587"/>
      <c r="K37" s="587"/>
      <c r="L37" s="587"/>
      <c r="M37" s="587"/>
      <c r="N37" s="587"/>
    </row>
    <row r="38" spans="1:14" s="485" customFormat="1" ht="15.75" customHeight="1">
      <c r="B38" s="172"/>
      <c r="C38" s="172"/>
      <c r="E38" s="589"/>
      <c r="F38" s="321"/>
      <c r="G38" s="587"/>
      <c r="H38" s="587"/>
      <c r="I38" s="587"/>
      <c r="J38" s="587"/>
      <c r="K38" s="587"/>
      <c r="L38" s="587"/>
      <c r="M38" s="587"/>
      <c r="N38" s="587"/>
    </row>
    <row r="39" spans="1:14" ht="15.6">
      <c r="A39" s="172" t="s">
        <v>1135</v>
      </c>
      <c r="B39" s="201"/>
      <c r="C39" s="201"/>
      <c r="D39" s="551" t="s">
        <v>1301</v>
      </c>
      <c r="E39" s="201"/>
      <c r="F39" s="201"/>
    </row>
    <row r="40" spans="1:14">
      <c r="A40" s="588" t="s">
        <v>983</v>
      </c>
      <c r="B40" s="282"/>
      <c r="C40" s="282"/>
      <c r="D40" s="588" t="s">
        <v>984</v>
      </c>
      <c r="E40" s="282"/>
      <c r="F40" s="590"/>
    </row>
    <row r="41" spans="1:14">
      <c r="A41" s="591"/>
      <c r="B41" s="592"/>
      <c r="C41" s="471"/>
      <c r="D41" s="558"/>
      <c r="E41" s="471"/>
      <c r="F41" s="590"/>
    </row>
    <row r="42" spans="1:14">
      <c r="A42" s="593"/>
      <c r="B42" s="592"/>
      <c r="C42" s="471"/>
      <c r="D42" s="558"/>
      <c r="E42" s="471"/>
      <c r="F42" s="590"/>
    </row>
    <row r="43" spans="1:14">
      <c r="A43" s="282"/>
      <c r="B43" s="558"/>
      <c r="C43" s="558"/>
      <c r="D43" s="558"/>
      <c r="E43" s="471"/>
      <c r="F43" s="590"/>
    </row>
    <row r="44" spans="1:14">
      <c r="A44" s="282"/>
      <c r="B44" s="282"/>
      <c r="C44" s="471"/>
      <c r="D44" s="282"/>
      <c r="E44" s="282"/>
      <c r="F44" s="282"/>
    </row>
    <row r="46" spans="1:14">
      <c r="A46" s="282"/>
    </row>
    <row r="102" spans="4:14">
      <c r="D102" s="61" t="e">
        <f>D127+#REF!</f>
        <v>#REF!</v>
      </c>
      <c r="E102" s="594" t="e">
        <f>E127+#REF!</f>
        <v>#REF!</v>
      </c>
      <c r="G102" s="52"/>
      <c r="H102" s="52"/>
      <c r="I102" s="52"/>
      <c r="J102" s="52"/>
      <c r="K102" s="52"/>
      <c r="L102" s="52"/>
      <c r="M102" s="52"/>
      <c r="N102" s="52"/>
    </row>
    <row r="103" spans="4:14">
      <c r="E103" s="594"/>
      <c r="G103" s="52"/>
      <c r="H103" s="52"/>
      <c r="I103" s="52"/>
      <c r="J103" s="52"/>
      <c r="K103" s="52"/>
      <c r="L103" s="52"/>
      <c r="M103" s="52"/>
      <c r="N103" s="52"/>
    </row>
  </sheetData>
  <mergeCells count="6">
    <mergeCell ref="A23:F23"/>
    <mergeCell ref="A26:F26"/>
    <mergeCell ref="A5:F5"/>
    <mergeCell ref="A7:A8"/>
    <mergeCell ref="B7:B8"/>
    <mergeCell ref="C7:F7"/>
  </mergeCells>
  <printOptions horizontalCentered="1"/>
  <pageMargins left="0.98402777777777783" right="0.98402777777777783" top="0.78749999999999998" bottom="0.11805555555555557" header="0.51180555555555562" footer="0.51180555555555562"/>
  <pageSetup paperSize="9" scale="77" firstPageNumber="0" orientation="portrait" horizontalDpi="300" verticalDpi="300" r:id="rId1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4">
    <tabColor rgb="FFFF0000"/>
  </sheetPr>
  <dimension ref="A1:J46"/>
  <sheetViews>
    <sheetView topLeftCell="A13" zoomScaleSheetLayoutView="75" workbookViewId="0">
      <selection activeCell="K8" sqref="K8"/>
    </sheetView>
  </sheetViews>
  <sheetFormatPr defaultColWidth="9.109375" defaultRowHeight="13.2"/>
  <cols>
    <col min="1" max="1" width="36.6640625" style="1026" customWidth="1"/>
    <col min="2" max="2" width="17.88671875" style="1026" customWidth="1"/>
    <col min="3" max="3" width="19" style="1026" customWidth="1"/>
    <col min="4" max="4" width="18" style="1026" customWidth="1"/>
    <col min="5" max="5" width="17.88671875" style="1026" customWidth="1"/>
    <col min="6" max="6" width="19.33203125" style="1026" customWidth="1"/>
    <col min="7" max="7" width="9.6640625" style="1026" customWidth="1"/>
    <col min="8" max="8" width="10.6640625" style="1026" bestFit="1" customWidth="1"/>
    <col min="9" max="9" width="9.109375" style="1026"/>
    <col min="10" max="10" width="11.33203125" style="1026" bestFit="1" customWidth="1"/>
    <col min="11" max="16384" width="9.109375" style="1026"/>
  </cols>
  <sheetData>
    <row r="1" spans="1:10" ht="28.5" customHeight="1">
      <c r="A1" s="1025"/>
      <c r="E1" s="4124" t="s">
        <v>1491</v>
      </c>
      <c r="F1" s="4124"/>
      <c r="G1" s="1027" t="s">
        <v>1492</v>
      </c>
      <c r="H1" s="1027" t="s">
        <v>1121</v>
      </c>
      <c r="I1" s="1027"/>
      <c r="J1" s="1027" t="s">
        <v>1493</v>
      </c>
    </row>
    <row r="2" spans="1:10" ht="23.25" customHeight="1">
      <c r="A2" s="4124" t="s">
        <v>1494</v>
      </c>
      <c r="B2" s="4124"/>
      <c r="C2" s="4124"/>
      <c r="D2" s="4124"/>
      <c r="E2" s="4124"/>
      <c r="F2" s="4124"/>
      <c r="G2" s="1028"/>
      <c r="H2" s="1029">
        <f>B10+B26+'2012 Баланс  '!B30</f>
        <v>34391.749000000003</v>
      </c>
      <c r="I2" s="1027"/>
      <c r="J2" s="1030">
        <f>H2+B23</f>
        <v>36914.659</v>
      </c>
    </row>
    <row r="3" spans="1:10" ht="24" customHeight="1">
      <c r="A3" s="4124" t="s">
        <v>1495</v>
      </c>
      <c r="B3" s="4124"/>
      <c r="C3" s="4124"/>
      <c r="D3" s="4124"/>
      <c r="E3" s="4124"/>
      <c r="F3" s="4124"/>
      <c r="G3" s="1028"/>
      <c r="H3" s="1205">
        <f>B11+B27+'2012 Баланс  '!B31</f>
        <v>4.3765000000000001</v>
      </c>
      <c r="I3" s="1027"/>
      <c r="J3" s="1030">
        <f>H3+B24</f>
        <v>4.7465000000000002</v>
      </c>
    </row>
    <row r="4" spans="1:10" ht="16.5" customHeight="1">
      <c r="A4" s="4124" t="s">
        <v>971</v>
      </c>
      <c r="B4" s="4124"/>
      <c r="C4" s="4124"/>
      <c r="D4" s="4124"/>
      <c r="E4" s="4124"/>
      <c r="F4" s="4124"/>
      <c r="G4" s="1028"/>
    </row>
    <row r="5" spans="1:10" ht="8.25" customHeight="1" thickBot="1">
      <c r="A5" s="1031"/>
      <c r="B5" s="1031"/>
      <c r="C5" s="1031"/>
      <c r="D5" s="1031"/>
      <c r="E5" s="1031"/>
      <c r="F5" s="1031"/>
      <c r="G5" s="1028"/>
    </row>
    <row r="6" spans="1:10" ht="24" customHeight="1" thickBot="1">
      <c r="A6" s="4124" t="s">
        <v>972</v>
      </c>
      <c r="B6" s="4124" t="s">
        <v>679</v>
      </c>
      <c r="C6" s="4124" t="s">
        <v>974</v>
      </c>
      <c r="D6" s="4124"/>
      <c r="E6" s="4124"/>
      <c r="F6" s="4124"/>
      <c r="G6" s="1032"/>
      <c r="J6" s="1033">
        <f>H2+B23</f>
        <v>36914.659</v>
      </c>
    </row>
    <row r="7" spans="1:10" ht="45" customHeight="1" thickBot="1">
      <c r="A7" s="4124"/>
      <c r="B7" s="4124"/>
      <c r="C7" s="1034" t="s">
        <v>697</v>
      </c>
      <c r="D7" s="1034" t="s">
        <v>548</v>
      </c>
      <c r="E7" s="1034" t="s">
        <v>549</v>
      </c>
      <c r="F7" s="1035" t="s">
        <v>681</v>
      </c>
      <c r="G7" s="1036" t="s">
        <v>1509</v>
      </c>
      <c r="H7" s="1037"/>
      <c r="J7" s="1038">
        <f>H3+B24</f>
        <v>4.7465000000000002</v>
      </c>
    </row>
    <row r="8" spans="1:10" ht="31.5" customHeight="1">
      <c r="A8" s="4124" t="s">
        <v>1665</v>
      </c>
      <c r="B8" s="4124"/>
      <c r="C8" s="4124"/>
      <c r="D8" s="4124"/>
      <c r="E8" s="4124"/>
      <c r="F8" s="4124"/>
      <c r="G8" s="1036">
        <f>4940.64+4637.94+21.36+54.15+188.37</f>
        <v>9842.4600000000009</v>
      </c>
      <c r="H8" s="1036">
        <f>0.6033+0.5988+0.0043+0.0072+0.0375</f>
        <v>1.2511000000000001</v>
      </c>
    </row>
    <row r="9" spans="1:10" ht="24" customHeight="1" thickBot="1">
      <c r="A9" s="4124" t="s">
        <v>980</v>
      </c>
      <c r="B9" s="4124"/>
      <c r="C9" s="4124"/>
      <c r="D9" s="4124"/>
      <c r="E9" s="4124"/>
      <c r="F9" s="4124"/>
      <c r="G9" s="1039"/>
    </row>
    <row r="10" spans="1:10" ht="37.5" customHeight="1">
      <c r="A10" s="1040" t="s">
        <v>1496</v>
      </c>
      <c r="B10" s="1098">
        <f>SUM(C10:F10)</f>
        <v>9842.4599999999991</v>
      </c>
      <c r="C10" s="1098">
        <f>C14+C17+C20</f>
        <v>4940.6400000000003</v>
      </c>
      <c r="D10" s="1098">
        <f t="shared" ref="D10:F11" si="0">D14+D17+D20</f>
        <v>0</v>
      </c>
      <c r="E10" s="1098">
        <f t="shared" si="0"/>
        <v>4659.2999999999993</v>
      </c>
      <c r="F10" s="1099">
        <f t="shared" si="0"/>
        <v>242.52</v>
      </c>
      <c r="G10" s="1039"/>
    </row>
    <row r="11" spans="1:10" ht="34.5" customHeight="1" thickBot="1">
      <c r="A11" s="1041" t="s">
        <v>977</v>
      </c>
      <c r="B11" s="1100">
        <f>SUM(C11:F11)</f>
        <v>1.2510999999999999</v>
      </c>
      <c r="C11" s="1100">
        <f>C15+C18+C21</f>
        <v>0.60329999999999995</v>
      </c>
      <c r="D11" s="1100">
        <f t="shared" si="0"/>
        <v>0</v>
      </c>
      <c r="E11" s="1100">
        <f t="shared" si="0"/>
        <v>0.60309999999999997</v>
      </c>
      <c r="F11" s="1101">
        <f t="shared" si="0"/>
        <v>4.4699999999999997E-2</v>
      </c>
      <c r="G11" s="1039"/>
      <c r="H11" s="1042">
        <f>B10/B11</f>
        <v>7867.0450003996484</v>
      </c>
    </row>
    <row r="12" spans="1:10" ht="25.5" customHeight="1">
      <c r="A12" s="4124" t="s">
        <v>1497</v>
      </c>
      <c r="B12" s="4124"/>
      <c r="C12" s="4124"/>
      <c r="D12" s="4124"/>
      <c r="E12" s="4124"/>
      <c r="F12" s="4124"/>
      <c r="G12" s="1039"/>
    </row>
    <row r="13" spans="1:10" ht="31.5" customHeight="1" thickBot="1">
      <c r="A13" s="4124" t="s">
        <v>1498</v>
      </c>
      <c r="B13" s="4124"/>
      <c r="C13" s="4124"/>
      <c r="D13" s="4124"/>
      <c r="E13" s="4124"/>
      <c r="F13" s="4124"/>
      <c r="G13" s="1039"/>
      <c r="H13" s="1043" t="s">
        <v>1499</v>
      </c>
      <c r="I13" s="1043"/>
    </row>
    <row r="14" spans="1:10" ht="41.25" customHeight="1">
      <c r="A14" s="1044" t="s">
        <v>1496</v>
      </c>
      <c r="B14" s="1089">
        <f>SUM(C14:F14)</f>
        <v>9632.73</v>
      </c>
      <c r="C14" s="1087">
        <v>4940.6400000000003</v>
      </c>
      <c r="D14" s="1045"/>
      <c r="E14" s="1090">
        <v>4637.9399999999996</v>
      </c>
      <c r="F14" s="1091">
        <v>54.15</v>
      </c>
      <c r="G14" s="1043" t="s">
        <v>697</v>
      </c>
      <c r="H14" s="1043" t="s">
        <v>549</v>
      </c>
      <c r="I14" s="1043" t="s">
        <v>681</v>
      </c>
      <c r="J14" s="1046">
        <f>B14+B17</f>
        <v>9842.4599999999991</v>
      </c>
    </row>
    <row r="15" spans="1:10" ht="32.25" customHeight="1" thickBot="1">
      <c r="A15" s="1041" t="s">
        <v>977</v>
      </c>
      <c r="B15" s="1094">
        <f>SUM(C15:F15)</f>
        <v>1.2093</v>
      </c>
      <c r="C15" s="1088">
        <v>0.60329999999999995</v>
      </c>
      <c r="D15" s="1047"/>
      <c r="E15" s="1092">
        <v>0.5988</v>
      </c>
      <c r="F15" s="1093">
        <v>7.1999999999999998E-3</v>
      </c>
      <c r="G15" s="1048">
        <f>[17]Лист1!H20</f>
        <v>8417.0198482290671</v>
      </c>
      <c r="H15" s="1048">
        <f>[18]Лист1!$H$22</f>
        <v>7944.8658008658012</v>
      </c>
      <c r="I15" s="1048">
        <f>[18]Лист1!$H$23</f>
        <v>8685.7929472314718</v>
      </c>
      <c r="J15" s="1026">
        <f>3015.8+16655+1330+133.01+2540</f>
        <v>23673.809999999998</v>
      </c>
    </row>
    <row r="16" spans="1:10" ht="46.5" customHeight="1" thickBot="1">
      <c r="A16" s="4124" t="s">
        <v>1500</v>
      </c>
      <c r="B16" s="4124"/>
      <c r="C16" s="4124"/>
      <c r="D16" s="4124"/>
      <c r="E16" s="4124"/>
      <c r="F16" s="4124"/>
      <c r="G16" s="1048">
        <f>C14/C15</f>
        <v>8189.3585280954758</v>
      </c>
      <c r="H16" s="1048">
        <f>E14/E15</f>
        <v>7745.3907815631255</v>
      </c>
      <c r="I16" s="1048">
        <f>F14/F15</f>
        <v>7520.833333333333</v>
      </c>
    </row>
    <row r="17" spans="1:10" ht="39.75" customHeight="1">
      <c r="A17" s="1040" t="s">
        <v>1496</v>
      </c>
      <c r="B17" s="1095">
        <f>SUM(C17:F17)</f>
        <v>209.73000000000002</v>
      </c>
      <c r="C17" s="1096"/>
      <c r="D17" s="1096"/>
      <c r="E17" s="1096">
        <v>21.36</v>
      </c>
      <c r="F17" s="1097">
        <v>188.37</v>
      </c>
      <c r="G17" s="1050" t="s">
        <v>1508</v>
      </c>
      <c r="H17" s="1051">
        <f>E14/H15</f>
        <v>0.58376568166759657</v>
      </c>
      <c r="I17" s="1051">
        <f>F14/I15</f>
        <v>6.234318539363742E-3</v>
      </c>
    </row>
    <row r="18" spans="1:10" ht="30.75" customHeight="1" thickBot="1">
      <c r="A18" s="1041" t="s">
        <v>977</v>
      </c>
      <c r="B18" s="1094">
        <f>SUM(C18:F18)</f>
        <v>4.1799999999999997E-2</v>
      </c>
      <c r="C18" s="1092"/>
      <c r="D18" s="1092"/>
      <c r="E18" s="1092">
        <v>4.3E-3</v>
      </c>
      <c r="F18" s="1093">
        <v>3.7499999999999999E-2</v>
      </c>
      <c r="G18" s="1102">
        <f>B17/B18</f>
        <v>5017.4641148325363</v>
      </c>
      <c r="H18" s="1052">
        <v>7978.421164032</v>
      </c>
      <c r="I18" s="1053" t="s">
        <v>549</v>
      </c>
    </row>
    <row r="19" spans="1:10" ht="71.25" customHeight="1" thickBot="1">
      <c r="A19" s="4124" t="s">
        <v>1501</v>
      </c>
      <c r="B19" s="4124"/>
      <c r="C19" s="4124"/>
      <c r="D19" s="4124"/>
      <c r="E19" s="4124"/>
      <c r="F19" s="4124"/>
      <c r="H19" s="1054">
        <v>7778.1036563999987</v>
      </c>
      <c r="I19" s="1054">
        <f>H19-H18</f>
        <v>-200.31750763200125</v>
      </c>
    </row>
    <row r="20" spans="1:10" ht="34.5" customHeight="1">
      <c r="A20" s="1040" t="s">
        <v>1496</v>
      </c>
      <c r="B20" s="1055">
        <f>SUM(C20:F20)</f>
        <v>0</v>
      </c>
      <c r="C20" s="1049"/>
      <c r="D20" s="1049"/>
      <c r="E20" s="1056"/>
      <c r="F20" s="1057"/>
      <c r="H20" s="1058">
        <v>174.48708787200002</v>
      </c>
      <c r="I20" s="1059" t="s">
        <v>681</v>
      </c>
      <c r="J20" s="1060"/>
    </row>
    <row r="21" spans="1:10" ht="26.25" customHeight="1" thickBot="1">
      <c r="A21" s="1041" t="s">
        <v>977</v>
      </c>
      <c r="B21" s="1061">
        <f>SUM(C21:F21)</f>
        <v>0</v>
      </c>
      <c r="C21" s="1047"/>
      <c r="D21" s="1047"/>
      <c r="E21" s="1062"/>
      <c r="F21" s="1063"/>
      <c r="H21" s="1058">
        <v>151.08445649999996</v>
      </c>
      <c r="I21" s="1058">
        <f>H21-H20</f>
        <v>-23.402631372000059</v>
      </c>
    </row>
    <row r="22" spans="1:10" ht="34.5" customHeight="1" thickBot="1">
      <c r="A22" s="4124" t="s">
        <v>1666</v>
      </c>
      <c r="B22" s="4124"/>
      <c r="C22" s="4124"/>
      <c r="D22" s="4124"/>
      <c r="E22" s="4124"/>
      <c r="F22" s="4124"/>
      <c r="I22" s="1064">
        <f>I21+I19</f>
        <v>-223.72013900400131</v>
      </c>
    </row>
    <row r="23" spans="1:10" ht="33" customHeight="1">
      <c r="A23" s="1065" t="s">
        <v>1496</v>
      </c>
      <c r="B23" s="1098">
        <f>SUM(C23:F23)</f>
        <v>2522.91</v>
      </c>
      <c r="C23" s="1192" t="s">
        <v>1541</v>
      </c>
      <c r="D23" s="1090">
        <v>485.92</v>
      </c>
      <c r="E23" s="1090">
        <v>1572.61</v>
      </c>
      <c r="F23" s="1091">
        <v>464.38</v>
      </c>
    </row>
    <row r="24" spans="1:10" ht="28.5" customHeight="1" thickBot="1">
      <c r="A24" s="1066" t="s">
        <v>977</v>
      </c>
      <c r="B24" s="1189">
        <f>SUM(C24:F24)</f>
        <v>0.37000000000000005</v>
      </c>
      <c r="C24" s="1193"/>
      <c r="D24" s="1190">
        <v>7.0000000000000007E-2</v>
      </c>
      <c r="E24" s="1190">
        <v>0.23</v>
      </c>
      <c r="F24" s="1191">
        <v>7.0000000000000007E-2</v>
      </c>
      <c r="H24" s="1048"/>
    </row>
    <row r="25" spans="1:10" ht="48" customHeight="1" thickBot="1">
      <c r="A25" s="4124" t="s">
        <v>1667</v>
      </c>
      <c r="B25" s="4124"/>
      <c r="C25" s="4124"/>
      <c r="D25" s="4124"/>
      <c r="E25" s="4124"/>
      <c r="F25" s="4124"/>
      <c r="H25" s="1067"/>
    </row>
    <row r="26" spans="1:10" ht="28.5" customHeight="1" thickBot="1">
      <c r="A26" s="1065" t="s">
        <v>1496</v>
      </c>
      <c r="B26" s="1203">
        <f>ROUND((B10+22141.869)/(1-7/100)*7/100,2)</f>
        <v>2407.42</v>
      </c>
      <c r="C26" s="1068"/>
      <c r="D26" s="1069"/>
      <c r="E26" s="1069"/>
      <c r="F26" s="1070"/>
      <c r="H26" s="1071">
        <f>B26/(B10+'[17]Прилож.1-2012г.'!C47+'стр-ра пол.отп. 2012г.июнь'!B26)</f>
        <v>6.7002686681324156E-2</v>
      </c>
    </row>
    <row r="27" spans="1:10" ht="28.5" customHeight="1" thickBot="1">
      <c r="A27" s="1072" t="s">
        <v>977</v>
      </c>
      <c r="B27" s="1204">
        <f>ROUND(((B11+2.819)/(1-7/100))*7/100,4)</f>
        <v>0.30640000000000001</v>
      </c>
      <c r="C27" s="1073"/>
      <c r="D27" s="1074"/>
      <c r="E27" s="1074"/>
      <c r="F27" s="1075"/>
      <c r="H27" s="1048" t="e">
        <f>C26/C27</f>
        <v>#DIV/0!</v>
      </c>
      <c r="J27" s="1076">
        <f>(3015.8+16655+1330+2540+133.1)</f>
        <v>23673.899999999998</v>
      </c>
    </row>
    <row r="28" spans="1:10" ht="28.5" customHeight="1">
      <c r="A28" s="1077"/>
      <c r="B28" s="1078"/>
      <c r="C28" s="1039"/>
      <c r="D28" s="1039"/>
      <c r="E28" s="1079"/>
      <c r="F28" s="1079"/>
      <c r="J28" s="1080">
        <f>J27+B10</f>
        <v>33516.36</v>
      </c>
    </row>
    <row r="29" spans="1:10" ht="17.25" hidden="1" customHeight="1">
      <c r="A29" s="4124" t="s">
        <v>1502</v>
      </c>
      <c r="B29" s="4124"/>
      <c r="C29" s="4124"/>
      <c r="D29" s="4124"/>
      <c r="E29" s="4124"/>
      <c r="F29" s="4124"/>
      <c r="H29" s="1081">
        <f>'[17]Прилож.1-2012г.'!C48/(1-7/100)-'[17]Прилож.1-2012г.'!C48</f>
        <v>2529.6585698924755</v>
      </c>
      <c r="J29" s="1026">
        <f>0.42+2.08+0.386+0.019</f>
        <v>2.9050000000000002</v>
      </c>
    </row>
    <row r="30" spans="1:10" ht="17.25" hidden="1" customHeight="1" thickBot="1">
      <c r="A30" s="4124" t="s">
        <v>1540</v>
      </c>
      <c r="B30" s="4124"/>
      <c r="C30" s="4124"/>
      <c r="D30" s="4124"/>
      <c r="E30" s="4124"/>
      <c r="F30" s="4124"/>
      <c r="H30" s="1082">
        <f>H29/('[17]Прилож.1-2012г.'!C48/'[17]Прилож.1-2012г.'!D48)+0.004</f>
        <v>0.30878444310860748</v>
      </c>
      <c r="I30" s="1083">
        <f>H29/H30</f>
        <v>8192.3122305832258</v>
      </c>
      <c r="J30" s="1084">
        <f>J29+B11</f>
        <v>4.1561000000000003</v>
      </c>
    </row>
    <row r="31" spans="1:10" hidden="1">
      <c r="A31" s="4124" t="s">
        <v>1503</v>
      </c>
      <c r="B31" s="4124"/>
      <c r="C31" s="4124"/>
      <c r="D31" s="4124"/>
      <c r="E31" s="4124"/>
      <c r="F31" s="4124"/>
      <c r="J31" s="1060">
        <f>J28/J30</f>
        <v>8064.3776617501981</v>
      </c>
    </row>
    <row r="32" spans="1:10">
      <c r="A32" s="4124" t="s">
        <v>1668</v>
      </c>
      <c r="B32" s="4124"/>
      <c r="D32" s="4124" t="s">
        <v>1504</v>
      </c>
      <c r="E32" s="4124"/>
      <c r="F32" s="4124"/>
    </row>
    <row r="33" spans="1:6">
      <c r="A33" s="4124"/>
      <c r="B33" s="4124"/>
      <c r="D33" s="4124"/>
      <c r="E33" s="4124"/>
      <c r="F33" s="4124"/>
    </row>
    <row r="34" spans="1:6">
      <c r="A34" s="4124"/>
      <c r="B34" s="4124"/>
      <c r="D34" s="4124"/>
      <c r="E34" s="4124"/>
      <c r="F34" s="4124"/>
    </row>
    <row r="35" spans="1:6">
      <c r="A35" s="4124"/>
      <c r="B35" s="4124"/>
      <c r="D35" s="4124"/>
      <c r="E35" s="4124"/>
      <c r="F35" s="4124"/>
    </row>
    <row r="36" spans="1:6" s="1085" customFormat="1">
      <c r="A36" s="4124"/>
      <c r="B36" s="4124"/>
      <c r="D36" s="4124"/>
      <c r="E36" s="4124"/>
      <c r="F36" s="4124"/>
    </row>
    <row r="37" spans="1:6" s="1085" customFormat="1">
      <c r="A37" s="4124"/>
      <c r="B37" s="4124"/>
      <c r="D37" s="4124"/>
      <c r="E37" s="4124"/>
      <c r="F37" s="4124"/>
    </row>
    <row r="38" spans="1:6" s="1085" customFormat="1" ht="25.5" customHeight="1">
      <c r="A38" s="1270" t="s">
        <v>1495</v>
      </c>
      <c r="B38" s="1267"/>
      <c r="D38" s="1267"/>
      <c r="E38" s="1267"/>
      <c r="F38" s="1267"/>
    </row>
    <row r="39" spans="1:6" s="1085" customFormat="1" ht="32.25" customHeight="1">
      <c r="A39" s="4124" t="s">
        <v>1669</v>
      </c>
      <c r="B39" s="4124"/>
      <c r="D39" s="4124" t="s">
        <v>1505</v>
      </c>
      <c r="E39" s="4124"/>
      <c r="F39" s="4124"/>
    </row>
    <row r="40" spans="1:6" s="1085" customFormat="1">
      <c r="A40" s="4124" t="s">
        <v>1506</v>
      </c>
      <c r="B40" s="4124"/>
      <c r="D40" s="4124" t="s">
        <v>1506</v>
      </c>
      <c r="E40" s="4124"/>
      <c r="F40" s="4124"/>
    </row>
    <row r="41" spans="1:6" s="1085" customFormat="1">
      <c r="A41" s="4124" t="s">
        <v>1507</v>
      </c>
      <c r="B41" s="4124"/>
      <c r="D41" s="4124" t="s">
        <v>1507</v>
      </c>
      <c r="E41" s="4124"/>
      <c r="F41" s="4124"/>
    </row>
    <row r="46" spans="1:6">
      <c r="D46" s="1086"/>
    </row>
  </sheetData>
  <mergeCells count="26">
    <mergeCell ref="E1:F1"/>
    <mergeCell ref="A2:F2"/>
    <mergeCell ref="A3:F3"/>
    <mergeCell ref="A4:F4"/>
    <mergeCell ref="A6:A7"/>
    <mergeCell ref="B6:B7"/>
    <mergeCell ref="C6:F6"/>
    <mergeCell ref="A32:B37"/>
    <mergeCell ref="D32:F37"/>
    <mergeCell ref="A8:F8"/>
    <mergeCell ref="A9:F9"/>
    <mergeCell ref="A12:F12"/>
    <mergeCell ref="A13:F13"/>
    <mergeCell ref="A16:F16"/>
    <mergeCell ref="A19:F19"/>
    <mergeCell ref="A22:F22"/>
    <mergeCell ref="A25:F25"/>
    <mergeCell ref="A29:F29"/>
    <mergeCell ref="A30:F30"/>
    <mergeCell ref="A31:F31"/>
    <mergeCell ref="A39:B39"/>
    <mergeCell ref="D39:F39"/>
    <mergeCell ref="A40:B40"/>
    <mergeCell ref="D40:F40"/>
    <mergeCell ref="A41:B41"/>
    <mergeCell ref="D41:F41"/>
  </mergeCells>
  <pageMargins left="1.4958333333333333" right="0.74791666666666667" top="0.98402777777777783" bottom="0.98402777777777783" header="0.51180555555555562" footer="0.51180555555555562"/>
  <pageSetup paperSize="9" scale="57" firstPageNumber="0" orientation="portrait" horizontalDpi="300" verticalDpi="300" r:id="rId1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5">
    <tabColor theme="9" tint="0.39997558519241921"/>
  </sheetPr>
  <dimension ref="A1:P277"/>
  <sheetViews>
    <sheetView workbookViewId="0">
      <pane ySplit="7" topLeftCell="A8" activePane="bottomLeft" state="frozenSplit"/>
      <selection activeCell="K8" sqref="K8"/>
      <selection pane="bottomLeft" activeCell="K8" sqref="K8"/>
    </sheetView>
  </sheetViews>
  <sheetFormatPr defaultColWidth="9.109375" defaultRowHeight="13.2"/>
  <cols>
    <col min="1" max="1" width="7.88671875" style="771" customWidth="1"/>
    <col min="2" max="2" width="35.33203125" style="771" customWidth="1"/>
    <col min="3" max="3" width="12.33203125" style="770" customWidth="1"/>
    <col min="4" max="4" width="10.88671875" style="1227" customWidth="1"/>
    <col min="5" max="5" width="10.44140625" style="771" customWidth="1"/>
    <col min="6" max="6" width="10.33203125" style="771" customWidth="1"/>
    <col min="7" max="7" width="9.5546875" style="771" bestFit="1" customWidth="1"/>
    <col min="8" max="8" width="13.6640625" style="772" customWidth="1"/>
    <col min="9" max="9" width="9.109375" style="771"/>
    <col min="10" max="10" width="11.109375" style="771" bestFit="1" customWidth="1"/>
    <col min="11" max="11" width="9.109375" style="771"/>
    <col min="12" max="12" width="10.5546875" style="771" bestFit="1" customWidth="1"/>
    <col min="13" max="16384" width="9.109375" style="771"/>
  </cols>
  <sheetData>
    <row r="1" spans="1:16">
      <c r="A1" s="773"/>
      <c r="B1" s="773"/>
      <c r="C1" s="773"/>
      <c r="D1" s="1217"/>
      <c r="E1" s="773"/>
      <c r="F1" s="781" t="s">
        <v>985</v>
      </c>
      <c r="G1" s="773"/>
      <c r="H1" s="782">
        <f>'стр-ра пол.отп. 2012г.июнь'!H2</f>
        <v>34391.749000000003</v>
      </c>
      <c r="J1" s="782">
        <f>C17+C16</f>
        <v>34391.749000000003</v>
      </c>
    </row>
    <row r="2" spans="1:16">
      <c r="A2" s="773"/>
      <c r="B2" s="773"/>
      <c r="C2" s="773"/>
      <c r="D2" s="1217"/>
      <c r="E2" s="773"/>
      <c r="F2" s="773"/>
      <c r="G2" s="773"/>
      <c r="H2" s="1213">
        <f>'стр-ра пол.отп. 2012г.июнь'!H3</f>
        <v>4.3765000000000001</v>
      </c>
      <c r="J2" s="1213">
        <f>D17+D16</f>
        <v>4.3764999999999992</v>
      </c>
    </row>
    <row r="3" spans="1:16">
      <c r="A3" s="773"/>
      <c r="B3" s="773"/>
      <c r="C3" s="773"/>
      <c r="D3" s="1217"/>
      <c r="E3" s="773"/>
      <c r="F3" s="783" t="s">
        <v>986</v>
      </c>
      <c r="G3" s="773"/>
    </row>
    <row r="4" spans="1:16">
      <c r="A4" s="4124" t="s">
        <v>987</v>
      </c>
      <c r="B4" s="4124"/>
      <c r="C4" s="4124"/>
      <c r="D4" s="4124"/>
      <c r="E4" s="4124"/>
      <c r="F4" s="4124"/>
      <c r="G4" s="773"/>
    </row>
    <row r="5" spans="1:16">
      <c r="A5" s="4124" t="s">
        <v>1261</v>
      </c>
      <c r="B5" s="4124"/>
      <c r="C5" s="4124"/>
      <c r="D5" s="4124"/>
      <c r="E5" s="4124"/>
      <c r="F5" s="4124"/>
      <c r="G5" s="773"/>
    </row>
    <row r="6" spans="1:16" ht="52.8">
      <c r="A6" s="784" t="s">
        <v>616</v>
      </c>
      <c r="B6" s="784"/>
      <c r="C6" s="784" t="s">
        <v>988</v>
      </c>
      <c r="D6" s="1218" t="s">
        <v>989</v>
      </c>
      <c r="E6" s="784" t="s">
        <v>990</v>
      </c>
      <c r="F6" s="784" t="s">
        <v>991</v>
      </c>
      <c r="G6" s="785"/>
      <c r="H6" s="786"/>
      <c r="I6" s="787"/>
      <c r="J6" s="787"/>
      <c r="K6" s="787"/>
      <c r="L6" s="787"/>
      <c r="M6" s="787"/>
      <c r="N6" s="787"/>
      <c r="O6" s="787"/>
      <c r="P6" s="787"/>
    </row>
    <row r="7" spans="1:16">
      <c r="A7" s="788">
        <v>1</v>
      </c>
      <c r="B7" s="788"/>
      <c r="C7" s="789">
        <v>3</v>
      </c>
      <c r="D7" s="1228">
        <v>4</v>
      </c>
      <c r="E7" s="789">
        <v>5</v>
      </c>
      <c r="F7" s="789">
        <v>6</v>
      </c>
      <c r="G7" s="785"/>
      <c r="H7" s="786"/>
      <c r="I7" s="787"/>
      <c r="J7" s="787"/>
      <c r="K7" s="787"/>
      <c r="L7" s="787"/>
      <c r="M7" s="787"/>
      <c r="N7" s="787"/>
      <c r="O7" s="787"/>
      <c r="P7" s="787"/>
    </row>
    <row r="8" spans="1:16" ht="26.4">
      <c r="A8" s="790" t="s">
        <v>992</v>
      </c>
      <c r="B8" s="791" t="s">
        <v>993</v>
      </c>
      <c r="C8" s="803">
        <f>C11</f>
        <v>34391.749000000003</v>
      </c>
      <c r="D8" s="1219">
        <f>D11</f>
        <v>4.3764999999999992</v>
      </c>
      <c r="E8" s="792"/>
      <c r="F8" s="792"/>
      <c r="G8" s="793"/>
      <c r="H8" s="794"/>
      <c r="I8" s="795"/>
      <c r="J8" s="796">
        <f>C8-H1</f>
        <v>0</v>
      </c>
      <c r="K8" s="787"/>
      <c r="L8" s="793"/>
      <c r="M8" s="793"/>
      <c r="N8" s="787"/>
      <c r="O8" s="787"/>
      <c r="P8" s="787"/>
    </row>
    <row r="9" spans="1:16">
      <c r="A9" s="790"/>
      <c r="B9" s="797" t="s">
        <v>994</v>
      </c>
      <c r="C9" s="803"/>
      <c r="D9" s="1219"/>
      <c r="E9" s="792"/>
      <c r="F9" s="792"/>
      <c r="G9" s="787"/>
      <c r="H9" s="786"/>
      <c r="I9" s="787"/>
      <c r="J9" s="787"/>
      <c r="K9" s="787"/>
      <c r="L9" s="787"/>
      <c r="M9" s="787"/>
      <c r="N9" s="787"/>
      <c r="O9" s="787"/>
      <c r="P9" s="787"/>
    </row>
    <row r="10" spans="1:16">
      <c r="A10" s="790" t="s">
        <v>995</v>
      </c>
      <c r="B10" s="797" t="s">
        <v>1015</v>
      </c>
      <c r="C10" s="821"/>
      <c r="D10" s="1219"/>
      <c r="E10" s="792"/>
      <c r="F10" s="792"/>
      <c r="G10" s="793"/>
      <c r="H10" s="798"/>
      <c r="I10" s="787"/>
      <c r="J10" s="787"/>
      <c r="K10" s="787"/>
      <c r="L10" s="787"/>
      <c r="M10" s="787"/>
      <c r="N10" s="787"/>
      <c r="O10" s="787"/>
      <c r="P10" s="787"/>
    </row>
    <row r="11" spans="1:16">
      <c r="A11" s="790" t="s">
        <v>996</v>
      </c>
      <c r="B11" s="797" t="s">
        <v>997</v>
      </c>
      <c r="C11" s="803">
        <f>C13+C14</f>
        <v>34391.749000000003</v>
      </c>
      <c r="D11" s="1219">
        <f>D13+D14</f>
        <v>4.3764999999999992</v>
      </c>
      <c r="E11" s="792"/>
      <c r="F11" s="792"/>
      <c r="G11" s="1215" t="s">
        <v>901</v>
      </c>
      <c r="H11" s="786"/>
      <c r="I11" s="1215" t="s">
        <v>1543</v>
      </c>
      <c r="J11" s="787"/>
      <c r="K11" s="787"/>
      <c r="L11" s="787"/>
      <c r="M11" s="787"/>
      <c r="N11" s="787"/>
      <c r="O11" s="787"/>
      <c r="P11" s="787"/>
    </row>
    <row r="12" spans="1:16">
      <c r="A12" s="790"/>
      <c r="B12" s="797" t="s">
        <v>994</v>
      </c>
      <c r="C12" s="803"/>
      <c r="D12" s="1219"/>
      <c r="E12" s="792"/>
      <c r="F12" s="792"/>
      <c r="G12" s="1215">
        <f>C13/D13</f>
        <v>7869.5428505160653</v>
      </c>
      <c r="H12" s="800">
        <f>H17+H16</f>
        <v>36015.740999999995</v>
      </c>
      <c r="I12" s="1215">
        <f>C14/D14</f>
        <v>7110.9999999999991</v>
      </c>
      <c r="J12" s="787"/>
      <c r="K12" s="787"/>
      <c r="L12" s="787"/>
      <c r="M12" s="787"/>
      <c r="N12" s="787"/>
      <c r="O12" s="787"/>
      <c r="P12" s="787"/>
    </row>
    <row r="13" spans="1:16">
      <c r="A13" s="790" t="s">
        <v>998</v>
      </c>
      <c r="B13" s="797" t="s">
        <v>934</v>
      </c>
      <c r="C13" s="803">
        <f>C16+C17-C14</f>
        <v>33929.534000000007</v>
      </c>
      <c r="D13" s="1219">
        <f>D16+D17-D14</f>
        <v>4.3114999999999988</v>
      </c>
      <c r="E13" s="792"/>
      <c r="F13" s="792"/>
      <c r="G13" s="804" t="s">
        <v>641</v>
      </c>
      <c r="H13" s="801"/>
      <c r="I13" s="787"/>
      <c r="J13" s="787"/>
      <c r="K13" s="802"/>
      <c r="L13" s="787"/>
      <c r="M13" s="787"/>
      <c r="N13" s="787"/>
      <c r="O13" s="787"/>
      <c r="P13" s="787"/>
    </row>
    <row r="14" spans="1:16">
      <c r="A14" s="1206" t="s">
        <v>999</v>
      </c>
      <c r="B14" s="1207" t="s">
        <v>1670</v>
      </c>
      <c r="C14" s="1208">
        <f>C80</f>
        <v>462.21499999999997</v>
      </c>
      <c r="D14" s="1220">
        <f>D80</f>
        <v>6.5000000000000002E-2</v>
      </c>
      <c r="E14" s="792"/>
      <c r="F14" s="792"/>
      <c r="G14" s="804">
        <f>C16/C8</f>
        <v>6.9999929343517828E-2</v>
      </c>
      <c r="H14" s="804">
        <f>D16/D8</f>
        <v>7.0010282188963796E-2</v>
      </c>
      <c r="I14" s="787"/>
      <c r="J14" s="787"/>
      <c r="K14" s="787"/>
      <c r="L14" s="787"/>
      <c r="M14" s="787"/>
      <c r="N14" s="787"/>
      <c r="O14" s="787"/>
      <c r="P14" s="787"/>
    </row>
    <row r="15" spans="1:16">
      <c r="A15" s="790"/>
      <c r="B15" s="797" t="s">
        <v>263</v>
      </c>
      <c r="C15" s="803"/>
      <c r="D15" s="1219"/>
      <c r="E15" s="792"/>
      <c r="F15" s="792"/>
      <c r="G15" s="799"/>
      <c r="H15" s="801"/>
      <c r="I15" s="787"/>
      <c r="J15" s="787"/>
      <c r="K15" s="787"/>
      <c r="L15" s="787"/>
      <c r="M15" s="787"/>
      <c r="N15" s="787"/>
      <c r="O15" s="787"/>
      <c r="P15" s="787"/>
    </row>
    <row r="16" spans="1:16">
      <c r="A16" s="790" t="s">
        <v>1000</v>
      </c>
      <c r="B16" s="797" t="s">
        <v>1001</v>
      </c>
      <c r="C16" s="803">
        <f>C131+C110+C63</f>
        <v>2407.42</v>
      </c>
      <c r="D16" s="1219">
        <f>D131+D110+D63</f>
        <v>0.30640000000000001</v>
      </c>
      <c r="E16" s="792"/>
      <c r="F16" s="792"/>
      <c r="G16" s="805">
        <f>C16/D16</f>
        <v>7857.1148825065275</v>
      </c>
      <c r="H16" s="782">
        <f>'2012 Баланс  '!B13</f>
        <v>2407.42</v>
      </c>
      <c r="I16" s="1214">
        <f>'2012 Баланс  '!B14</f>
        <v>0.30640000000000001</v>
      </c>
      <c r="J16" s="796">
        <f>C16-H16</f>
        <v>0</v>
      </c>
      <c r="K16" s="787"/>
      <c r="L16" s="787"/>
      <c r="M16" s="787"/>
      <c r="N16" s="787"/>
      <c r="O16" s="787"/>
      <c r="P16" s="787"/>
    </row>
    <row r="17" spans="1:16" ht="26.4">
      <c r="A17" s="806" t="s">
        <v>1002</v>
      </c>
      <c r="B17" s="797" t="s">
        <v>1003</v>
      </c>
      <c r="C17" s="803">
        <f>C19+C20</f>
        <v>31984.329000000002</v>
      </c>
      <c r="D17" s="1219">
        <f>D19+D20</f>
        <v>4.0700999999999992</v>
      </c>
      <c r="E17" s="792"/>
      <c r="F17" s="792"/>
      <c r="G17" s="787"/>
      <c r="H17" s="807">
        <v>33608.320999999996</v>
      </c>
      <c r="I17" s="795"/>
      <c r="J17" s="808"/>
      <c r="K17" s="808"/>
      <c r="L17" s="787"/>
      <c r="M17" s="787"/>
      <c r="N17" s="787"/>
      <c r="O17" s="787"/>
      <c r="P17" s="787"/>
    </row>
    <row r="18" spans="1:16">
      <c r="A18" s="790"/>
      <c r="B18" s="797" t="s">
        <v>643</v>
      </c>
      <c r="C18" s="803"/>
      <c r="D18" s="1219"/>
      <c r="E18" s="792"/>
      <c r="F18" s="792"/>
      <c r="G18" s="787"/>
      <c r="H18" s="786"/>
      <c r="I18" s="787"/>
      <c r="J18" s="787"/>
      <c r="K18" s="787"/>
      <c r="L18" s="787"/>
      <c r="M18" s="787"/>
      <c r="N18" s="787"/>
      <c r="O18" s="787"/>
      <c r="P18" s="787"/>
    </row>
    <row r="19" spans="1:16">
      <c r="A19" s="790" t="s">
        <v>1004</v>
      </c>
      <c r="B19" s="797" t="s">
        <v>1005</v>
      </c>
      <c r="C19" s="809">
        <f>C66+C113+C134</f>
        <v>9842.4599999999991</v>
      </c>
      <c r="D19" s="1219">
        <f>D66+D113+D134</f>
        <v>1.2510999999999999</v>
      </c>
      <c r="E19" s="792"/>
      <c r="F19" s="792"/>
      <c r="G19" s="787">
        <v>9927.9999999999982</v>
      </c>
      <c r="H19" s="786">
        <v>1.2890000000000001</v>
      </c>
      <c r="I19" s="787"/>
      <c r="J19" s="795"/>
      <c r="K19" s="787"/>
      <c r="L19" s="787"/>
      <c r="M19" s="787"/>
      <c r="N19" s="787"/>
      <c r="O19" s="787"/>
      <c r="P19" s="787"/>
    </row>
    <row r="20" spans="1:16">
      <c r="A20" s="790" t="s">
        <v>1006</v>
      </c>
      <c r="B20" s="797" t="s">
        <v>1007</v>
      </c>
      <c r="C20" s="803">
        <f>C22+C24+C26+C28</f>
        <v>22141.869000000002</v>
      </c>
      <c r="D20" s="1219">
        <f>D22+D24+D26+D28</f>
        <v>2.8189999999999995</v>
      </c>
      <c r="E20" s="792"/>
      <c r="F20" s="792"/>
      <c r="G20" s="787">
        <v>23680.321</v>
      </c>
      <c r="H20" s="802">
        <v>2.7603135126301153</v>
      </c>
      <c r="I20" s="787"/>
      <c r="J20" s="795"/>
      <c r="K20" s="787"/>
      <c r="L20" s="787"/>
      <c r="M20" s="787"/>
      <c r="N20" s="787"/>
      <c r="O20" s="787"/>
      <c r="P20" s="787"/>
    </row>
    <row r="21" spans="1:16" ht="11.25" customHeight="1">
      <c r="A21" s="790"/>
      <c r="B21" s="797" t="s">
        <v>643</v>
      </c>
      <c r="C21" s="803"/>
      <c r="D21" s="1219"/>
      <c r="E21" s="792"/>
      <c r="F21" s="792"/>
      <c r="G21" s="787"/>
      <c r="H21" s="786"/>
      <c r="I21" s="787"/>
      <c r="J21" s="787"/>
      <c r="K21" s="787"/>
      <c r="L21" s="787"/>
      <c r="M21" s="787"/>
      <c r="N21" s="787"/>
      <c r="O21" s="787"/>
      <c r="P21" s="787"/>
    </row>
    <row r="22" spans="1:16">
      <c r="A22" s="790" t="s">
        <v>1009</v>
      </c>
      <c r="B22" s="810" t="s">
        <v>960</v>
      </c>
      <c r="C22" s="811">
        <f>C69+C116</f>
        <v>20123</v>
      </c>
      <c r="D22" s="1221">
        <f>D69+D116</f>
        <v>2.5499999999999998</v>
      </c>
      <c r="E22" s="792"/>
      <c r="F22" s="792"/>
      <c r="G22" s="787"/>
      <c r="H22" s="786"/>
      <c r="I22" s="787"/>
      <c r="J22" s="787"/>
      <c r="K22" s="787"/>
      <c r="L22" s="787"/>
      <c r="M22" s="787"/>
      <c r="N22" s="787"/>
      <c r="O22" s="787"/>
      <c r="P22" s="787"/>
    </row>
    <row r="23" spans="1:16" ht="26.4">
      <c r="A23" s="812" t="s">
        <v>1010</v>
      </c>
      <c r="B23" s="797" t="s">
        <v>1008</v>
      </c>
      <c r="C23" s="803"/>
      <c r="D23" s="1219"/>
      <c r="E23" s="792"/>
      <c r="F23" s="792"/>
      <c r="G23" s="787"/>
      <c r="H23" s="786"/>
      <c r="I23" s="787"/>
      <c r="J23" s="787"/>
      <c r="K23" s="787"/>
      <c r="L23" s="787"/>
      <c r="M23" s="787"/>
      <c r="N23" s="787"/>
      <c r="O23" s="787"/>
      <c r="P23" s="787"/>
    </row>
    <row r="24" spans="1:16">
      <c r="A24" s="790" t="s">
        <v>1269</v>
      </c>
      <c r="B24" s="810" t="s">
        <v>1270</v>
      </c>
      <c r="C24" s="811">
        <f>C71</f>
        <v>813.31100000000004</v>
      </c>
      <c r="D24" s="1221">
        <f>D71</f>
        <v>9.2999999999999999E-2</v>
      </c>
      <c r="E24" s="792"/>
      <c r="F24" s="792"/>
      <c r="G24" s="787"/>
      <c r="H24" s="786"/>
      <c r="I24" s="787"/>
      <c r="J24" s="787"/>
      <c r="K24" s="787"/>
      <c r="L24" s="787"/>
      <c r="M24" s="787"/>
      <c r="N24" s="787"/>
      <c r="O24" s="787"/>
      <c r="P24" s="787"/>
    </row>
    <row r="25" spans="1:16" ht="26.4">
      <c r="A25" s="812" t="s">
        <v>1271</v>
      </c>
      <c r="B25" s="797" t="s">
        <v>1008</v>
      </c>
      <c r="C25" s="803"/>
      <c r="D25" s="1219"/>
      <c r="E25" s="792"/>
      <c r="F25" s="792"/>
      <c r="G25" s="787"/>
      <c r="H25" s="786"/>
      <c r="I25" s="787"/>
      <c r="J25" s="787"/>
      <c r="K25" s="787"/>
      <c r="L25" s="787"/>
      <c r="M25" s="787"/>
      <c r="N25" s="787"/>
      <c r="O25" s="787"/>
      <c r="P25" s="787"/>
    </row>
    <row r="26" spans="1:16">
      <c r="A26" s="813" t="s">
        <v>1272</v>
      </c>
      <c r="B26" s="810" t="s">
        <v>1273</v>
      </c>
      <c r="C26" s="814">
        <f>C73</f>
        <v>674</v>
      </c>
      <c r="D26" s="1222">
        <f>D73</f>
        <v>0.10199999999999999</v>
      </c>
      <c r="E26" s="792"/>
      <c r="F26" s="792"/>
      <c r="G26" s="787"/>
      <c r="H26" s="786"/>
      <c r="I26" s="787"/>
      <c r="J26" s="787"/>
      <c r="K26" s="787"/>
      <c r="L26" s="787"/>
      <c r="M26" s="787"/>
      <c r="N26" s="787"/>
      <c r="O26" s="787"/>
      <c r="P26" s="787"/>
    </row>
    <row r="27" spans="1:16" ht="26.4">
      <c r="A27" s="812" t="s">
        <v>1274</v>
      </c>
      <c r="B27" s="797" t="s">
        <v>1011</v>
      </c>
      <c r="C27" s="803"/>
      <c r="D27" s="1219"/>
      <c r="E27" s="792"/>
      <c r="F27" s="792"/>
      <c r="G27" s="787"/>
      <c r="H27" s="786"/>
      <c r="I27" s="787"/>
      <c r="J27" s="787"/>
      <c r="K27" s="787"/>
      <c r="L27" s="787"/>
      <c r="M27" s="787"/>
      <c r="N27" s="787"/>
      <c r="O27" s="787"/>
      <c r="P27" s="787"/>
    </row>
    <row r="28" spans="1:16">
      <c r="A28" s="813" t="s">
        <v>1275</v>
      </c>
      <c r="B28" s="810" t="s">
        <v>1276</v>
      </c>
      <c r="C28" s="814">
        <f>C137</f>
        <v>531.55799999999999</v>
      </c>
      <c r="D28" s="1222">
        <f>D137</f>
        <v>7.3999999999999996E-2</v>
      </c>
      <c r="E28" s="792"/>
      <c r="F28" s="792"/>
      <c r="G28" s="787"/>
      <c r="H28" s="786"/>
      <c r="I28" s="787"/>
      <c r="J28" s="787"/>
      <c r="K28" s="787"/>
      <c r="L28" s="787"/>
      <c r="M28" s="787"/>
      <c r="N28" s="787"/>
      <c r="O28" s="787"/>
      <c r="P28" s="787"/>
    </row>
    <row r="29" spans="1:16" ht="26.4">
      <c r="A29" s="812" t="s">
        <v>1277</v>
      </c>
      <c r="B29" s="797" t="s">
        <v>1278</v>
      </c>
      <c r="C29" s="803"/>
      <c r="D29" s="1219"/>
      <c r="E29" s="792"/>
      <c r="F29" s="792"/>
      <c r="G29" s="787"/>
      <c r="H29" s="786"/>
      <c r="I29" s="787"/>
      <c r="J29" s="787"/>
      <c r="K29" s="787"/>
      <c r="L29" s="787"/>
      <c r="M29" s="787"/>
      <c r="N29" s="787"/>
      <c r="O29" s="787"/>
      <c r="P29" s="787"/>
    </row>
    <row r="30" spans="1:16">
      <c r="A30" s="815"/>
      <c r="B30" s="797" t="s">
        <v>263</v>
      </c>
      <c r="C30" s="803"/>
      <c r="D30" s="1219"/>
      <c r="E30" s="792"/>
      <c r="F30" s="792"/>
      <c r="G30" s="787"/>
      <c r="H30" s="786"/>
      <c r="I30" s="787"/>
      <c r="J30" s="787"/>
      <c r="K30" s="787"/>
      <c r="L30" s="787"/>
      <c r="M30" s="787"/>
      <c r="N30" s="787"/>
      <c r="O30" s="787"/>
      <c r="P30" s="787"/>
    </row>
    <row r="31" spans="1:16">
      <c r="A31" s="816" t="s">
        <v>1012</v>
      </c>
      <c r="B31" s="797" t="s">
        <v>1013</v>
      </c>
      <c r="C31" s="803"/>
      <c r="D31" s="1219"/>
      <c r="E31" s="792"/>
      <c r="F31" s="792"/>
      <c r="G31" s="787"/>
      <c r="H31" s="786"/>
      <c r="I31" s="787"/>
      <c r="J31" s="787"/>
      <c r="K31" s="787"/>
      <c r="L31" s="787"/>
      <c r="M31" s="787"/>
      <c r="N31" s="787"/>
      <c r="O31" s="787"/>
      <c r="P31" s="787"/>
    </row>
    <row r="32" spans="1:16">
      <c r="A32" s="790"/>
      <c r="B32" s="797" t="s">
        <v>994</v>
      </c>
      <c r="C32" s="803"/>
      <c r="D32" s="1219"/>
      <c r="E32" s="792"/>
      <c r="F32" s="792"/>
      <c r="G32" s="787"/>
      <c r="H32" s="786"/>
      <c r="I32" s="787"/>
      <c r="J32" s="787"/>
      <c r="K32" s="787"/>
      <c r="L32" s="787"/>
      <c r="M32" s="787"/>
      <c r="N32" s="787"/>
      <c r="O32" s="787"/>
      <c r="P32" s="787"/>
    </row>
    <row r="33" spans="1:16">
      <c r="A33" s="790" t="s">
        <v>1014</v>
      </c>
      <c r="B33" s="797" t="s">
        <v>1015</v>
      </c>
      <c r="C33" s="803"/>
      <c r="D33" s="1219"/>
      <c r="E33" s="792"/>
      <c r="F33" s="792"/>
      <c r="G33" s="787"/>
      <c r="H33" s="786"/>
      <c r="I33" s="787"/>
      <c r="J33" s="787"/>
      <c r="K33" s="787"/>
      <c r="L33" s="787"/>
      <c r="M33" s="787"/>
      <c r="N33" s="787"/>
      <c r="O33" s="787"/>
      <c r="P33" s="787"/>
    </row>
    <row r="34" spans="1:16">
      <c r="A34" s="790" t="s">
        <v>1016</v>
      </c>
      <c r="B34" s="797" t="s">
        <v>997</v>
      </c>
      <c r="C34" s="803"/>
      <c r="D34" s="1219"/>
      <c r="E34" s="792"/>
      <c r="F34" s="792"/>
      <c r="G34" s="787"/>
      <c r="H34" s="786"/>
      <c r="I34" s="787"/>
      <c r="J34" s="787"/>
      <c r="K34" s="787"/>
      <c r="L34" s="787"/>
      <c r="M34" s="787"/>
      <c r="N34" s="787"/>
      <c r="O34" s="787"/>
      <c r="P34" s="787"/>
    </row>
    <row r="35" spans="1:16">
      <c r="A35" s="790"/>
      <c r="B35" s="797" t="s">
        <v>994</v>
      </c>
      <c r="C35" s="803"/>
      <c r="D35" s="1219"/>
      <c r="E35" s="792"/>
      <c r="F35" s="792"/>
      <c r="G35" s="787"/>
      <c r="H35" s="786"/>
      <c r="I35" s="787"/>
      <c r="J35" s="787"/>
      <c r="K35" s="787"/>
      <c r="L35" s="787"/>
      <c r="M35" s="787"/>
      <c r="N35" s="787"/>
      <c r="O35" s="787"/>
      <c r="P35" s="787"/>
    </row>
    <row r="36" spans="1:16">
      <c r="A36" s="790" t="s">
        <v>1017</v>
      </c>
      <c r="B36" s="797" t="s">
        <v>1018</v>
      </c>
      <c r="C36" s="803"/>
      <c r="D36" s="1219"/>
      <c r="E36" s="792"/>
      <c r="F36" s="792"/>
      <c r="G36" s="787"/>
      <c r="H36" s="786"/>
      <c r="I36" s="787"/>
      <c r="J36" s="787"/>
      <c r="K36" s="787"/>
      <c r="L36" s="787"/>
      <c r="M36" s="787"/>
      <c r="N36" s="787"/>
      <c r="O36" s="787"/>
      <c r="P36" s="787"/>
    </row>
    <row r="37" spans="1:16">
      <c r="A37" s="790" t="s">
        <v>1019</v>
      </c>
      <c r="B37" s="797" t="s">
        <v>1020</v>
      </c>
      <c r="C37" s="803"/>
      <c r="D37" s="1219"/>
      <c r="E37" s="792"/>
      <c r="F37" s="792"/>
      <c r="G37" s="787"/>
      <c r="H37" s="786"/>
      <c r="I37" s="787"/>
      <c r="J37" s="787"/>
      <c r="K37" s="787"/>
      <c r="L37" s="787"/>
      <c r="M37" s="787"/>
      <c r="N37" s="787"/>
      <c r="O37" s="787"/>
      <c r="P37" s="787"/>
    </row>
    <row r="38" spans="1:16">
      <c r="A38" s="790"/>
      <c r="B38" s="797" t="s">
        <v>263</v>
      </c>
      <c r="C38" s="803"/>
      <c r="D38" s="1219"/>
      <c r="E38" s="792"/>
      <c r="F38" s="792"/>
      <c r="G38" s="787"/>
      <c r="H38" s="786"/>
      <c r="I38" s="787"/>
      <c r="J38" s="787"/>
      <c r="K38" s="787"/>
      <c r="L38" s="787"/>
      <c r="M38" s="787"/>
      <c r="N38" s="787"/>
      <c r="O38" s="787"/>
      <c r="P38" s="787"/>
    </row>
    <row r="39" spans="1:16">
      <c r="A39" s="790" t="s">
        <v>1021</v>
      </c>
      <c r="B39" s="797" t="s">
        <v>1022</v>
      </c>
      <c r="C39" s="803"/>
      <c r="D39" s="1219"/>
      <c r="E39" s="792"/>
      <c r="F39" s="792"/>
      <c r="G39" s="787"/>
      <c r="H39" s="786"/>
      <c r="I39" s="787"/>
      <c r="J39" s="787"/>
      <c r="K39" s="787"/>
      <c r="L39" s="787"/>
      <c r="M39" s="787"/>
      <c r="N39" s="787"/>
      <c r="O39" s="787"/>
      <c r="P39" s="787"/>
    </row>
    <row r="40" spans="1:16">
      <c r="A40" s="790" t="s">
        <v>1023</v>
      </c>
      <c r="B40" s="797" t="s">
        <v>1024</v>
      </c>
      <c r="C40" s="803"/>
      <c r="D40" s="1219"/>
      <c r="E40" s="792"/>
      <c r="F40" s="792"/>
      <c r="G40" s="787"/>
      <c r="H40" s="786"/>
      <c r="I40" s="787"/>
      <c r="J40" s="787"/>
      <c r="K40" s="787"/>
      <c r="L40" s="787"/>
      <c r="M40" s="787"/>
      <c r="N40" s="787"/>
      <c r="O40" s="787"/>
      <c r="P40" s="787"/>
    </row>
    <row r="41" spans="1:16">
      <c r="A41" s="790"/>
      <c r="B41" s="797" t="s">
        <v>643</v>
      </c>
      <c r="C41" s="803"/>
      <c r="D41" s="1219"/>
      <c r="E41" s="792"/>
      <c r="F41" s="792"/>
      <c r="G41" s="787"/>
      <c r="H41" s="786"/>
      <c r="I41" s="787"/>
      <c r="J41" s="787"/>
      <c r="K41" s="787"/>
      <c r="L41" s="787"/>
      <c r="M41" s="787"/>
      <c r="N41" s="787"/>
      <c r="O41" s="787"/>
      <c r="P41" s="787"/>
    </row>
    <row r="42" spans="1:16">
      <c r="A42" s="790" t="s">
        <v>1025</v>
      </c>
      <c r="B42" s="797" t="s">
        <v>1005</v>
      </c>
      <c r="C42" s="803"/>
      <c r="D42" s="1219"/>
      <c r="E42" s="792"/>
      <c r="F42" s="792"/>
      <c r="G42" s="787"/>
      <c r="H42" s="786"/>
      <c r="I42" s="787"/>
      <c r="J42" s="787"/>
      <c r="K42" s="787"/>
      <c r="L42" s="787"/>
      <c r="M42" s="787"/>
      <c r="N42" s="787"/>
      <c r="O42" s="787"/>
      <c r="P42" s="787"/>
    </row>
    <row r="43" spans="1:16">
      <c r="A43" s="790" t="s">
        <v>1026</v>
      </c>
      <c r="B43" s="797" t="s">
        <v>1007</v>
      </c>
      <c r="C43" s="803"/>
      <c r="D43" s="1219"/>
      <c r="E43" s="792"/>
      <c r="F43" s="792"/>
      <c r="G43" s="787"/>
      <c r="H43" s="786"/>
      <c r="I43" s="787"/>
      <c r="J43" s="787"/>
      <c r="K43" s="787"/>
      <c r="L43" s="787"/>
      <c r="M43" s="787"/>
      <c r="N43" s="787"/>
      <c r="O43" s="787"/>
      <c r="P43" s="787"/>
    </row>
    <row r="44" spans="1:16">
      <c r="A44" s="790"/>
      <c r="B44" s="797" t="s">
        <v>643</v>
      </c>
      <c r="C44" s="803"/>
      <c r="D44" s="1219"/>
      <c r="E44" s="792"/>
      <c r="F44" s="792"/>
      <c r="G44" s="787"/>
      <c r="H44" s="786"/>
      <c r="I44" s="787"/>
      <c r="J44" s="787"/>
      <c r="K44" s="787"/>
      <c r="L44" s="787"/>
      <c r="M44" s="787"/>
      <c r="N44" s="787"/>
      <c r="O44" s="787"/>
      <c r="P44" s="787"/>
    </row>
    <row r="45" spans="1:16">
      <c r="A45" s="790" t="s">
        <v>1027</v>
      </c>
      <c r="B45" s="797" t="s">
        <v>1018</v>
      </c>
      <c r="C45" s="803"/>
      <c r="D45" s="1219"/>
      <c r="E45" s="792"/>
      <c r="F45" s="792"/>
      <c r="G45" s="787"/>
      <c r="H45" s="786"/>
      <c r="I45" s="787"/>
      <c r="J45" s="787"/>
      <c r="K45" s="787"/>
      <c r="L45" s="787"/>
      <c r="M45" s="787"/>
      <c r="N45" s="787"/>
      <c r="O45" s="787"/>
      <c r="P45" s="787"/>
    </row>
    <row r="46" spans="1:16" ht="26.4">
      <c r="A46" s="806" t="s">
        <v>1028</v>
      </c>
      <c r="B46" s="797" t="s">
        <v>1029</v>
      </c>
      <c r="C46" s="803"/>
      <c r="D46" s="1219"/>
      <c r="E46" s="792"/>
      <c r="F46" s="792"/>
      <c r="G46" s="787"/>
      <c r="H46" s="786"/>
      <c r="I46" s="787"/>
      <c r="J46" s="787"/>
      <c r="K46" s="787"/>
      <c r="L46" s="787"/>
      <c r="M46" s="787"/>
      <c r="N46" s="787"/>
      <c r="O46" s="787"/>
      <c r="P46" s="787"/>
    </row>
    <row r="47" spans="1:16">
      <c r="A47" s="816" t="s">
        <v>1030</v>
      </c>
      <c r="B47" s="817" t="s">
        <v>1020</v>
      </c>
      <c r="C47" s="818"/>
      <c r="D47" s="1223"/>
      <c r="E47" s="819"/>
      <c r="F47" s="819"/>
      <c r="G47" s="787"/>
      <c r="H47" s="786"/>
      <c r="I47" s="787"/>
      <c r="J47" s="787"/>
      <c r="K47" s="787"/>
      <c r="L47" s="787"/>
      <c r="M47" s="787"/>
      <c r="N47" s="787"/>
      <c r="O47" s="787"/>
      <c r="P47" s="787"/>
    </row>
    <row r="48" spans="1:16" ht="26.4">
      <c r="A48" s="806" t="s">
        <v>1031</v>
      </c>
      <c r="B48" s="797" t="s">
        <v>1032</v>
      </c>
      <c r="C48" s="803"/>
      <c r="D48" s="1219"/>
      <c r="E48" s="792"/>
      <c r="F48" s="792"/>
      <c r="G48" s="787"/>
      <c r="H48" s="786"/>
      <c r="I48" s="787"/>
      <c r="J48" s="787"/>
      <c r="K48" s="787"/>
      <c r="L48" s="787"/>
      <c r="M48" s="787"/>
      <c r="N48" s="787"/>
      <c r="O48" s="787"/>
      <c r="P48" s="787"/>
    </row>
    <row r="49" spans="1:16">
      <c r="A49" s="790"/>
      <c r="B49" s="797" t="s">
        <v>263</v>
      </c>
      <c r="C49" s="803"/>
      <c r="D49" s="1219"/>
      <c r="E49" s="792"/>
      <c r="F49" s="792"/>
      <c r="G49" s="787"/>
      <c r="H49" s="786"/>
      <c r="I49" s="787"/>
      <c r="J49" s="787"/>
      <c r="K49" s="787"/>
      <c r="L49" s="787"/>
      <c r="M49" s="787"/>
      <c r="N49" s="787"/>
      <c r="O49" s="787"/>
      <c r="P49" s="787"/>
    </row>
    <row r="50" spans="1:16">
      <c r="A50" s="790" t="s">
        <v>1033</v>
      </c>
      <c r="B50" s="797" t="s">
        <v>1034</v>
      </c>
      <c r="C50" s="803"/>
      <c r="D50" s="1219"/>
      <c r="E50" s="792"/>
      <c r="F50" s="792" t="s">
        <v>1279</v>
      </c>
      <c r="G50" s="787"/>
      <c r="H50" s="786"/>
      <c r="I50" s="787"/>
      <c r="J50" s="787"/>
      <c r="K50" s="787"/>
      <c r="L50" s="787"/>
      <c r="M50" s="787"/>
      <c r="N50" s="787"/>
      <c r="O50" s="787"/>
      <c r="P50" s="787"/>
    </row>
    <row r="51" spans="1:16">
      <c r="A51" s="790" t="s">
        <v>1035</v>
      </c>
      <c r="B51" s="820" t="s">
        <v>1036</v>
      </c>
      <c r="C51" s="803"/>
      <c r="D51" s="1219"/>
      <c r="E51" s="792"/>
      <c r="F51" s="792" t="s">
        <v>1279</v>
      </c>
      <c r="G51" s="787"/>
      <c r="H51" s="786"/>
      <c r="I51" s="787"/>
      <c r="J51" s="787"/>
      <c r="K51" s="787"/>
      <c r="L51" s="787"/>
      <c r="M51" s="787"/>
      <c r="N51" s="787"/>
      <c r="O51" s="787"/>
      <c r="P51" s="787"/>
    </row>
    <row r="52" spans="1:16">
      <c r="A52" s="790" t="s">
        <v>1037</v>
      </c>
      <c r="B52" s="820" t="s">
        <v>1038</v>
      </c>
      <c r="C52" s="803"/>
      <c r="D52" s="1219"/>
      <c r="E52" s="792"/>
      <c r="F52" s="792" t="s">
        <v>1279</v>
      </c>
      <c r="G52" s="787"/>
      <c r="H52" s="786"/>
      <c r="I52" s="787"/>
      <c r="J52" s="787"/>
      <c r="K52" s="787"/>
      <c r="L52" s="787"/>
      <c r="M52" s="787"/>
      <c r="N52" s="787"/>
      <c r="O52" s="787"/>
      <c r="P52" s="787"/>
    </row>
    <row r="53" spans="1:16">
      <c r="A53" s="790" t="s">
        <v>1039</v>
      </c>
      <c r="B53" s="820" t="s">
        <v>1040</v>
      </c>
      <c r="C53" s="803"/>
      <c r="D53" s="1219"/>
      <c r="E53" s="792"/>
      <c r="F53" s="792" t="s">
        <v>1279</v>
      </c>
      <c r="G53" s="787"/>
      <c r="H53" s="786"/>
      <c r="I53" s="787"/>
      <c r="J53" s="787"/>
      <c r="K53" s="787"/>
      <c r="L53" s="787"/>
      <c r="M53" s="787"/>
      <c r="N53" s="787"/>
      <c r="O53" s="787"/>
      <c r="P53" s="787"/>
    </row>
    <row r="54" spans="1:16">
      <c r="A54" s="790" t="s">
        <v>1041</v>
      </c>
      <c r="B54" s="820" t="s">
        <v>1042</v>
      </c>
      <c r="C54" s="803"/>
      <c r="D54" s="1219"/>
      <c r="E54" s="792"/>
      <c r="F54" s="792" t="s">
        <v>1279</v>
      </c>
      <c r="G54" s="787"/>
      <c r="H54" s="786"/>
      <c r="I54" s="787"/>
      <c r="J54" s="787"/>
      <c r="K54" s="787"/>
      <c r="L54" s="787"/>
      <c r="M54" s="787"/>
      <c r="N54" s="787"/>
      <c r="O54" s="787"/>
      <c r="P54" s="787"/>
    </row>
    <row r="55" spans="1:16" ht="26.4">
      <c r="A55" s="790" t="s">
        <v>1043</v>
      </c>
      <c r="B55" s="797" t="s">
        <v>1044</v>
      </c>
      <c r="C55" s="803">
        <f>C58</f>
        <v>33929.534</v>
      </c>
      <c r="D55" s="1219">
        <f>D58</f>
        <v>4.3114999999999997</v>
      </c>
      <c r="E55" s="792"/>
      <c r="F55" s="792"/>
      <c r="G55" s="787"/>
      <c r="H55" s="786"/>
      <c r="I55" s="787"/>
      <c r="J55" s="787"/>
      <c r="K55" s="787"/>
      <c r="L55" s="787"/>
      <c r="M55" s="787"/>
      <c r="N55" s="787"/>
      <c r="O55" s="787"/>
      <c r="P55" s="787"/>
    </row>
    <row r="56" spans="1:16">
      <c r="A56" s="790"/>
      <c r="B56" s="797" t="s">
        <v>994</v>
      </c>
      <c r="C56" s="803"/>
      <c r="D56" s="1219"/>
      <c r="E56" s="792"/>
      <c r="F56" s="792"/>
      <c r="G56" s="787"/>
      <c r="H56" s="786"/>
      <c r="I56" s="787"/>
      <c r="J56" s="787"/>
      <c r="K56" s="787"/>
      <c r="L56" s="787"/>
      <c r="M56" s="787"/>
      <c r="N56" s="787"/>
      <c r="O56" s="787"/>
      <c r="P56" s="787"/>
    </row>
    <row r="57" spans="1:16">
      <c r="A57" s="790" t="s">
        <v>1045</v>
      </c>
      <c r="B57" s="797" t="s">
        <v>1015</v>
      </c>
      <c r="C57" s="821"/>
      <c r="D57" s="1219"/>
      <c r="E57" s="792"/>
      <c r="F57" s="792"/>
      <c r="G57" s="787"/>
      <c r="H57" s="786"/>
      <c r="I57" s="787"/>
      <c r="J57" s="787"/>
      <c r="K57" s="787"/>
      <c r="L57" s="787"/>
      <c r="M57" s="787"/>
      <c r="N57" s="787"/>
      <c r="O57" s="787"/>
      <c r="P57" s="787"/>
    </row>
    <row r="58" spans="1:16">
      <c r="A58" s="790" t="s">
        <v>1046</v>
      </c>
      <c r="B58" s="797" t="s">
        <v>997</v>
      </c>
      <c r="C58" s="803">
        <f>C60</f>
        <v>33929.534</v>
      </c>
      <c r="D58" s="1219">
        <f>D60</f>
        <v>4.3114999999999997</v>
      </c>
      <c r="E58" s="792"/>
      <c r="F58" s="792"/>
      <c r="G58" s="787"/>
      <c r="H58" s="786"/>
      <c r="I58" s="787"/>
      <c r="J58" s="787"/>
      <c r="K58" s="787"/>
      <c r="L58" s="787"/>
      <c r="M58" s="787"/>
      <c r="N58" s="787"/>
      <c r="O58" s="787"/>
      <c r="P58" s="787"/>
    </row>
    <row r="59" spans="1:16">
      <c r="A59" s="790"/>
      <c r="B59" s="797" t="s">
        <v>994</v>
      </c>
      <c r="C59" s="803"/>
      <c r="D59" s="1219"/>
      <c r="E59" s="792"/>
      <c r="F59" s="792"/>
      <c r="G59" s="787"/>
      <c r="H59" s="786"/>
      <c r="I59" s="787"/>
      <c r="J59" s="787"/>
      <c r="K59" s="787"/>
      <c r="L59" s="787"/>
      <c r="M59" s="787"/>
      <c r="N59" s="787"/>
      <c r="O59" s="787"/>
      <c r="P59" s="787"/>
    </row>
    <row r="60" spans="1:16">
      <c r="A60" s="790" t="s">
        <v>1047</v>
      </c>
      <c r="B60" s="797" t="s">
        <v>934</v>
      </c>
      <c r="C60" s="803">
        <f>C64+C63+C78</f>
        <v>33929.534</v>
      </c>
      <c r="D60" s="1219">
        <f>D64+D63+D78</f>
        <v>4.3114999999999997</v>
      </c>
      <c r="E60" s="792"/>
      <c r="F60" s="792"/>
      <c r="G60" s="787"/>
      <c r="H60" s="786"/>
      <c r="I60" s="787"/>
      <c r="J60" s="787"/>
      <c r="K60" s="787"/>
      <c r="L60" s="787"/>
      <c r="M60" s="787"/>
      <c r="N60" s="787"/>
      <c r="O60" s="787"/>
      <c r="P60" s="787"/>
    </row>
    <row r="61" spans="1:16">
      <c r="A61" s="790" t="s">
        <v>1048</v>
      </c>
      <c r="B61" s="797" t="s">
        <v>1020</v>
      </c>
      <c r="C61" s="803"/>
      <c r="D61" s="1219"/>
      <c r="E61" s="792"/>
      <c r="F61" s="792"/>
      <c r="G61" s="787"/>
      <c r="H61" s="786"/>
      <c r="I61" s="787"/>
      <c r="J61" s="804"/>
      <c r="K61" s="787"/>
      <c r="L61" s="787"/>
      <c r="M61" s="787"/>
      <c r="N61" s="787"/>
      <c r="O61" s="787"/>
      <c r="P61" s="787"/>
    </row>
    <row r="62" spans="1:16">
      <c r="A62" s="790"/>
      <c r="B62" s="797" t="s">
        <v>263</v>
      </c>
      <c r="C62" s="803"/>
      <c r="D62" s="1219"/>
      <c r="E62" s="792"/>
      <c r="F62" s="792"/>
      <c r="G62" s="787"/>
      <c r="H62" s="786"/>
      <c r="I62" s="787"/>
      <c r="J62" s="804">
        <f>951/24727.66</f>
        <v>3.8458956488402057E-2</v>
      </c>
      <c r="K62" s="787"/>
      <c r="L62" s="787"/>
      <c r="M62" s="787"/>
      <c r="N62" s="787"/>
      <c r="O62" s="787"/>
      <c r="P62" s="787"/>
    </row>
    <row r="63" spans="1:16">
      <c r="A63" s="790" t="s">
        <v>1049</v>
      </c>
      <c r="B63" s="797" t="s">
        <v>1022</v>
      </c>
      <c r="C63" s="809">
        <f>ROUND((3.69/100*(H1-C80)),3)</f>
        <v>1252</v>
      </c>
      <c r="D63" s="1224">
        <f>ROUND((3.69/100*(H2-D80)),5)</f>
        <v>0.15909000000000001</v>
      </c>
      <c r="E63" s="792"/>
      <c r="F63" s="792"/>
      <c r="G63" s="795">
        <f>C63/D63</f>
        <v>7869.7592557671751</v>
      </c>
      <c r="H63" s="804">
        <f>C63/C55</f>
        <v>3.6900005758994513E-2</v>
      </c>
      <c r="I63" s="804" t="s">
        <v>641</v>
      </c>
      <c r="J63" s="804">
        <f>D63/D60</f>
        <v>3.6898991070393142E-2</v>
      </c>
      <c r="K63" s="787"/>
      <c r="L63" s="787"/>
      <c r="M63" s="787"/>
      <c r="N63" s="787"/>
      <c r="O63" s="787"/>
      <c r="P63" s="787"/>
    </row>
    <row r="64" spans="1:16">
      <c r="A64" s="790" t="s">
        <v>1050</v>
      </c>
      <c r="B64" s="797" t="s">
        <v>1024</v>
      </c>
      <c r="C64" s="803">
        <f>C66+C67</f>
        <v>26190.951000000001</v>
      </c>
      <c r="D64" s="1219">
        <f>D66+D67</f>
        <v>3.3082999999999996</v>
      </c>
      <c r="E64" s="792"/>
      <c r="F64" s="792"/>
      <c r="G64" s="822">
        <v>27257.311000000002</v>
      </c>
      <c r="H64" s="823">
        <f>C64/D64</f>
        <v>7916.7400175316643</v>
      </c>
      <c r="I64" s="804" t="s">
        <v>963</v>
      </c>
      <c r="J64" s="787"/>
      <c r="K64" s="787"/>
      <c r="L64" s="787"/>
      <c r="M64" s="787"/>
      <c r="N64" s="787"/>
      <c r="O64" s="787"/>
      <c r="P64" s="787"/>
    </row>
    <row r="65" spans="1:16">
      <c r="A65" s="790"/>
      <c r="B65" s="797" t="s">
        <v>643</v>
      </c>
      <c r="C65" s="824"/>
      <c r="D65" s="1225"/>
      <c r="E65" s="792"/>
      <c r="F65" s="792"/>
      <c r="G65" s="802">
        <v>3.2419999999999995</v>
      </c>
      <c r="H65" s="786"/>
      <c r="I65" s="802"/>
      <c r="J65" s="825"/>
      <c r="K65" s="787"/>
      <c r="L65" s="787"/>
      <c r="M65" s="787"/>
      <c r="N65" s="787"/>
      <c r="O65" s="787"/>
      <c r="P65" s="787"/>
    </row>
    <row r="66" spans="1:16">
      <c r="A66" s="790" t="s">
        <v>1051</v>
      </c>
      <c r="B66" s="797" t="s">
        <v>1005</v>
      </c>
      <c r="C66" s="803">
        <f>'2012 Баланс  '!C17</f>
        <v>4940.6400000000003</v>
      </c>
      <c r="D66" s="1219">
        <f>'2012 Баланс  '!C18</f>
        <v>0.60329999999999995</v>
      </c>
      <c r="E66" s="792"/>
      <c r="F66" s="792"/>
      <c r="G66" s="787"/>
      <c r="H66" s="786"/>
      <c r="I66" s="826"/>
      <c r="J66" s="827"/>
      <c r="K66" s="787"/>
      <c r="L66" s="787"/>
      <c r="M66" s="787"/>
      <c r="N66" s="787"/>
      <c r="O66" s="787"/>
      <c r="P66" s="787"/>
    </row>
    <row r="67" spans="1:16">
      <c r="A67" s="790" t="s">
        <v>1052</v>
      </c>
      <c r="B67" s="797" t="s">
        <v>1007</v>
      </c>
      <c r="C67" s="803">
        <f>C69+C71+C73</f>
        <v>21250.311000000002</v>
      </c>
      <c r="D67" s="1219">
        <f>D69+D71+D73</f>
        <v>2.7049999999999996</v>
      </c>
      <c r="E67" s="792"/>
      <c r="F67" s="792"/>
      <c r="G67" s="787"/>
      <c r="H67" s="823">
        <f>C67/D67</f>
        <v>7855.9375231053618</v>
      </c>
      <c r="I67" s="804" t="s">
        <v>963</v>
      </c>
      <c r="J67" s="828"/>
      <c r="K67" s="787"/>
      <c r="L67" s="787"/>
      <c r="M67" s="787"/>
      <c r="N67" s="787"/>
      <c r="O67" s="787"/>
      <c r="P67" s="787"/>
    </row>
    <row r="68" spans="1:16">
      <c r="A68" s="790"/>
      <c r="B68" s="797" t="s">
        <v>643</v>
      </c>
      <c r="C68" s="803"/>
      <c r="D68" s="1219"/>
      <c r="E68" s="792"/>
      <c r="F68" s="792"/>
      <c r="G68" s="787"/>
      <c r="H68" s="786"/>
      <c r="I68" s="787"/>
      <c r="J68" s="828"/>
      <c r="K68" s="787"/>
      <c r="L68" s="787"/>
      <c r="M68" s="787"/>
      <c r="N68" s="787"/>
      <c r="O68" s="787"/>
      <c r="P68" s="787"/>
    </row>
    <row r="69" spans="1:16">
      <c r="A69" s="790" t="s">
        <v>1054</v>
      </c>
      <c r="B69" s="810" t="s">
        <v>960</v>
      </c>
      <c r="C69" s="814">
        <f>'Прилож.1-2012г.'!C35</f>
        <v>19763</v>
      </c>
      <c r="D69" s="1222">
        <f>'Прилож.1-2012г.'!D35</f>
        <v>2.5099999999999998</v>
      </c>
      <c r="E69" s="792"/>
      <c r="F69" s="792"/>
      <c r="G69" s="787"/>
      <c r="H69" s="823">
        <f>C69/D69</f>
        <v>7873.7051792828688</v>
      </c>
      <c r="I69" s="804" t="s">
        <v>963</v>
      </c>
      <c r="J69" s="827"/>
      <c r="K69" s="787"/>
      <c r="L69" s="787"/>
      <c r="M69" s="787"/>
      <c r="N69" s="787"/>
      <c r="O69" s="787"/>
      <c r="P69" s="787"/>
    </row>
    <row r="70" spans="1:16" ht="26.4">
      <c r="A70" s="806" t="s">
        <v>1055</v>
      </c>
      <c r="B70" s="797" t="s">
        <v>1053</v>
      </c>
      <c r="C70" s="803"/>
      <c r="D70" s="1219"/>
      <c r="E70" s="792"/>
      <c r="F70" s="792"/>
      <c r="G70" s="787"/>
      <c r="H70" s="786"/>
      <c r="I70" s="787"/>
      <c r="J70" s="828"/>
      <c r="K70" s="787"/>
      <c r="L70" s="787"/>
      <c r="M70" s="787"/>
      <c r="N70" s="787"/>
      <c r="O70" s="787"/>
      <c r="P70" s="787"/>
    </row>
    <row r="71" spans="1:16">
      <c r="A71" s="790" t="s">
        <v>1280</v>
      </c>
      <c r="B71" s="810" t="s">
        <v>1281</v>
      </c>
      <c r="C71" s="814">
        <f>'Прилож.1-2012г.'!C33</f>
        <v>813.31100000000004</v>
      </c>
      <c r="D71" s="1222">
        <f>'Прилож.1-2012г.'!D33</f>
        <v>9.2999999999999999E-2</v>
      </c>
      <c r="E71" s="792"/>
      <c r="F71" s="792"/>
      <c r="G71" s="787"/>
      <c r="H71" s="823">
        <f>C71/D71</f>
        <v>8745.2795698924729</v>
      </c>
      <c r="I71" s="804" t="s">
        <v>963</v>
      </c>
      <c r="J71" s="827"/>
      <c r="K71" s="787"/>
      <c r="L71" s="787"/>
      <c r="M71" s="787"/>
      <c r="N71" s="787"/>
      <c r="O71" s="787"/>
      <c r="P71" s="787"/>
    </row>
    <row r="72" spans="1:16" ht="26.4">
      <c r="A72" s="806" t="s">
        <v>1282</v>
      </c>
      <c r="B72" s="797" t="s">
        <v>1053</v>
      </c>
      <c r="C72" s="803"/>
      <c r="D72" s="1219"/>
      <c r="E72" s="792"/>
      <c r="F72" s="792"/>
      <c r="G72" s="787"/>
      <c r="H72" s="786"/>
      <c r="I72" s="787"/>
      <c r="J72" s="828"/>
      <c r="K72" s="787"/>
      <c r="L72" s="787"/>
      <c r="M72" s="787"/>
      <c r="N72" s="787"/>
      <c r="O72" s="787"/>
      <c r="P72" s="787"/>
    </row>
    <row r="73" spans="1:16">
      <c r="A73" s="790" t="s">
        <v>1283</v>
      </c>
      <c r="B73" s="810" t="s">
        <v>1273</v>
      </c>
      <c r="C73" s="814">
        <f>'Прилож.1-2012г.'!C45</f>
        <v>674</v>
      </c>
      <c r="D73" s="1222">
        <f>'Прилож.1-2012г.'!D45</f>
        <v>0.10199999999999999</v>
      </c>
      <c r="E73" s="792"/>
      <c r="F73" s="792"/>
      <c r="G73" s="787"/>
      <c r="H73" s="823">
        <f>C73/D73</f>
        <v>6607.8431372549021</v>
      </c>
      <c r="I73" s="804" t="s">
        <v>963</v>
      </c>
      <c r="J73" s="827"/>
      <c r="K73" s="787"/>
      <c r="L73" s="787"/>
      <c r="M73" s="787"/>
      <c r="N73" s="787"/>
      <c r="O73" s="787"/>
      <c r="P73" s="787"/>
    </row>
    <row r="74" spans="1:16" ht="26.4">
      <c r="A74" s="806" t="s">
        <v>1284</v>
      </c>
      <c r="B74" s="797" t="s">
        <v>1056</v>
      </c>
      <c r="C74" s="803"/>
      <c r="D74" s="1219"/>
      <c r="E74" s="792"/>
      <c r="F74" s="792"/>
      <c r="G74" s="787"/>
      <c r="H74" s="786"/>
      <c r="I74" s="787"/>
      <c r="J74" s="787"/>
      <c r="K74" s="787"/>
      <c r="L74" s="787"/>
      <c r="M74" s="787"/>
      <c r="N74" s="787"/>
      <c r="O74" s="787"/>
      <c r="P74" s="787"/>
    </row>
    <row r="75" spans="1:16">
      <c r="A75" s="790"/>
      <c r="B75" s="797" t="s">
        <v>263</v>
      </c>
      <c r="C75" s="803"/>
      <c r="D75" s="1219"/>
      <c r="E75" s="792"/>
      <c r="F75" s="792"/>
      <c r="G75" s="787"/>
      <c r="H75" s="786"/>
      <c r="I75" s="787"/>
      <c r="J75" s="787"/>
      <c r="K75" s="787"/>
      <c r="L75" s="787"/>
      <c r="M75" s="787"/>
      <c r="N75" s="787"/>
      <c r="O75" s="787"/>
      <c r="P75" s="787"/>
    </row>
    <row r="76" spans="1:16">
      <c r="A76" s="790" t="s">
        <v>1057</v>
      </c>
      <c r="B76" s="797" t="s">
        <v>1058</v>
      </c>
      <c r="C76" s="803">
        <f>C78</f>
        <v>6486.5829999999987</v>
      </c>
      <c r="D76" s="1219">
        <f>D78</f>
        <v>0.84410999999999992</v>
      </c>
      <c r="E76" s="792"/>
      <c r="F76" s="792" t="s">
        <v>1279</v>
      </c>
      <c r="G76" s="787"/>
      <c r="H76" s="786"/>
      <c r="I76" s="787"/>
      <c r="J76" s="787"/>
      <c r="K76" s="787"/>
      <c r="L76" s="787"/>
      <c r="M76" s="787"/>
      <c r="N76" s="787"/>
      <c r="O76" s="787"/>
      <c r="P76" s="787"/>
    </row>
    <row r="77" spans="1:16">
      <c r="A77" s="790" t="s">
        <v>1059</v>
      </c>
      <c r="B77" s="820" t="s">
        <v>1038</v>
      </c>
      <c r="C77" s="803"/>
      <c r="D77" s="1219"/>
      <c r="E77" s="792"/>
      <c r="F77" s="792" t="s">
        <v>1279</v>
      </c>
      <c r="G77" s="787"/>
      <c r="H77" s="786"/>
      <c r="I77" s="787"/>
      <c r="J77" s="787"/>
      <c r="K77" s="787"/>
      <c r="L77" s="787"/>
      <c r="M77" s="787"/>
      <c r="N77" s="787"/>
      <c r="O77" s="787"/>
      <c r="P77" s="787"/>
    </row>
    <row r="78" spans="1:16">
      <c r="A78" s="790" t="s">
        <v>1060</v>
      </c>
      <c r="B78" s="820" t="s">
        <v>1040</v>
      </c>
      <c r="C78" s="1208">
        <f>C102-C100</f>
        <v>6486.5829999999987</v>
      </c>
      <c r="D78" s="1220">
        <f>D102-D100</f>
        <v>0.84410999999999992</v>
      </c>
      <c r="E78" s="792"/>
      <c r="F78" s="792" t="s">
        <v>1279</v>
      </c>
      <c r="G78" s="787"/>
      <c r="H78" s="829"/>
      <c r="I78" s="802"/>
      <c r="J78" s="787"/>
      <c r="K78" s="787"/>
      <c r="L78" s="787"/>
      <c r="M78" s="787"/>
      <c r="N78" s="787"/>
      <c r="O78" s="787"/>
      <c r="P78" s="787"/>
    </row>
    <row r="79" spans="1:16">
      <c r="A79" s="790" t="s">
        <v>1061</v>
      </c>
      <c r="B79" s="820" t="s">
        <v>1042</v>
      </c>
      <c r="C79" s="803"/>
      <c r="D79" s="1219"/>
      <c r="E79" s="792"/>
      <c r="F79" s="792" t="s">
        <v>1279</v>
      </c>
      <c r="G79" s="787"/>
      <c r="H79" s="786"/>
      <c r="I79" s="787"/>
      <c r="J79" s="787"/>
      <c r="K79" s="787"/>
      <c r="L79" s="787"/>
      <c r="M79" s="787"/>
      <c r="N79" s="787"/>
      <c r="O79" s="787"/>
      <c r="P79" s="787"/>
    </row>
    <row r="80" spans="1:16">
      <c r="A80" s="790" t="s">
        <v>1062</v>
      </c>
      <c r="B80" s="797" t="s">
        <v>1063</v>
      </c>
      <c r="C80" s="1208">
        <f>C83+C82</f>
        <v>462.21499999999997</v>
      </c>
      <c r="D80" s="1220">
        <f>D83+D82</f>
        <v>6.5000000000000002E-2</v>
      </c>
      <c r="E80" s="792"/>
      <c r="F80" s="792"/>
      <c r="G80" s="787"/>
      <c r="H80" s="786"/>
      <c r="I80" s="787"/>
      <c r="J80" s="787"/>
      <c r="K80" s="787"/>
      <c r="L80" s="787"/>
      <c r="M80" s="787"/>
      <c r="N80" s="787"/>
      <c r="O80" s="787"/>
      <c r="P80" s="787"/>
    </row>
    <row r="81" spans="1:16">
      <c r="A81" s="790"/>
      <c r="B81" s="797" t="s">
        <v>994</v>
      </c>
      <c r="C81" s="1208"/>
      <c r="D81" s="1220"/>
      <c r="E81" s="792"/>
      <c r="F81" s="792"/>
      <c r="G81" s="787"/>
      <c r="H81" s="786"/>
      <c r="I81" s="787"/>
      <c r="J81" s="787"/>
      <c r="K81" s="787"/>
      <c r="L81" s="787"/>
      <c r="M81" s="787"/>
      <c r="N81" s="787"/>
      <c r="O81" s="787"/>
      <c r="P81" s="787"/>
    </row>
    <row r="82" spans="1:16">
      <c r="A82" s="790" t="s">
        <v>1064</v>
      </c>
      <c r="B82" s="797" t="s">
        <v>1015</v>
      </c>
      <c r="C82" s="1208"/>
      <c r="D82" s="1220"/>
      <c r="E82" s="792"/>
      <c r="F82" s="792"/>
      <c r="G82" s="787"/>
      <c r="H82" s="786"/>
      <c r="I82" s="787"/>
      <c r="J82" s="787"/>
      <c r="K82" s="787"/>
      <c r="L82" s="787"/>
      <c r="M82" s="787"/>
      <c r="N82" s="787"/>
      <c r="O82" s="787"/>
      <c r="P82" s="787"/>
    </row>
    <row r="83" spans="1:16">
      <c r="A83" s="790" t="s">
        <v>1065</v>
      </c>
      <c r="B83" s="797" t="s">
        <v>997</v>
      </c>
      <c r="C83" s="1208">
        <f>C85</f>
        <v>462.21499999999997</v>
      </c>
      <c r="D83" s="1220">
        <f>D85</f>
        <v>6.5000000000000002E-2</v>
      </c>
      <c r="E83" s="792"/>
      <c r="F83" s="792"/>
      <c r="G83" s="787"/>
      <c r="H83" s="786"/>
      <c r="I83" s="787"/>
      <c r="J83" s="787"/>
      <c r="K83" s="787"/>
      <c r="L83" s="787"/>
      <c r="M83" s="787"/>
      <c r="N83" s="787"/>
      <c r="O83" s="787"/>
      <c r="P83" s="787"/>
    </row>
    <row r="84" spans="1:16">
      <c r="A84" s="790"/>
      <c r="B84" s="797" t="s">
        <v>1066</v>
      </c>
      <c r="C84" s="1208"/>
      <c r="D84" s="1220"/>
      <c r="E84" s="792"/>
      <c r="F84" s="792"/>
      <c r="G84" s="787"/>
      <c r="H84" s="786"/>
      <c r="I84" s="787"/>
      <c r="J84" s="787"/>
      <c r="K84" s="787"/>
      <c r="L84" s="787"/>
      <c r="M84" s="787"/>
      <c r="N84" s="787"/>
      <c r="O84" s="787"/>
      <c r="P84" s="787"/>
    </row>
    <row r="85" spans="1:16">
      <c r="A85" s="790" t="s">
        <v>1067</v>
      </c>
      <c r="B85" s="1207" t="s">
        <v>1670</v>
      </c>
      <c r="C85" s="1210">
        <v>462.21499999999997</v>
      </c>
      <c r="D85" s="1226">
        <v>6.5000000000000002E-2</v>
      </c>
      <c r="E85" s="792"/>
      <c r="F85" s="792"/>
      <c r="G85" s="787"/>
      <c r="H85" s="1209">
        <f>C85/D85</f>
        <v>7110.9999999999991</v>
      </c>
      <c r="I85" s="787"/>
      <c r="J85" s="787"/>
      <c r="K85" s="787"/>
      <c r="L85" s="787"/>
      <c r="M85" s="787"/>
      <c r="N85" s="787"/>
      <c r="O85" s="787"/>
      <c r="P85" s="787"/>
    </row>
    <row r="86" spans="1:16">
      <c r="A86" s="790" t="s">
        <v>1068</v>
      </c>
      <c r="B86" s="797" t="s">
        <v>1020</v>
      </c>
      <c r="C86" s="803"/>
      <c r="D86" s="1219"/>
      <c r="E86" s="792"/>
      <c r="F86" s="792"/>
      <c r="G86" s="787"/>
      <c r="H86" s="786"/>
      <c r="I86" s="787"/>
      <c r="J86" s="787"/>
      <c r="K86" s="787"/>
      <c r="L86" s="787"/>
      <c r="M86" s="787"/>
      <c r="N86" s="787"/>
      <c r="O86" s="787"/>
      <c r="P86" s="787"/>
    </row>
    <row r="87" spans="1:16">
      <c r="A87" s="790"/>
      <c r="B87" s="797" t="s">
        <v>263</v>
      </c>
      <c r="C87" s="803"/>
      <c r="D87" s="1219"/>
      <c r="E87" s="792"/>
      <c r="F87" s="792"/>
      <c r="G87" s="787"/>
      <c r="H87" s="786"/>
      <c r="I87" s="787"/>
      <c r="J87" s="787"/>
      <c r="K87" s="787"/>
      <c r="L87" s="787"/>
      <c r="M87" s="787"/>
      <c r="N87" s="787"/>
      <c r="O87" s="787"/>
      <c r="P87" s="787"/>
    </row>
    <row r="88" spans="1:16">
      <c r="A88" s="790" t="s">
        <v>1069</v>
      </c>
      <c r="B88" s="797" t="s">
        <v>1022</v>
      </c>
      <c r="C88" s="803"/>
      <c r="D88" s="1219"/>
      <c r="E88" s="792"/>
      <c r="F88" s="792"/>
      <c r="G88" s="787"/>
      <c r="H88" s="786"/>
      <c r="I88" s="787"/>
      <c r="J88" s="787"/>
      <c r="K88" s="787"/>
      <c r="L88" s="787"/>
      <c r="M88" s="787"/>
      <c r="N88" s="787"/>
      <c r="O88" s="787"/>
      <c r="P88" s="787"/>
    </row>
    <row r="89" spans="1:16">
      <c r="A89" s="790" t="s">
        <v>1070</v>
      </c>
      <c r="B89" s="797" t="s">
        <v>1024</v>
      </c>
      <c r="C89" s="803"/>
      <c r="D89" s="1219"/>
      <c r="E89" s="792"/>
      <c r="F89" s="792"/>
      <c r="G89" s="787"/>
      <c r="H89" s="786"/>
      <c r="I89" s="787"/>
      <c r="J89" s="787"/>
      <c r="K89" s="787"/>
      <c r="L89" s="787"/>
      <c r="M89" s="787"/>
      <c r="N89" s="787"/>
      <c r="O89" s="787"/>
      <c r="P89" s="787"/>
    </row>
    <row r="90" spans="1:16">
      <c r="A90" s="790"/>
      <c r="B90" s="797" t="s">
        <v>643</v>
      </c>
      <c r="C90" s="803"/>
      <c r="D90" s="1219"/>
      <c r="E90" s="792"/>
      <c r="F90" s="792"/>
      <c r="G90" s="787"/>
      <c r="H90" s="786"/>
      <c r="I90" s="787"/>
      <c r="J90" s="787"/>
      <c r="K90" s="787"/>
      <c r="L90" s="787"/>
      <c r="M90" s="787"/>
      <c r="N90" s="787"/>
      <c r="O90" s="787"/>
      <c r="P90" s="787"/>
    </row>
    <row r="91" spans="1:16">
      <c r="A91" s="790" t="s">
        <v>1071</v>
      </c>
      <c r="B91" s="797" t="s">
        <v>1005</v>
      </c>
      <c r="C91" s="803"/>
      <c r="D91" s="1219"/>
      <c r="E91" s="792"/>
      <c r="F91" s="792"/>
      <c r="G91" s="787"/>
      <c r="H91" s="786"/>
      <c r="I91" s="787"/>
      <c r="J91" s="787"/>
      <c r="K91" s="787"/>
      <c r="L91" s="787"/>
      <c r="M91" s="787"/>
      <c r="N91" s="787"/>
      <c r="O91" s="787"/>
      <c r="P91" s="787"/>
    </row>
    <row r="92" spans="1:16">
      <c r="A92" s="790" t="s">
        <v>1072</v>
      </c>
      <c r="B92" s="797" t="s">
        <v>1007</v>
      </c>
      <c r="C92" s="803"/>
      <c r="D92" s="1219"/>
      <c r="E92" s="792"/>
      <c r="F92" s="792"/>
      <c r="G92" s="787"/>
      <c r="H92" s="786"/>
      <c r="I92" s="787"/>
      <c r="J92" s="787"/>
      <c r="K92" s="787"/>
      <c r="L92" s="787"/>
      <c r="M92" s="787"/>
      <c r="N92" s="787"/>
      <c r="O92" s="787"/>
      <c r="P92" s="787"/>
    </row>
    <row r="93" spans="1:16">
      <c r="A93" s="790"/>
      <c r="B93" s="797" t="s">
        <v>643</v>
      </c>
      <c r="C93" s="803"/>
      <c r="D93" s="1219"/>
      <c r="E93" s="792"/>
      <c r="F93" s="792"/>
      <c r="G93" s="787"/>
      <c r="H93" s="786"/>
      <c r="I93" s="787"/>
      <c r="J93" s="787"/>
      <c r="K93" s="787"/>
      <c r="L93" s="787"/>
      <c r="M93" s="787"/>
      <c r="N93" s="787"/>
      <c r="O93" s="787"/>
      <c r="P93" s="787"/>
    </row>
    <row r="94" spans="1:16">
      <c r="A94" s="790" t="s">
        <v>1073</v>
      </c>
      <c r="B94" s="797" t="s">
        <v>1018</v>
      </c>
      <c r="C94" s="803"/>
      <c r="D94" s="1219"/>
      <c r="E94" s="792"/>
      <c r="F94" s="792"/>
      <c r="G94" s="787"/>
      <c r="H94" s="786"/>
      <c r="I94" s="787"/>
      <c r="J94" s="787"/>
      <c r="K94" s="787"/>
      <c r="L94" s="787"/>
      <c r="M94" s="787"/>
      <c r="N94" s="787"/>
      <c r="O94" s="787"/>
      <c r="P94" s="787"/>
    </row>
    <row r="95" spans="1:16" ht="26.4">
      <c r="A95" s="806" t="s">
        <v>1074</v>
      </c>
      <c r="B95" s="797" t="s">
        <v>1075</v>
      </c>
      <c r="C95" s="803"/>
      <c r="D95" s="1219"/>
      <c r="E95" s="792"/>
      <c r="F95" s="792"/>
      <c r="G95" s="787"/>
      <c r="H95" s="786"/>
      <c r="I95" s="787"/>
      <c r="J95" s="787"/>
      <c r="K95" s="787"/>
      <c r="L95" s="787"/>
      <c r="M95" s="787"/>
      <c r="N95" s="787"/>
      <c r="O95" s="787"/>
      <c r="P95" s="787"/>
    </row>
    <row r="96" spans="1:16">
      <c r="A96" s="790" t="s">
        <v>1076</v>
      </c>
      <c r="B96" s="797" t="s">
        <v>1020</v>
      </c>
      <c r="C96" s="803"/>
      <c r="D96" s="1219"/>
      <c r="E96" s="792"/>
      <c r="F96" s="792"/>
      <c r="G96" s="787"/>
      <c r="H96" s="786"/>
      <c r="I96" s="787"/>
      <c r="J96" s="787"/>
      <c r="K96" s="787"/>
      <c r="L96" s="787"/>
      <c r="M96" s="787"/>
      <c r="N96" s="787"/>
      <c r="O96" s="787"/>
      <c r="P96" s="787"/>
    </row>
    <row r="97" spans="1:16" ht="26.4">
      <c r="A97" s="806" t="s">
        <v>1077</v>
      </c>
      <c r="B97" s="797" t="s">
        <v>1078</v>
      </c>
      <c r="C97" s="803"/>
      <c r="D97" s="1219"/>
      <c r="E97" s="792"/>
      <c r="F97" s="792"/>
      <c r="G97" s="787"/>
      <c r="H97" s="786"/>
      <c r="I97" s="787"/>
      <c r="J97" s="787"/>
      <c r="K97" s="787"/>
      <c r="L97" s="787"/>
      <c r="M97" s="787"/>
      <c r="N97" s="787"/>
      <c r="O97" s="787"/>
      <c r="P97" s="787"/>
    </row>
    <row r="98" spans="1:16">
      <c r="A98" s="790"/>
      <c r="B98" s="797" t="s">
        <v>263</v>
      </c>
      <c r="C98" s="803"/>
      <c r="D98" s="1219"/>
      <c r="E98" s="792"/>
      <c r="F98" s="792"/>
      <c r="G98" s="787"/>
      <c r="H98" s="786"/>
      <c r="I98" s="787"/>
      <c r="J98" s="787"/>
      <c r="K98" s="787"/>
      <c r="L98" s="787"/>
      <c r="M98" s="787"/>
      <c r="N98" s="787"/>
      <c r="O98" s="787"/>
      <c r="P98" s="787"/>
    </row>
    <row r="99" spans="1:16">
      <c r="A99" s="790" t="s">
        <v>1079</v>
      </c>
      <c r="B99" s="797" t="s">
        <v>1080</v>
      </c>
      <c r="C99" s="803"/>
      <c r="D99" s="1219"/>
      <c r="E99" s="792"/>
      <c r="F99" s="792" t="s">
        <v>1279</v>
      </c>
      <c r="G99" s="787"/>
      <c r="H99" s="786"/>
      <c r="I99" s="787"/>
      <c r="J99" s="787"/>
      <c r="K99" s="787"/>
      <c r="L99" s="787"/>
      <c r="M99" s="787"/>
      <c r="N99" s="787"/>
      <c r="O99" s="787"/>
      <c r="P99" s="787"/>
    </row>
    <row r="100" spans="1:16">
      <c r="A100" s="790" t="s">
        <v>1081</v>
      </c>
      <c r="B100" s="820" t="s">
        <v>1040</v>
      </c>
      <c r="C100" s="1208">
        <f>C85</f>
        <v>462.21499999999997</v>
      </c>
      <c r="D100" s="1220">
        <f>D85</f>
        <v>6.5000000000000002E-2</v>
      </c>
      <c r="E100" s="792"/>
      <c r="F100" s="792" t="s">
        <v>1279</v>
      </c>
      <c r="G100" s="787"/>
      <c r="H100" s="1209">
        <f>C100/D100</f>
        <v>7110.9999999999991</v>
      </c>
      <c r="I100" s="787"/>
      <c r="J100" s="787"/>
      <c r="K100" s="787"/>
      <c r="L100" s="787"/>
      <c r="M100" s="787"/>
      <c r="N100" s="787"/>
      <c r="O100" s="787"/>
      <c r="P100" s="787"/>
    </row>
    <row r="101" spans="1:16">
      <c r="A101" s="790" t="s">
        <v>1082</v>
      </c>
      <c r="B101" s="820" t="s">
        <v>1042</v>
      </c>
      <c r="C101" s="803"/>
      <c r="D101" s="1219"/>
      <c r="E101" s="792"/>
      <c r="F101" s="792" t="s">
        <v>1279</v>
      </c>
      <c r="G101" s="787"/>
      <c r="H101" s="786"/>
      <c r="I101" s="787"/>
      <c r="J101" s="787"/>
      <c r="K101" s="787"/>
      <c r="L101" s="787"/>
      <c r="M101" s="787"/>
      <c r="N101" s="787"/>
      <c r="O101" s="787"/>
      <c r="P101" s="787"/>
    </row>
    <row r="102" spans="1:16">
      <c r="A102" s="790" t="s">
        <v>1083</v>
      </c>
      <c r="B102" s="797" t="s">
        <v>1084</v>
      </c>
      <c r="C102" s="803">
        <f>C111+C110+C122</f>
        <v>6948.7979999999989</v>
      </c>
      <c r="D102" s="1219">
        <f>D111+D110+D122</f>
        <v>0.90910999999999997</v>
      </c>
      <c r="E102" s="792"/>
      <c r="F102" s="792"/>
      <c r="G102" s="787" t="s">
        <v>847</v>
      </c>
      <c r="H102" s="807">
        <f>C100+C78</f>
        <v>6948.7979999999989</v>
      </c>
      <c r="I102" s="1216">
        <f>D100+D78</f>
        <v>0.90910999999999986</v>
      </c>
      <c r="J102" s="787"/>
      <c r="K102" s="787"/>
      <c r="L102" s="787"/>
      <c r="M102" s="787"/>
      <c r="N102" s="787"/>
      <c r="O102" s="787"/>
      <c r="P102" s="787"/>
    </row>
    <row r="103" spans="1:16">
      <c r="A103" s="790"/>
      <c r="B103" s="797" t="s">
        <v>994</v>
      </c>
      <c r="C103" s="803"/>
      <c r="D103" s="1219"/>
      <c r="E103" s="792"/>
      <c r="F103" s="792"/>
      <c r="G103" s="787"/>
      <c r="H103" s="786"/>
      <c r="I103" s="787"/>
      <c r="J103" s="787"/>
      <c r="K103" s="787"/>
      <c r="L103" s="787"/>
      <c r="M103" s="787"/>
      <c r="N103" s="787"/>
      <c r="O103" s="787"/>
      <c r="P103" s="787"/>
    </row>
    <row r="104" spans="1:16">
      <c r="A104" s="790" t="s">
        <v>1085</v>
      </c>
      <c r="B104" s="797" t="s">
        <v>1015</v>
      </c>
      <c r="C104" s="803"/>
      <c r="D104" s="1219"/>
      <c r="E104" s="792"/>
      <c r="F104" s="792"/>
      <c r="G104" s="787"/>
      <c r="H104" s="786"/>
      <c r="I104" s="787"/>
      <c r="J104" s="787"/>
      <c r="K104" s="787"/>
      <c r="L104" s="787"/>
      <c r="M104" s="787"/>
      <c r="N104" s="787"/>
      <c r="O104" s="787"/>
      <c r="P104" s="787"/>
    </row>
    <row r="105" spans="1:16">
      <c r="A105" s="790" t="s">
        <v>1086</v>
      </c>
      <c r="B105" s="797" t="s">
        <v>997</v>
      </c>
      <c r="C105" s="803"/>
      <c r="D105" s="1219"/>
      <c r="E105" s="792"/>
      <c r="F105" s="792"/>
      <c r="G105" s="787"/>
      <c r="H105" s="786"/>
      <c r="I105" s="787"/>
      <c r="J105" s="787"/>
      <c r="K105" s="787"/>
      <c r="L105" s="787"/>
      <c r="M105" s="787"/>
      <c r="N105" s="787"/>
      <c r="O105" s="787"/>
      <c r="P105" s="787"/>
    </row>
    <row r="106" spans="1:16">
      <c r="A106" s="790"/>
      <c r="B106" s="797" t="s">
        <v>994</v>
      </c>
      <c r="C106" s="803"/>
      <c r="D106" s="1219"/>
      <c r="E106" s="792"/>
      <c r="F106" s="792"/>
      <c r="G106" s="787"/>
      <c r="H106" s="786"/>
      <c r="I106" s="787"/>
      <c r="J106" s="787"/>
      <c r="K106" s="787"/>
      <c r="L106" s="787"/>
      <c r="M106" s="787"/>
      <c r="N106" s="787"/>
      <c r="O106" s="787"/>
      <c r="P106" s="787"/>
    </row>
    <row r="107" spans="1:16">
      <c r="A107" s="790" t="s">
        <v>1087</v>
      </c>
      <c r="B107" s="797" t="s">
        <v>1018</v>
      </c>
      <c r="C107" s="803"/>
      <c r="D107" s="1219"/>
      <c r="E107" s="792"/>
      <c r="F107" s="792"/>
      <c r="G107" s="787"/>
      <c r="H107" s="786"/>
      <c r="I107" s="787"/>
      <c r="J107" s="787"/>
      <c r="K107" s="787"/>
      <c r="L107" s="787"/>
      <c r="M107" s="787"/>
      <c r="N107" s="787"/>
      <c r="O107" s="787"/>
      <c r="P107" s="787"/>
    </row>
    <row r="108" spans="1:16">
      <c r="A108" s="790" t="s">
        <v>1088</v>
      </c>
      <c r="B108" s="797" t="s">
        <v>1020</v>
      </c>
      <c r="C108" s="803"/>
      <c r="D108" s="1219"/>
      <c r="E108" s="792"/>
      <c r="F108" s="792"/>
      <c r="G108" s="787"/>
      <c r="H108" s="786"/>
      <c r="I108" s="787"/>
      <c r="J108" s="787"/>
      <c r="K108" s="787"/>
      <c r="L108" s="787"/>
      <c r="M108" s="787"/>
      <c r="N108" s="787"/>
      <c r="O108" s="787"/>
      <c r="P108" s="787"/>
    </row>
    <row r="109" spans="1:16" hidden="1">
      <c r="A109" s="790"/>
      <c r="B109" s="797" t="s">
        <v>263</v>
      </c>
      <c r="C109" s="803"/>
      <c r="D109" s="1219"/>
      <c r="E109" s="792"/>
      <c r="F109" s="792"/>
      <c r="G109" s="787"/>
      <c r="H109" s="786"/>
      <c r="I109" s="787"/>
      <c r="J109" s="787"/>
      <c r="K109" s="787"/>
      <c r="L109" s="787"/>
      <c r="M109" s="787"/>
      <c r="N109" s="787"/>
      <c r="O109" s="787"/>
      <c r="P109" s="787"/>
    </row>
    <row r="110" spans="1:16">
      <c r="A110" s="790" t="s">
        <v>1089</v>
      </c>
      <c r="B110" s="797" t="s">
        <v>1022</v>
      </c>
      <c r="C110" s="1210">
        <f>H16-C63-C131</f>
        <v>1097.1560000000002</v>
      </c>
      <c r="D110" s="1226">
        <f>I16-D63-D131</f>
        <v>0.13838</v>
      </c>
      <c r="E110" s="792"/>
      <c r="F110" s="792"/>
      <c r="G110" s="787"/>
      <c r="H110" s="804">
        <f>C110/C102</f>
        <v>0.15789147993653008</v>
      </c>
      <c r="I110" s="804" t="s">
        <v>641</v>
      </c>
      <c r="J110" s="804">
        <f>D110/D102</f>
        <v>0.15221480348912675</v>
      </c>
      <c r="K110" s="787"/>
      <c r="L110" s="787"/>
      <c r="M110" s="787"/>
      <c r="N110" s="787"/>
      <c r="O110" s="787"/>
      <c r="P110" s="787"/>
    </row>
    <row r="111" spans="1:16">
      <c r="A111" s="790" t="s">
        <v>1090</v>
      </c>
      <c r="B111" s="797" t="s">
        <v>1024</v>
      </c>
      <c r="C111" s="803">
        <f>C114+C113</f>
        <v>5019.2999999999993</v>
      </c>
      <c r="D111" s="1219">
        <f>D114+D113</f>
        <v>0.6431</v>
      </c>
      <c r="E111" s="792"/>
      <c r="F111" s="792"/>
      <c r="G111" s="822">
        <v>5772.3</v>
      </c>
      <c r="H111" s="823">
        <f>C111/D111</f>
        <v>7804.8515005442378</v>
      </c>
      <c r="I111" s="804" t="s">
        <v>963</v>
      </c>
      <c r="J111" s="802"/>
      <c r="K111" s="802"/>
      <c r="L111" s="787"/>
      <c r="M111" s="787"/>
      <c r="N111" s="787"/>
      <c r="O111" s="787"/>
      <c r="P111" s="787"/>
    </row>
    <row r="112" spans="1:16">
      <c r="A112" s="790"/>
      <c r="B112" s="797" t="s">
        <v>643</v>
      </c>
      <c r="C112" s="803"/>
      <c r="D112" s="1219"/>
      <c r="E112" s="792"/>
      <c r="F112" s="792"/>
      <c r="G112" s="802">
        <v>0.72200000000000009</v>
      </c>
      <c r="H112" s="786"/>
      <c r="I112" s="787"/>
      <c r="J112" s="787"/>
      <c r="K112" s="787"/>
      <c r="L112" s="787"/>
      <c r="M112" s="787"/>
      <c r="N112" s="787"/>
      <c r="O112" s="787"/>
      <c r="P112" s="787"/>
    </row>
    <row r="113" spans="1:16">
      <c r="A113" s="790" t="s">
        <v>1091</v>
      </c>
      <c r="B113" s="797" t="s">
        <v>1005</v>
      </c>
      <c r="C113" s="809">
        <f>'2012 Баланс  '!E17</f>
        <v>4659.2999999999993</v>
      </c>
      <c r="D113" s="1224">
        <f>'2012 Баланс  '!E18</f>
        <v>0.60309999999999997</v>
      </c>
      <c r="E113" s="792"/>
      <c r="F113" s="792"/>
      <c r="G113" s="787"/>
      <c r="H113" s="786"/>
      <c r="I113" s="787"/>
      <c r="J113" s="787"/>
      <c r="K113" s="787"/>
      <c r="L113" s="787"/>
      <c r="M113" s="787"/>
      <c r="N113" s="787"/>
      <c r="O113" s="787"/>
      <c r="P113" s="787"/>
    </row>
    <row r="114" spans="1:16">
      <c r="A114" s="790" t="s">
        <v>1092</v>
      </c>
      <c r="B114" s="797" t="s">
        <v>1007</v>
      </c>
      <c r="C114" s="809">
        <f>C116+C118</f>
        <v>360</v>
      </c>
      <c r="D114" s="1224">
        <f>D116+D118</f>
        <v>0.04</v>
      </c>
      <c r="E114" s="792"/>
      <c r="F114" s="792"/>
      <c r="G114" s="787"/>
      <c r="H114" s="786"/>
      <c r="I114" s="787"/>
      <c r="J114" s="787"/>
      <c r="K114" s="787"/>
      <c r="L114" s="787"/>
      <c r="M114" s="787"/>
      <c r="N114" s="787"/>
      <c r="O114" s="787"/>
      <c r="P114" s="787"/>
    </row>
    <row r="115" spans="1:16">
      <c r="A115" s="790"/>
      <c r="B115" s="797" t="s">
        <v>643</v>
      </c>
      <c r="C115" s="803"/>
      <c r="D115" s="1219"/>
      <c r="E115" s="792"/>
      <c r="F115" s="792"/>
      <c r="G115" s="787"/>
      <c r="H115" s="830"/>
      <c r="I115" s="787"/>
      <c r="J115" s="787"/>
      <c r="K115" s="787"/>
      <c r="L115" s="787"/>
      <c r="M115" s="787"/>
      <c r="N115" s="787"/>
      <c r="O115" s="787"/>
      <c r="P115" s="787"/>
    </row>
    <row r="116" spans="1:16">
      <c r="A116" s="790" t="s">
        <v>1285</v>
      </c>
      <c r="B116" s="810" t="s">
        <v>960</v>
      </c>
      <c r="C116" s="814">
        <f>'2012 Баланс  '!E30</f>
        <v>360</v>
      </c>
      <c r="D116" s="1222">
        <f>'2012 Баланс  '!E31</f>
        <v>0.04</v>
      </c>
      <c r="E116" s="831"/>
      <c r="F116" s="831"/>
      <c r="G116" s="787"/>
      <c r="H116" s="786"/>
      <c r="I116" s="787"/>
      <c r="J116" s="787"/>
      <c r="K116" s="787"/>
      <c r="L116" s="787"/>
      <c r="M116" s="787"/>
      <c r="N116" s="787"/>
      <c r="O116" s="787"/>
      <c r="P116" s="787"/>
    </row>
    <row r="117" spans="1:16" ht="26.4">
      <c r="A117" s="806" t="s">
        <v>1286</v>
      </c>
      <c r="B117" s="797" t="s">
        <v>1093</v>
      </c>
      <c r="C117" s="803"/>
      <c r="D117" s="1219"/>
      <c r="E117" s="792"/>
      <c r="F117" s="792"/>
      <c r="G117" s="787"/>
      <c r="H117" s="786"/>
      <c r="I117" s="787"/>
      <c r="J117" s="787"/>
      <c r="K117" s="787"/>
      <c r="L117" s="787"/>
      <c r="M117" s="787"/>
      <c r="N117" s="787"/>
      <c r="O117" s="787"/>
      <c r="P117" s="787"/>
    </row>
    <row r="118" spans="1:16">
      <c r="A118" s="790" t="s">
        <v>1094</v>
      </c>
      <c r="B118" s="797" t="s">
        <v>1020</v>
      </c>
      <c r="C118" s="803"/>
      <c r="D118" s="1219"/>
      <c r="E118" s="792"/>
      <c r="F118" s="792"/>
      <c r="G118" s="787"/>
      <c r="H118" s="832"/>
      <c r="I118" s="787"/>
      <c r="J118" s="787"/>
      <c r="K118" s="787"/>
      <c r="L118" s="787"/>
      <c r="M118" s="787"/>
      <c r="N118" s="787"/>
      <c r="O118" s="787"/>
      <c r="P118" s="787"/>
    </row>
    <row r="119" spans="1:16" ht="26.4">
      <c r="A119" s="806" t="s">
        <v>1095</v>
      </c>
      <c r="B119" s="797" t="s">
        <v>1096</v>
      </c>
      <c r="C119" s="803"/>
      <c r="D119" s="1219"/>
      <c r="E119" s="792"/>
      <c r="F119" s="792"/>
      <c r="G119" s="787"/>
      <c r="H119" s="786"/>
      <c r="I119" s="787"/>
      <c r="J119" s="787"/>
      <c r="K119" s="787"/>
      <c r="L119" s="787"/>
      <c r="M119" s="787"/>
      <c r="N119" s="787"/>
      <c r="O119" s="787"/>
      <c r="P119" s="787"/>
    </row>
    <row r="120" spans="1:16">
      <c r="A120" s="790"/>
      <c r="B120" s="797" t="s">
        <v>263</v>
      </c>
      <c r="C120" s="803"/>
      <c r="D120" s="1219"/>
      <c r="E120" s="792"/>
      <c r="F120" s="792"/>
      <c r="G120" s="787"/>
      <c r="H120" s="786"/>
      <c r="I120" s="787"/>
      <c r="J120" s="787"/>
      <c r="K120" s="787"/>
      <c r="L120" s="787"/>
      <c r="M120" s="787"/>
      <c r="N120" s="787"/>
      <c r="O120" s="787"/>
      <c r="P120" s="787"/>
    </row>
    <row r="121" spans="1:16">
      <c r="A121" s="790" t="s">
        <v>1097</v>
      </c>
      <c r="B121" s="797" t="s">
        <v>1098</v>
      </c>
      <c r="C121" s="803">
        <f>C122</f>
        <v>832.34199999999998</v>
      </c>
      <c r="D121" s="1219">
        <f>D122</f>
        <v>0.12762999999999999</v>
      </c>
      <c r="E121" s="792"/>
      <c r="F121" s="792" t="s">
        <v>1279</v>
      </c>
      <c r="G121" s="787"/>
      <c r="H121" s="786"/>
      <c r="I121" s="787"/>
      <c r="J121" s="787"/>
      <c r="K121" s="787"/>
      <c r="L121" s="787"/>
      <c r="M121" s="787"/>
      <c r="N121" s="787"/>
      <c r="O121" s="787"/>
      <c r="P121" s="787"/>
    </row>
    <row r="122" spans="1:16">
      <c r="A122" s="790" t="s">
        <v>1099</v>
      </c>
      <c r="B122" s="820" t="s">
        <v>1042</v>
      </c>
      <c r="C122" s="803">
        <f>C123</f>
        <v>832.34199999999998</v>
      </c>
      <c r="D122" s="1219">
        <f>D123</f>
        <v>0.12762999999999999</v>
      </c>
      <c r="E122" s="792"/>
      <c r="F122" s="792" t="s">
        <v>1279</v>
      </c>
      <c r="G122" s="787"/>
      <c r="H122" s="786"/>
      <c r="I122" s="787"/>
      <c r="J122" s="802"/>
      <c r="K122" s="802"/>
      <c r="L122" s="787"/>
      <c r="M122" s="787"/>
      <c r="N122" s="787"/>
      <c r="O122" s="787"/>
      <c r="P122" s="787"/>
    </row>
    <row r="123" spans="1:16">
      <c r="A123" s="790" t="s">
        <v>1100</v>
      </c>
      <c r="B123" s="797" t="s">
        <v>1101</v>
      </c>
      <c r="C123" s="803">
        <f>C132+C131</f>
        <v>832.34199999999998</v>
      </c>
      <c r="D123" s="1219">
        <f>D132+D131</f>
        <v>0.12762999999999999</v>
      </c>
      <c r="E123" s="792"/>
      <c r="F123" s="792"/>
      <c r="G123" s="787" t="s">
        <v>681</v>
      </c>
      <c r="H123" s="1216">
        <f>D102-D110-D111</f>
        <v>0.12762999999999991</v>
      </c>
      <c r="I123" s="787"/>
      <c r="J123" s="802"/>
      <c r="K123" s="802"/>
      <c r="L123" s="787"/>
      <c r="M123" s="787"/>
      <c r="N123" s="787"/>
      <c r="O123" s="787"/>
      <c r="P123" s="787"/>
    </row>
    <row r="124" spans="1:16">
      <c r="A124" s="790"/>
      <c r="B124" s="797" t="s">
        <v>994</v>
      </c>
      <c r="C124" s="803"/>
      <c r="D124" s="1219"/>
      <c r="E124" s="792"/>
      <c r="F124" s="792"/>
      <c r="G124" s="787"/>
      <c r="H124" s="786"/>
      <c r="I124" s="787"/>
      <c r="J124" s="787"/>
      <c r="K124" s="787"/>
      <c r="L124" s="787"/>
      <c r="M124" s="787"/>
      <c r="N124" s="787"/>
      <c r="O124" s="787"/>
      <c r="P124" s="787"/>
    </row>
    <row r="125" spans="1:16">
      <c r="A125" s="790" t="s">
        <v>1102</v>
      </c>
      <c r="B125" s="797" t="s">
        <v>1015</v>
      </c>
      <c r="C125" s="803"/>
      <c r="D125" s="1219"/>
      <c r="E125" s="792"/>
      <c r="F125" s="792"/>
      <c r="G125" s="787"/>
      <c r="H125" s="786"/>
      <c r="I125" s="787"/>
      <c r="J125" s="787"/>
      <c r="K125" s="787"/>
      <c r="L125" s="787"/>
      <c r="M125" s="787"/>
      <c r="N125" s="787"/>
      <c r="O125" s="787"/>
      <c r="P125" s="787"/>
    </row>
    <row r="126" spans="1:16">
      <c r="A126" s="790" t="s">
        <v>1103</v>
      </c>
      <c r="B126" s="797" t="s">
        <v>997</v>
      </c>
      <c r="C126" s="803"/>
      <c r="D126" s="1219"/>
      <c r="E126" s="792"/>
      <c r="F126" s="792"/>
      <c r="G126" s="787"/>
      <c r="H126" s="786"/>
      <c r="I126" s="787"/>
      <c r="J126" s="787"/>
      <c r="K126" s="787"/>
      <c r="L126" s="787"/>
      <c r="M126" s="787"/>
      <c r="N126" s="787"/>
      <c r="O126" s="787"/>
      <c r="P126" s="787"/>
    </row>
    <row r="127" spans="1:16">
      <c r="A127" s="790"/>
      <c r="B127" s="797" t="s">
        <v>994</v>
      </c>
      <c r="C127" s="803"/>
      <c r="D127" s="1219"/>
      <c r="E127" s="792"/>
      <c r="F127" s="792"/>
      <c r="G127" s="787"/>
      <c r="H127" s="786"/>
      <c r="I127" s="787"/>
      <c r="J127" s="787"/>
      <c r="K127" s="787"/>
      <c r="L127" s="787"/>
      <c r="M127" s="787"/>
      <c r="N127" s="787"/>
      <c r="O127" s="787"/>
      <c r="P127" s="787"/>
    </row>
    <row r="128" spans="1:16">
      <c r="A128" s="790" t="s">
        <v>1104</v>
      </c>
      <c r="B128" s="797" t="s">
        <v>1018</v>
      </c>
      <c r="C128" s="803"/>
      <c r="D128" s="1219"/>
      <c r="E128" s="792"/>
      <c r="F128" s="792"/>
      <c r="G128" s="787"/>
      <c r="H128" s="786"/>
      <c r="I128" s="787"/>
      <c r="J128" s="787"/>
      <c r="K128" s="787"/>
      <c r="L128" s="787"/>
      <c r="M128" s="787"/>
      <c r="N128" s="787"/>
      <c r="O128" s="787"/>
      <c r="P128" s="787"/>
    </row>
    <row r="129" spans="1:16">
      <c r="A129" s="790" t="s">
        <v>1105</v>
      </c>
      <c r="B129" s="797" t="s">
        <v>1020</v>
      </c>
      <c r="C129" s="803"/>
      <c r="D129" s="1219"/>
      <c r="E129" s="792"/>
      <c r="F129" s="792"/>
      <c r="G129" s="787"/>
      <c r="H129" s="786"/>
      <c r="I129" s="787"/>
      <c r="J129" s="787"/>
      <c r="K129" s="787"/>
      <c r="L129" s="787"/>
      <c r="M129" s="787"/>
      <c r="N129" s="787"/>
      <c r="O129" s="787"/>
      <c r="P129" s="787"/>
    </row>
    <row r="130" spans="1:16">
      <c r="A130" s="790"/>
      <c r="B130" s="797" t="s">
        <v>263</v>
      </c>
      <c r="C130" s="803"/>
      <c r="D130" s="1219"/>
      <c r="E130" s="792"/>
      <c r="F130" s="792"/>
      <c r="G130" s="787"/>
      <c r="H130" s="786"/>
      <c r="I130" s="787"/>
      <c r="J130" s="787"/>
      <c r="K130" s="787"/>
      <c r="L130" s="787"/>
      <c r="M130" s="787"/>
      <c r="N130" s="787"/>
      <c r="O130" s="787"/>
      <c r="P130" s="787"/>
    </row>
    <row r="131" spans="1:16">
      <c r="A131" s="790" t="s">
        <v>1106</v>
      </c>
      <c r="B131" s="797" t="s">
        <v>1022</v>
      </c>
      <c r="C131" s="809">
        <f>ROUND((C132/(1-7/100)-C132),3)</f>
        <v>58.264000000000003</v>
      </c>
      <c r="D131" s="1224">
        <f>ROUND((D132/(1-7/100)-D132),5)</f>
        <v>8.9300000000000004E-3</v>
      </c>
      <c r="E131" s="792"/>
      <c r="F131" s="792"/>
      <c r="G131" s="787"/>
      <c r="H131" s="804">
        <f>C131/C123</f>
        <v>7.000007208575322E-2</v>
      </c>
      <c r="I131" s="804" t="s">
        <v>641</v>
      </c>
      <c r="J131" s="804">
        <f>D131/D123</f>
        <v>6.9967875891248144E-2</v>
      </c>
      <c r="K131" s="787"/>
      <c r="L131" s="787"/>
      <c r="M131" s="787"/>
      <c r="N131" s="787"/>
      <c r="O131" s="787"/>
      <c r="P131" s="787"/>
    </row>
    <row r="132" spans="1:16">
      <c r="A132" s="790" t="s">
        <v>1107</v>
      </c>
      <c r="B132" s="797" t="s">
        <v>1024</v>
      </c>
      <c r="C132" s="803">
        <f>C134+C135</f>
        <v>774.07799999999997</v>
      </c>
      <c r="D132" s="1219">
        <f>D134+D135</f>
        <v>0.1187</v>
      </c>
      <c r="E132" s="792"/>
      <c r="F132" s="792"/>
      <c r="G132" s="822">
        <v>578.70999999999947</v>
      </c>
      <c r="H132" s="823">
        <f>C132/D132</f>
        <v>6521.2973883740524</v>
      </c>
      <c r="I132" s="804" t="s">
        <v>963</v>
      </c>
      <c r="J132" s="787"/>
      <c r="K132" s="787"/>
      <c r="L132" s="787"/>
      <c r="M132" s="787"/>
      <c r="N132" s="787"/>
      <c r="O132" s="787"/>
      <c r="P132" s="787"/>
    </row>
    <row r="133" spans="1:16">
      <c r="A133" s="790"/>
      <c r="B133" s="797" t="s">
        <v>643</v>
      </c>
      <c r="C133" s="803"/>
      <c r="D133" s="1219"/>
      <c r="E133" s="792"/>
      <c r="F133" s="792"/>
      <c r="G133" s="802">
        <v>8.5313512630115815E-2</v>
      </c>
      <c r="H133" s="786"/>
      <c r="I133" s="787"/>
      <c r="J133" s="787"/>
      <c r="K133" s="787"/>
      <c r="L133" s="787"/>
      <c r="M133" s="787"/>
      <c r="N133" s="787"/>
      <c r="O133" s="787"/>
      <c r="P133" s="787"/>
    </row>
    <row r="134" spans="1:16">
      <c r="A134" s="790" t="s">
        <v>1004</v>
      </c>
      <c r="B134" s="797" t="s">
        <v>1005</v>
      </c>
      <c r="C134" s="809">
        <f>'2012 Баланс  '!F17</f>
        <v>242.52</v>
      </c>
      <c r="D134" s="1224">
        <f>'2012 Баланс  '!F18</f>
        <v>4.4699999999999997E-2</v>
      </c>
      <c r="E134" s="792"/>
      <c r="F134" s="792"/>
      <c r="G134" s="787"/>
      <c r="H134" s="786"/>
      <c r="I134" s="787"/>
      <c r="J134" s="787"/>
      <c r="K134" s="787"/>
      <c r="L134" s="787"/>
      <c r="M134" s="787"/>
      <c r="N134" s="787"/>
      <c r="O134" s="787"/>
      <c r="P134" s="787"/>
    </row>
    <row r="135" spans="1:16">
      <c r="A135" s="790" t="s">
        <v>1006</v>
      </c>
      <c r="B135" s="797" t="s">
        <v>1007</v>
      </c>
      <c r="C135" s="792">
        <f>SUM(C137+C139)</f>
        <v>531.55799999999999</v>
      </c>
      <c r="D135" s="1219">
        <f>SUM(D137+D139)</f>
        <v>7.3999999999999996E-2</v>
      </c>
      <c r="E135" s="792"/>
      <c r="F135" s="792"/>
      <c r="G135" s="787"/>
      <c r="H135" s="786"/>
      <c r="I135" s="787"/>
      <c r="J135" s="787"/>
      <c r="K135" s="787"/>
      <c r="L135" s="787"/>
      <c r="M135" s="787"/>
      <c r="N135" s="787"/>
      <c r="O135" s="787"/>
      <c r="P135" s="787"/>
    </row>
    <row r="136" spans="1:16">
      <c r="A136" s="790"/>
      <c r="B136" s="797" t="s">
        <v>643</v>
      </c>
      <c r="C136" s="792"/>
      <c r="D136" s="1219"/>
      <c r="E136" s="792"/>
      <c r="F136" s="792"/>
      <c r="G136" s="787"/>
      <c r="H136" s="786"/>
      <c r="I136" s="787"/>
      <c r="J136" s="787"/>
      <c r="K136" s="787"/>
      <c r="L136" s="787"/>
      <c r="M136" s="787"/>
      <c r="N136" s="787"/>
      <c r="O136" s="787"/>
      <c r="P136" s="787"/>
    </row>
    <row r="137" spans="1:16">
      <c r="A137" s="790" t="s">
        <v>1108</v>
      </c>
      <c r="B137" s="810" t="s">
        <v>1287</v>
      </c>
      <c r="C137" s="831">
        <f>'2012 Баланс  '!F30</f>
        <v>531.55799999999999</v>
      </c>
      <c r="D137" s="1222">
        <f>'2012 Баланс  '!F31</f>
        <v>7.3999999999999996E-2</v>
      </c>
      <c r="E137" s="831"/>
      <c r="F137" s="831"/>
      <c r="H137" s="823">
        <f>C137/D137</f>
        <v>7183.2162162162167</v>
      </c>
    </row>
    <row r="138" spans="1:16" ht="26.4">
      <c r="A138" s="806" t="s">
        <v>1109</v>
      </c>
      <c r="B138" s="797" t="s">
        <v>1110</v>
      </c>
      <c r="C138" s="792"/>
      <c r="D138" s="1219"/>
      <c r="E138" s="792"/>
      <c r="F138" s="792"/>
    </row>
    <row r="139" spans="1:16">
      <c r="A139" s="790" t="s">
        <v>1111</v>
      </c>
      <c r="B139" s="797" t="s">
        <v>1020</v>
      </c>
      <c r="C139" s="792"/>
      <c r="D139" s="1219"/>
      <c r="E139" s="792"/>
      <c r="F139" s="792"/>
    </row>
    <row r="140" spans="1:16" ht="26.4">
      <c r="A140" s="806" t="s">
        <v>1112</v>
      </c>
      <c r="B140" s="797" t="s">
        <v>1113</v>
      </c>
      <c r="C140" s="792"/>
      <c r="D140" s="1219"/>
      <c r="E140" s="792"/>
      <c r="F140" s="792"/>
    </row>
    <row r="141" spans="1:16">
      <c r="A141" s="790"/>
      <c r="B141" s="797" t="s">
        <v>263</v>
      </c>
      <c r="C141" s="792"/>
      <c r="D141" s="1219"/>
      <c r="E141" s="792"/>
      <c r="F141" s="792"/>
    </row>
    <row r="142" spans="1:16" ht="24" customHeight="1">
      <c r="A142" s="773"/>
      <c r="B142" s="773"/>
      <c r="C142" s="769"/>
      <c r="D142" s="1217"/>
      <c r="E142" s="769"/>
      <c r="F142" s="769"/>
    </row>
    <row r="143" spans="1:16" ht="23.25" customHeight="1">
      <c r="A143" s="767" t="s">
        <v>1266</v>
      </c>
      <c r="B143" s="768"/>
      <c r="C143" s="769"/>
    </row>
    <row r="144" spans="1:16" ht="15" customHeight="1">
      <c r="A144" s="1269" t="s">
        <v>1267</v>
      </c>
      <c r="B144" s="773"/>
      <c r="C144" s="769"/>
      <c r="D144" s="4124" t="s">
        <v>1268</v>
      </c>
      <c r="E144" s="4124"/>
      <c r="F144" s="4124"/>
    </row>
    <row r="145" spans="1:6" ht="15" customHeight="1">
      <c r="A145" s="768"/>
      <c r="B145" s="773"/>
      <c r="C145" s="769"/>
      <c r="D145" s="1217"/>
      <c r="E145" s="769"/>
      <c r="F145" s="769"/>
    </row>
    <row r="146" spans="1:6">
      <c r="A146" s="773" t="s">
        <v>625</v>
      </c>
      <c r="B146" s="773"/>
      <c r="C146" s="769"/>
      <c r="D146" s="1217"/>
      <c r="E146" s="769"/>
      <c r="F146" s="769"/>
    </row>
    <row r="147" spans="1:6" ht="28.5" customHeight="1">
      <c r="A147" s="833" t="s">
        <v>1288</v>
      </c>
      <c r="B147" s="773"/>
      <c r="C147" s="769"/>
      <c r="D147" s="1217"/>
      <c r="E147" s="769"/>
      <c r="F147" s="769"/>
    </row>
    <row r="148" spans="1:6" ht="11.1" customHeight="1">
      <c r="A148" s="833"/>
      <c r="B148" s="773"/>
      <c r="C148" s="769"/>
      <c r="D148" s="1217"/>
      <c r="E148" s="769"/>
      <c r="F148" s="769"/>
    </row>
    <row r="149" spans="1:6" ht="21" customHeight="1">
      <c r="A149" s="833" t="s">
        <v>1289</v>
      </c>
      <c r="B149" s="773"/>
      <c r="C149" s="769"/>
      <c r="D149" s="1217"/>
      <c r="E149" s="769"/>
      <c r="F149" s="769"/>
    </row>
    <row r="150" spans="1:6" ht="11.1" customHeight="1">
      <c r="A150" s="833"/>
      <c r="B150" s="773"/>
      <c r="C150" s="769"/>
      <c r="D150" s="1217"/>
      <c r="E150" s="769"/>
      <c r="F150" s="769"/>
    </row>
    <row r="151" spans="1:6" ht="20.25" customHeight="1">
      <c r="A151" s="833" t="s">
        <v>1290</v>
      </c>
      <c r="B151" s="773"/>
      <c r="C151" s="769"/>
      <c r="D151" s="1217"/>
      <c r="E151" s="769"/>
      <c r="F151" s="769"/>
    </row>
    <row r="152" spans="1:6" ht="15" customHeight="1">
      <c r="A152" s="833" t="s">
        <v>1544</v>
      </c>
      <c r="B152" s="773"/>
      <c r="C152" s="769"/>
      <c r="D152" s="1217"/>
      <c r="E152" s="769"/>
      <c r="F152" s="769"/>
    </row>
    <row r="153" spans="1:6" ht="11.1" customHeight="1">
      <c r="A153" s="833"/>
      <c r="B153" s="773"/>
      <c r="C153" s="769"/>
      <c r="D153" s="1217"/>
      <c r="E153" s="769"/>
      <c r="F153" s="769"/>
    </row>
    <row r="154" spans="1:6" ht="27.75" customHeight="1">
      <c r="A154" s="833" t="s">
        <v>1291</v>
      </c>
      <c r="B154" s="773"/>
      <c r="C154" s="769"/>
      <c r="D154" s="1217"/>
      <c r="E154" s="769"/>
      <c r="F154" s="769"/>
    </row>
    <row r="155" spans="1:6" ht="11.1" customHeight="1">
      <c r="A155" s="833"/>
      <c r="B155" s="773"/>
      <c r="C155" s="769"/>
      <c r="D155" s="1217"/>
      <c r="E155" s="769"/>
      <c r="F155" s="769"/>
    </row>
    <row r="156" spans="1:6" ht="21" customHeight="1">
      <c r="A156" s="833" t="s">
        <v>1671</v>
      </c>
      <c r="B156" s="773"/>
      <c r="C156" s="769"/>
      <c r="D156" s="1217"/>
      <c r="E156" s="769"/>
      <c r="F156" s="769"/>
    </row>
    <row r="157" spans="1:6">
      <c r="A157" s="773"/>
      <c r="B157" s="773"/>
      <c r="C157" s="769"/>
      <c r="D157" s="1217"/>
      <c r="E157" s="769"/>
      <c r="F157" s="769"/>
    </row>
    <row r="158" spans="1:6" ht="24" customHeight="1">
      <c r="A158" s="833" t="s">
        <v>1292</v>
      </c>
      <c r="B158" s="773"/>
      <c r="C158" s="769"/>
      <c r="D158" s="1217"/>
      <c r="E158" s="769"/>
      <c r="F158" s="769"/>
    </row>
    <row r="159" spans="1:6">
      <c r="B159" s="773"/>
      <c r="C159" s="769"/>
      <c r="D159" s="1217"/>
      <c r="E159" s="769"/>
      <c r="F159" s="769"/>
    </row>
    <row r="160" spans="1:6">
      <c r="A160" s="773"/>
      <c r="B160" s="773"/>
      <c r="C160" s="769"/>
      <c r="D160" s="1217"/>
      <c r="E160" s="769"/>
      <c r="F160" s="769"/>
    </row>
    <row r="161" spans="1:6">
      <c r="A161" s="773"/>
      <c r="B161" s="773"/>
      <c r="C161" s="769"/>
      <c r="D161" s="1217"/>
      <c r="E161" s="769"/>
      <c r="F161" s="769"/>
    </row>
    <row r="162" spans="1:6">
      <c r="A162" s="773"/>
      <c r="B162" s="773"/>
      <c r="C162" s="769"/>
      <c r="D162" s="1217"/>
      <c r="E162" s="769"/>
      <c r="F162" s="769"/>
    </row>
    <row r="163" spans="1:6">
      <c r="A163" s="773"/>
      <c r="B163" s="773"/>
      <c r="C163" s="769"/>
      <c r="D163" s="1217"/>
      <c r="E163" s="769"/>
      <c r="F163" s="769"/>
    </row>
    <row r="164" spans="1:6">
      <c r="A164" s="773"/>
      <c r="B164" s="773"/>
      <c r="C164" s="769"/>
      <c r="D164" s="1217"/>
      <c r="E164" s="769"/>
      <c r="F164" s="769"/>
    </row>
    <row r="165" spans="1:6">
      <c r="A165" s="773"/>
      <c r="B165" s="773"/>
      <c r="C165" s="769"/>
      <c r="D165" s="1217"/>
      <c r="E165" s="769"/>
      <c r="F165" s="769"/>
    </row>
    <row r="166" spans="1:6">
      <c r="A166" s="773"/>
      <c r="B166" s="773"/>
      <c r="C166" s="769"/>
      <c r="D166" s="1217"/>
      <c r="E166" s="769"/>
      <c r="F166" s="769"/>
    </row>
    <row r="167" spans="1:6">
      <c r="A167" s="773"/>
      <c r="B167" s="773"/>
      <c r="C167" s="769"/>
      <c r="D167" s="1217"/>
      <c r="E167" s="769"/>
      <c r="F167" s="769"/>
    </row>
    <row r="168" spans="1:6">
      <c r="A168" s="773"/>
      <c r="B168" s="773"/>
      <c r="C168" s="769"/>
      <c r="D168" s="1217"/>
      <c r="E168" s="769"/>
      <c r="F168" s="769"/>
    </row>
    <row r="169" spans="1:6">
      <c r="A169" s="773"/>
      <c r="B169" s="773"/>
      <c r="C169" s="769"/>
      <c r="D169" s="1217"/>
      <c r="E169" s="769"/>
      <c r="F169" s="769"/>
    </row>
    <row r="170" spans="1:6">
      <c r="A170" s="773"/>
      <c r="B170" s="773"/>
      <c r="C170" s="769"/>
      <c r="D170" s="1217"/>
      <c r="E170" s="769"/>
      <c r="F170" s="769"/>
    </row>
    <row r="171" spans="1:6">
      <c r="C171" s="769"/>
      <c r="D171" s="1217"/>
      <c r="E171" s="769"/>
      <c r="F171" s="769"/>
    </row>
    <row r="172" spans="1:6">
      <c r="C172" s="769"/>
      <c r="D172" s="1217"/>
      <c r="E172" s="769"/>
      <c r="F172" s="769"/>
    </row>
    <row r="173" spans="1:6">
      <c r="C173" s="769"/>
      <c r="D173" s="1217"/>
      <c r="E173" s="769"/>
      <c r="F173" s="769"/>
    </row>
    <row r="174" spans="1:6">
      <c r="C174" s="769"/>
      <c r="D174" s="1217"/>
      <c r="E174" s="769"/>
      <c r="F174" s="769"/>
    </row>
    <row r="175" spans="1:6">
      <c r="C175" s="769"/>
      <c r="D175" s="1217"/>
      <c r="E175" s="769"/>
      <c r="F175" s="769"/>
    </row>
    <row r="176" spans="1:6">
      <c r="C176" s="769"/>
      <c r="D176" s="1217"/>
      <c r="E176" s="769"/>
      <c r="F176" s="769"/>
    </row>
    <row r="177" spans="3:6">
      <c r="C177" s="769"/>
      <c r="D177" s="1217"/>
      <c r="E177" s="769"/>
      <c r="F177" s="769"/>
    </row>
    <row r="178" spans="3:6">
      <c r="C178" s="769"/>
      <c r="D178" s="1217"/>
      <c r="E178" s="769"/>
      <c r="F178" s="769"/>
    </row>
    <row r="179" spans="3:6">
      <c r="C179" s="769"/>
      <c r="D179" s="1217"/>
      <c r="E179" s="769"/>
      <c r="F179" s="769"/>
    </row>
    <row r="180" spans="3:6">
      <c r="C180" s="769"/>
      <c r="D180" s="1217"/>
      <c r="E180" s="769"/>
      <c r="F180" s="769"/>
    </row>
    <row r="181" spans="3:6">
      <c r="C181" s="769"/>
      <c r="D181" s="1217"/>
      <c r="E181" s="769"/>
      <c r="F181" s="769"/>
    </row>
    <row r="182" spans="3:6">
      <c r="C182" s="769"/>
      <c r="D182" s="1217"/>
      <c r="E182" s="769"/>
      <c r="F182" s="769"/>
    </row>
    <row r="183" spans="3:6">
      <c r="C183" s="769"/>
      <c r="D183" s="1217"/>
      <c r="E183" s="769"/>
      <c r="F183" s="769"/>
    </row>
    <row r="184" spans="3:6">
      <c r="C184" s="769"/>
      <c r="D184" s="1217"/>
      <c r="E184" s="769"/>
      <c r="F184" s="769"/>
    </row>
    <row r="185" spans="3:6">
      <c r="C185" s="769"/>
      <c r="D185" s="1217"/>
      <c r="E185" s="769"/>
      <c r="F185" s="769"/>
    </row>
    <row r="186" spans="3:6">
      <c r="C186" s="769"/>
      <c r="D186" s="1217"/>
      <c r="E186" s="769"/>
      <c r="F186" s="769"/>
    </row>
    <row r="187" spans="3:6">
      <c r="C187" s="769"/>
      <c r="D187" s="1217"/>
      <c r="E187" s="769"/>
      <c r="F187" s="769"/>
    </row>
    <row r="188" spans="3:6">
      <c r="C188" s="769"/>
      <c r="D188" s="1217"/>
      <c r="E188" s="769"/>
      <c r="F188" s="769"/>
    </row>
    <row r="189" spans="3:6">
      <c r="C189" s="769"/>
      <c r="D189" s="1217"/>
      <c r="E189" s="769"/>
      <c r="F189" s="769"/>
    </row>
    <row r="190" spans="3:6">
      <c r="C190" s="769"/>
      <c r="D190" s="1217"/>
      <c r="E190" s="769"/>
      <c r="F190" s="769"/>
    </row>
    <row r="191" spans="3:6">
      <c r="C191" s="769"/>
      <c r="D191" s="1217"/>
      <c r="E191" s="769"/>
      <c r="F191" s="769"/>
    </row>
    <row r="192" spans="3:6">
      <c r="C192" s="769"/>
      <c r="D192" s="1217"/>
      <c r="E192" s="769"/>
      <c r="F192" s="769"/>
    </row>
    <row r="193" spans="3:6">
      <c r="C193" s="769"/>
      <c r="D193" s="1217"/>
      <c r="E193" s="769"/>
      <c r="F193" s="769"/>
    </row>
    <row r="194" spans="3:6">
      <c r="C194" s="769"/>
      <c r="D194" s="1217"/>
      <c r="E194" s="769"/>
      <c r="F194" s="769"/>
    </row>
    <row r="195" spans="3:6">
      <c r="C195" s="769"/>
      <c r="D195" s="1217"/>
      <c r="E195" s="769"/>
      <c r="F195" s="769"/>
    </row>
    <row r="196" spans="3:6">
      <c r="C196" s="769"/>
      <c r="D196" s="1217"/>
      <c r="E196" s="769"/>
      <c r="F196" s="769"/>
    </row>
    <row r="197" spans="3:6">
      <c r="C197" s="769"/>
      <c r="D197" s="1217"/>
      <c r="E197" s="769"/>
      <c r="F197" s="769"/>
    </row>
    <row r="198" spans="3:6">
      <c r="C198" s="769"/>
      <c r="D198" s="1217"/>
      <c r="E198" s="769"/>
      <c r="F198" s="769"/>
    </row>
    <row r="199" spans="3:6">
      <c r="C199" s="769"/>
      <c r="D199" s="1217"/>
      <c r="E199" s="769"/>
      <c r="F199" s="769"/>
    </row>
    <row r="200" spans="3:6">
      <c r="C200" s="769"/>
      <c r="D200" s="1217"/>
      <c r="E200" s="769"/>
      <c r="F200" s="769"/>
    </row>
    <row r="201" spans="3:6">
      <c r="C201" s="769"/>
      <c r="D201" s="1217"/>
      <c r="E201" s="769"/>
      <c r="F201" s="769"/>
    </row>
    <row r="202" spans="3:6">
      <c r="C202" s="769"/>
      <c r="D202" s="1217"/>
      <c r="E202" s="769"/>
      <c r="F202" s="769"/>
    </row>
    <row r="203" spans="3:6">
      <c r="C203" s="769"/>
      <c r="D203" s="1217"/>
      <c r="E203" s="769"/>
      <c r="F203" s="769"/>
    </row>
    <row r="204" spans="3:6">
      <c r="C204" s="769"/>
      <c r="D204" s="1217"/>
      <c r="E204" s="769"/>
      <c r="F204" s="769"/>
    </row>
    <row r="205" spans="3:6">
      <c r="C205" s="769"/>
      <c r="D205" s="1217"/>
      <c r="E205" s="769"/>
      <c r="F205" s="769"/>
    </row>
    <row r="206" spans="3:6">
      <c r="C206" s="769"/>
      <c r="D206" s="1217"/>
      <c r="E206" s="769"/>
      <c r="F206" s="769"/>
    </row>
    <row r="207" spans="3:6">
      <c r="C207" s="769"/>
      <c r="D207" s="1217"/>
      <c r="E207" s="769"/>
      <c r="F207" s="769"/>
    </row>
    <row r="208" spans="3:6">
      <c r="C208" s="769"/>
      <c r="D208" s="1217"/>
      <c r="E208" s="769"/>
      <c r="F208" s="769"/>
    </row>
    <row r="209" spans="3:6">
      <c r="C209" s="769"/>
      <c r="D209" s="1217"/>
      <c r="E209" s="769"/>
      <c r="F209" s="769"/>
    </row>
    <row r="210" spans="3:6">
      <c r="C210" s="769"/>
      <c r="D210" s="1217"/>
      <c r="E210" s="769"/>
      <c r="F210" s="769"/>
    </row>
    <row r="211" spans="3:6">
      <c r="C211" s="769"/>
      <c r="D211" s="1217"/>
      <c r="E211" s="769"/>
      <c r="F211" s="769"/>
    </row>
    <row r="212" spans="3:6">
      <c r="C212" s="769"/>
      <c r="D212" s="1217"/>
      <c r="E212" s="769"/>
      <c r="F212" s="769"/>
    </row>
    <row r="213" spans="3:6">
      <c r="C213" s="769"/>
      <c r="D213" s="1217"/>
      <c r="E213" s="769"/>
      <c r="F213" s="769"/>
    </row>
    <row r="214" spans="3:6">
      <c r="C214" s="769"/>
      <c r="D214" s="1217"/>
      <c r="E214" s="769"/>
      <c r="F214" s="769"/>
    </row>
    <row r="215" spans="3:6">
      <c r="C215" s="769"/>
      <c r="D215" s="1217"/>
      <c r="E215" s="769"/>
      <c r="F215" s="769"/>
    </row>
    <row r="216" spans="3:6">
      <c r="C216" s="769"/>
      <c r="D216" s="1217"/>
      <c r="E216" s="769"/>
      <c r="F216" s="769"/>
    </row>
    <row r="217" spans="3:6">
      <c r="C217" s="769"/>
      <c r="D217" s="1217"/>
      <c r="E217" s="769"/>
      <c r="F217" s="769"/>
    </row>
    <row r="218" spans="3:6">
      <c r="C218" s="769"/>
      <c r="D218" s="1217"/>
      <c r="E218" s="769"/>
      <c r="F218" s="769"/>
    </row>
    <row r="219" spans="3:6">
      <c r="C219" s="769"/>
      <c r="D219" s="1217"/>
      <c r="E219" s="769"/>
      <c r="F219" s="769"/>
    </row>
    <row r="220" spans="3:6">
      <c r="C220" s="769"/>
      <c r="D220" s="1217"/>
      <c r="E220" s="769"/>
      <c r="F220" s="769"/>
    </row>
    <row r="221" spans="3:6">
      <c r="C221" s="769"/>
      <c r="D221" s="1217"/>
      <c r="E221" s="769"/>
      <c r="F221" s="769"/>
    </row>
    <row r="222" spans="3:6">
      <c r="C222" s="769"/>
      <c r="D222" s="1217"/>
      <c r="E222" s="769"/>
      <c r="F222" s="769"/>
    </row>
    <row r="223" spans="3:6">
      <c r="C223" s="769"/>
      <c r="D223" s="1217"/>
      <c r="E223" s="769"/>
      <c r="F223" s="769"/>
    </row>
    <row r="224" spans="3:6">
      <c r="C224" s="769"/>
      <c r="D224" s="1217"/>
      <c r="E224" s="769"/>
      <c r="F224" s="769"/>
    </row>
    <row r="225" spans="3:6">
      <c r="C225" s="769"/>
      <c r="D225" s="1217"/>
      <c r="E225" s="769"/>
      <c r="F225" s="769"/>
    </row>
    <row r="226" spans="3:6">
      <c r="C226" s="769"/>
      <c r="D226" s="1217"/>
      <c r="E226" s="769"/>
      <c r="F226" s="769"/>
    </row>
    <row r="227" spans="3:6">
      <c r="C227" s="769"/>
      <c r="D227" s="1217"/>
      <c r="E227" s="769"/>
      <c r="F227" s="769"/>
    </row>
    <row r="228" spans="3:6">
      <c r="C228" s="769"/>
      <c r="D228" s="1217"/>
      <c r="E228" s="769"/>
      <c r="F228" s="769"/>
    </row>
    <row r="229" spans="3:6">
      <c r="C229" s="769"/>
      <c r="D229" s="1217"/>
      <c r="E229" s="769"/>
      <c r="F229" s="769"/>
    </row>
    <row r="230" spans="3:6">
      <c r="C230" s="769"/>
      <c r="D230" s="1217"/>
      <c r="E230" s="769"/>
      <c r="F230" s="769"/>
    </row>
    <row r="231" spans="3:6">
      <c r="C231" s="769"/>
      <c r="D231" s="1217"/>
      <c r="E231" s="769"/>
      <c r="F231" s="769"/>
    </row>
    <row r="232" spans="3:6">
      <c r="C232" s="769"/>
      <c r="D232" s="1217"/>
      <c r="E232" s="769"/>
      <c r="F232" s="769"/>
    </row>
    <row r="233" spans="3:6">
      <c r="C233" s="769"/>
      <c r="D233" s="1217"/>
      <c r="E233" s="769"/>
      <c r="F233" s="769"/>
    </row>
    <row r="234" spans="3:6">
      <c r="C234" s="769"/>
      <c r="D234" s="1217"/>
      <c r="E234" s="769"/>
      <c r="F234" s="769"/>
    </row>
    <row r="235" spans="3:6">
      <c r="C235" s="769"/>
      <c r="D235" s="1217"/>
      <c r="E235" s="769"/>
      <c r="F235" s="769"/>
    </row>
    <row r="236" spans="3:6">
      <c r="C236" s="769"/>
      <c r="D236" s="1217"/>
      <c r="E236" s="769"/>
      <c r="F236" s="769"/>
    </row>
    <row r="237" spans="3:6">
      <c r="C237" s="769"/>
      <c r="D237" s="1217"/>
      <c r="E237" s="769"/>
      <c r="F237" s="769"/>
    </row>
    <row r="238" spans="3:6">
      <c r="C238" s="769"/>
      <c r="D238" s="1217"/>
      <c r="E238" s="769"/>
      <c r="F238" s="769"/>
    </row>
    <row r="239" spans="3:6">
      <c r="C239" s="769"/>
      <c r="D239" s="1217"/>
      <c r="E239" s="769"/>
      <c r="F239" s="769"/>
    </row>
    <row r="240" spans="3:6">
      <c r="C240" s="769"/>
      <c r="D240" s="1217"/>
      <c r="E240" s="769"/>
      <c r="F240" s="769"/>
    </row>
    <row r="241" spans="3:6">
      <c r="C241" s="769"/>
      <c r="D241" s="1217"/>
      <c r="E241" s="769"/>
      <c r="F241" s="769"/>
    </row>
    <row r="242" spans="3:6">
      <c r="C242" s="769"/>
      <c r="D242" s="1217"/>
      <c r="E242" s="769"/>
      <c r="F242" s="769"/>
    </row>
    <row r="243" spans="3:6">
      <c r="C243" s="769"/>
      <c r="D243" s="1217"/>
      <c r="E243" s="769"/>
      <c r="F243" s="769"/>
    </row>
    <row r="244" spans="3:6">
      <c r="C244" s="769"/>
      <c r="D244" s="1217"/>
      <c r="E244" s="769"/>
      <c r="F244" s="769"/>
    </row>
    <row r="245" spans="3:6">
      <c r="C245" s="769"/>
      <c r="D245" s="1217"/>
      <c r="E245" s="769"/>
      <c r="F245" s="769"/>
    </row>
    <row r="246" spans="3:6">
      <c r="C246" s="769"/>
      <c r="D246" s="1217"/>
      <c r="E246" s="769"/>
      <c r="F246" s="769"/>
    </row>
    <row r="247" spans="3:6">
      <c r="C247" s="769"/>
      <c r="D247" s="1217"/>
      <c r="E247" s="769"/>
      <c r="F247" s="769"/>
    </row>
    <row r="248" spans="3:6">
      <c r="C248" s="769"/>
      <c r="D248" s="1217"/>
      <c r="E248" s="769"/>
      <c r="F248" s="769"/>
    </row>
    <row r="249" spans="3:6">
      <c r="C249" s="769"/>
      <c r="D249" s="1217"/>
      <c r="E249" s="769"/>
      <c r="F249" s="769"/>
    </row>
    <row r="250" spans="3:6">
      <c r="C250" s="769"/>
      <c r="D250" s="1217"/>
      <c r="E250" s="769"/>
      <c r="F250" s="769"/>
    </row>
    <row r="251" spans="3:6">
      <c r="C251" s="769"/>
      <c r="D251" s="1217"/>
      <c r="E251" s="769"/>
      <c r="F251" s="769"/>
    </row>
    <row r="252" spans="3:6">
      <c r="C252" s="769"/>
      <c r="D252" s="1217"/>
      <c r="E252" s="769"/>
      <c r="F252" s="769"/>
    </row>
    <row r="253" spans="3:6">
      <c r="C253" s="769"/>
      <c r="D253" s="1217"/>
      <c r="E253" s="769"/>
      <c r="F253" s="769"/>
    </row>
    <row r="254" spans="3:6">
      <c r="C254" s="769"/>
      <c r="D254" s="1217"/>
      <c r="E254" s="769"/>
      <c r="F254" s="769"/>
    </row>
    <row r="255" spans="3:6">
      <c r="C255" s="769"/>
      <c r="D255" s="1217"/>
      <c r="E255" s="769"/>
      <c r="F255" s="769"/>
    </row>
    <row r="256" spans="3:6">
      <c r="C256" s="769"/>
      <c r="D256" s="1217"/>
      <c r="E256" s="769"/>
      <c r="F256" s="769"/>
    </row>
    <row r="257" spans="3:6">
      <c r="C257" s="769"/>
      <c r="D257" s="1217"/>
      <c r="E257" s="769"/>
      <c r="F257" s="769"/>
    </row>
    <row r="258" spans="3:6">
      <c r="C258" s="769"/>
      <c r="D258" s="1217"/>
      <c r="E258" s="769"/>
      <c r="F258" s="769"/>
    </row>
    <row r="259" spans="3:6">
      <c r="C259" s="769"/>
      <c r="D259" s="1217"/>
      <c r="E259" s="769"/>
      <c r="F259" s="769"/>
    </row>
    <row r="260" spans="3:6">
      <c r="C260" s="769"/>
      <c r="D260" s="1217"/>
      <c r="E260" s="769"/>
      <c r="F260" s="769"/>
    </row>
    <row r="261" spans="3:6">
      <c r="C261" s="769"/>
      <c r="D261" s="1217"/>
      <c r="E261" s="769"/>
      <c r="F261" s="769"/>
    </row>
    <row r="262" spans="3:6">
      <c r="C262" s="769"/>
      <c r="D262" s="1217"/>
      <c r="E262" s="769"/>
      <c r="F262" s="769"/>
    </row>
    <row r="263" spans="3:6">
      <c r="C263" s="769"/>
      <c r="D263" s="1217"/>
      <c r="E263" s="769"/>
      <c r="F263" s="769"/>
    </row>
    <row r="264" spans="3:6">
      <c r="C264" s="769"/>
      <c r="D264" s="1217"/>
      <c r="E264" s="769"/>
      <c r="F264" s="769"/>
    </row>
    <row r="265" spans="3:6">
      <c r="C265" s="769"/>
      <c r="D265" s="1217"/>
      <c r="E265" s="769"/>
      <c r="F265" s="769"/>
    </row>
    <row r="266" spans="3:6">
      <c r="C266" s="769"/>
      <c r="D266" s="1217"/>
      <c r="E266" s="769"/>
      <c r="F266" s="769"/>
    </row>
    <row r="267" spans="3:6">
      <c r="C267" s="769"/>
      <c r="D267" s="1217"/>
      <c r="E267" s="769"/>
      <c r="F267" s="769"/>
    </row>
    <row r="268" spans="3:6">
      <c r="C268" s="769"/>
      <c r="D268" s="1217"/>
      <c r="E268" s="769"/>
      <c r="F268" s="769"/>
    </row>
    <row r="269" spans="3:6">
      <c r="C269" s="769"/>
      <c r="D269" s="1217"/>
      <c r="E269" s="769"/>
      <c r="F269" s="769"/>
    </row>
    <row r="270" spans="3:6">
      <c r="C270" s="769"/>
      <c r="D270" s="1217"/>
      <c r="E270" s="769"/>
      <c r="F270" s="769"/>
    </row>
    <row r="271" spans="3:6">
      <c r="C271" s="769"/>
      <c r="D271" s="1217"/>
      <c r="E271" s="769"/>
      <c r="F271" s="769"/>
    </row>
    <row r="272" spans="3:6">
      <c r="C272" s="769"/>
      <c r="D272" s="1217"/>
      <c r="E272" s="769"/>
      <c r="F272" s="769"/>
    </row>
    <row r="273" spans="3:6">
      <c r="C273" s="769"/>
      <c r="D273" s="1217"/>
      <c r="E273" s="769"/>
      <c r="F273" s="769"/>
    </row>
    <row r="274" spans="3:6">
      <c r="C274" s="769"/>
      <c r="D274" s="1217"/>
      <c r="E274" s="769"/>
      <c r="F274" s="769"/>
    </row>
    <row r="275" spans="3:6">
      <c r="C275" s="769"/>
      <c r="D275" s="1217"/>
      <c r="E275" s="769"/>
      <c r="F275" s="769"/>
    </row>
    <row r="276" spans="3:6">
      <c r="C276" s="769"/>
      <c r="D276" s="1217"/>
      <c r="E276" s="769"/>
      <c r="F276" s="769"/>
    </row>
    <row r="277" spans="3:6">
      <c r="C277" s="769"/>
      <c r="D277" s="1217"/>
      <c r="E277" s="769"/>
      <c r="F277" s="769"/>
    </row>
  </sheetData>
  <mergeCells count="3">
    <mergeCell ref="A4:F4"/>
    <mergeCell ref="A5:F5"/>
    <mergeCell ref="D144:F144"/>
  </mergeCells>
  <printOptions horizontalCentered="1"/>
  <pageMargins left="0.78740157480314965" right="0.78740157480314965" top="0.39370078740157483" bottom="0.11811023622047245" header="0.51181102362204722" footer="3.937007874015748E-2"/>
  <pageSetup paperSize="9" scale="95" orientation="portrait" r:id="rId1"/>
  <headerFooter alignWithMargins="0">
    <oddFooter>&amp;R&amp;8&amp;P</oddFooter>
  </headerFooter>
  <rowBreaks count="2" manualBreakCount="2">
    <brk id="54" max="16383" man="1"/>
    <brk id="108" max="16383" man="1"/>
  </rowBreaks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96">
    <tabColor rgb="FFFF0000"/>
  </sheetPr>
  <dimension ref="A1:Q45"/>
  <sheetViews>
    <sheetView workbookViewId="0">
      <selection activeCell="K8" sqref="K8"/>
    </sheetView>
  </sheetViews>
  <sheetFormatPr defaultColWidth="9.109375" defaultRowHeight="13.2"/>
  <cols>
    <col min="1" max="1" width="13.33203125" style="10" customWidth="1"/>
    <col min="2" max="2" width="12.88671875" style="10" customWidth="1"/>
    <col min="3" max="3" width="12" style="10" customWidth="1"/>
    <col min="4" max="4" width="11.6640625" style="10" customWidth="1"/>
    <col min="5" max="5" width="11.44140625" style="10" customWidth="1"/>
    <col min="6" max="6" width="11.88671875" style="10" customWidth="1"/>
    <col min="7" max="7" width="12" style="10" customWidth="1"/>
    <col min="8" max="8" width="11.44140625" style="10" customWidth="1"/>
    <col min="9" max="9" width="16.6640625" style="10" customWidth="1"/>
    <col min="10" max="10" width="12.5546875" style="10" customWidth="1"/>
    <col min="11" max="11" width="14" style="10" customWidth="1"/>
    <col min="12" max="12" width="11.88671875" style="10" customWidth="1"/>
    <col min="13" max="13" width="10.109375" style="10" customWidth="1"/>
    <col min="14" max="14" width="12.5546875" style="10" customWidth="1"/>
    <col min="15" max="15" width="11.109375" style="10" customWidth="1"/>
    <col min="16" max="16384" width="9.109375" style="10"/>
  </cols>
  <sheetData>
    <row r="1" spans="1:17" ht="16.8">
      <c r="A1" s="689" t="s">
        <v>874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278"/>
      <c r="M1" s="301"/>
      <c r="N1" s="301"/>
      <c r="O1" s="301"/>
      <c r="P1" s="201"/>
      <c r="Q1" s="201"/>
    </row>
    <row r="2" spans="1:17" ht="16.8">
      <c r="A2" s="689" t="s">
        <v>1237</v>
      </c>
      <c r="B2" s="110"/>
      <c r="C2" s="110"/>
      <c r="D2" s="110"/>
      <c r="E2" s="110"/>
      <c r="F2" s="110"/>
      <c r="G2" s="110"/>
      <c r="H2" s="110"/>
      <c r="I2" s="110"/>
      <c r="J2" s="110"/>
      <c r="L2" s="278"/>
      <c r="M2" s="201"/>
      <c r="N2" s="201"/>
      <c r="O2" s="201"/>
      <c r="P2" s="201"/>
      <c r="Q2" s="201"/>
    </row>
    <row r="3" spans="1:17">
      <c r="L3" s="278"/>
      <c r="M3" s="684"/>
      <c r="N3" s="684"/>
      <c r="O3" s="684"/>
      <c r="P3" s="201"/>
      <c r="Q3" s="201"/>
    </row>
    <row r="4" spans="1:17" ht="16.2" thickBot="1">
      <c r="B4" s="496" t="s">
        <v>1238</v>
      </c>
      <c r="C4" s="201"/>
      <c r="D4" s="201"/>
      <c r="E4" s="484"/>
      <c r="F4" s="250"/>
      <c r="G4" s="201"/>
      <c r="H4" s="201"/>
      <c r="L4" s="278"/>
      <c r="M4" s="684"/>
      <c r="N4" s="684"/>
      <c r="O4" s="684"/>
      <c r="P4" s="201"/>
      <c r="Q4" s="201"/>
    </row>
    <row r="5" spans="1:17" ht="27.75" customHeight="1" thickTop="1">
      <c r="B5" s="4209" t="s">
        <v>836</v>
      </c>
      <c r="C5" s="4395" t="s">
        <v>837</v>
      </c>
      <c r="D5" s="39" t="s">
        <v>838</v>
      </c>
      <c r="E5" s="4209" t="s">
        <v>839</v>
      </c>
      <c r="G5" s="208"/>
      <c r="H5" s="478" t="s">
        <v>844</v>
      </c>
      <c r="I5" s="209"/>
      <c r="J5" s="209"/>
      <c r="K5" s="210"/>
      <c r="L5" s="278"/>
      <c r="M5" s="684"/>
      <c r="N5" s="684"/>
      <c r="O5" s="684"/>
      <c r="P5" s="201"/>
      <c r="Q5" s="201"/>
    </row>
    <row r="6" spans="1:17" ht="51.75" customHeight="1">
      <c r="B6" s="4216"/>
      <c r="C6" s="4396"/>
      <c r="D6" s="39" t="s">
        <v>840</v>
      </c>
      <c r="E6" s="4210"/>
      <c r="G6" s="213"/>
      <c r="H6" s="479" t="s">
        <v>845</v>
      </c>
      <c r="I6" s="211" t="s">
        <v>944</v>
      </c>
      <c r="J6" s="211" t="s">
        <v>945</v>
      </c>
      <c r="K6" s="487" t="s">
        <v>1242</v>
      </c>
      <c r="L6" s="278"/>
      <c r="M6" s="684"/>
      <c r="N6" s="684"/>
      <c r="O6" s="684"/>
      <c r="P6" s="201"/>
      <c r="Q6" s="201"/>
    </row>
    <row r="7" spans="1:17" ht="16.8">
      <c r="B7" s="4216"/>
      <c r="C7" s="176" t="s">
        <v>841</v>
      </c>
      <c r="D7" s="176" t="s">
        <v>842</v>
      </c>
      <c r="E7" s="17"/>
      <c r="F7" s="207" t="s">
        <v>835</v>
      </c>
      <c r="G7" s="314" t="s">
        <v>846</v>
      </c>
      <c r="H7" s="480"/>
      <c r="I7" s="275" t="e">
        <f>#REF!</f>
        <v>#REF!</v>
      </c>
      <c r="J7" s="275">
        <f>Электроэнергия!$H$21*1000</f>
        <v>-1.1657341758564144E-12</v>
      </c>
      <c r="K7" s="212" t="e">
        <f t="shared" ref="K7:K12" si="0">J7/$J$13</f>
        <v>#REF!</v>
      </c>
      <c r="L7" s="685"/>
      <c r="M7" s="201"/>
      <c r="N7" s="685"/>
      <c r="O7" s="686"/>
      <c r="P7" s="201"/>
      <c r="Q7" s="201"/>
    </row>
    <row r="8" spans="1:17" ht="12.75" customHeight="1">
      <c r="B8" s="4210"/>
      <c r="C8" s="17" t="s">
        <v>291</v>
      </c>
      <c r="D8" s="17" t="s">
        <v>843</v>
      </c>
      <c r="E8" s="17" t="s">
        <v>843</v>
      </c>
      <c r="F8" s="206"/>
      <c r="G8" s="4415" t="s">
        <v>949</v>
      </c>
      <c r="H8" s="480" t="s">
        <v>950</v>
      </c>
      <c r="I8" s="275" t="e">
        <f>J8+#REF!/#REF!*'С-Э и сет.расч.инд.межсет.2011'!J8</f>
        <v>#REF!</v>
      </c>
      <c r="J8" s="275" t="e">
        <f>#REF!-J12</f>
        <v>#REF!</v>
      </c>
      <c r="K8" s="212" t="e">
        <f t="shared" si="0"/>
        <v>#REF!</v>
      </c>
      <c r="L8" s="695" t="s">
        <v>1240</v>
      </c>
      <c r="M8" s="695" t="s">
        <v>1259</v>
      </c>
      <c r="N8" s="695" t="s">
        <v>419</v>
      </c>
      <c r="O8" s="201"/>
      <c r="P8" s="201"/>
      <c r="Q8" s="201"/>
    </row>
    <row r="9" spans="1:17">
      <c r="B9" s="17" t="s">
        <v>697</v>
      </c>
      <c r="C9" s="691">
        <v>390084.12</v>
      </c>
      <c r="D9" s="691">
        <v>163.41999999999999</v>
      </c>
      <c r="E9" s="691">
        <v>719.55</v>
      </c>
      <c r="F9" s="692">
        <f>(C9*12/(E9-D9))</f>
        <v>8417.113696437882</v>
      </c>
      <c r="G9" s="4415"/>
      <c r="H9" s="481" t="s">
        <v>951</v>
      </c>
      <c r="I9" s="275">
        <v>5977.41</v>
      </c>
      <c r="J9" s="275" t="e">
        <f>#REF!</f>
        <v>#REF!</v>
      </c>
      <c r="K9" s="212" t="e">
        <f t="shared" si="0"/>
        <v>#REF!</v>
      </c>
      <c r="L9" s="696" t="e">
        <f>#REF!</f>
        <v>#REF!</v>
      </c>
      <c r="M9" s="696" t="e">
        <f>#REF!</f>
        <v>#REF!</v>
      </c>
      <c r="N9" s="696" t="e">
        <f>SUM(L9:M9)</f>
        <v>#REF!</v>
      </c>
      <c r="O9" s="201"/>
      <c r="P9" s="201"/>
      <c r="Q9" s="201"/>
    </row>
    <row r="10" spans="1:17">
      <c r="B10" s="17" t="s">
        <v>676</v>
      </c>
      <c r="C10" s="313">
        <v>712574.24</v>
      </c>
      <c r="D10" s="313">
        <v>174.74</v>
      </c>
      <c r="E10" s="313">
        <v>1207.1199999999999</v>
      </c>
      <c r="F10" s="206">
        <f>(C10*12/(E10-D10))</f>
        <v>8282.6971463995815</v>
      </c>
      <c r="G10" s="4415"/>
      <c r="H10" s="480" t="s">
        <v>952</v>
      </c>
      <c r="I10" s="275">
        <v>321.49</v>
      </c>
      <c r="J10" s="275" t="e">
        <f>#REF!</f>
        <v>#REF!</v>
      </c>
      <c r="K10" s="212" t="e">
        <f t="shared" si="0"/>
        <v>#REF!</v>
      </c>
      <c r="L10" s="695" t="s">
        <v>1241</v>
      </c>
      <c r="M10" s="695"/>
      <c r="N10" s="697"/>
      <c r="O10" s="201"/>
      <c r="P10" s="201"/>
      <c r="Q10" s="201"/>
    </row>
    <row r="11" spans="1:17">
      <c r="B11" s="39" t="s">
        <v>847</v>
      </c>
      <c r="C11" s="313">
        <v>1012075.01</v>
      </c>
      <c r="D11" s="313">
        <v>418.61</v>
      </c>
      <c r="E11" s="313">
        <v>1956.6</v>
      </c>
      <c r="F11" s="206">
        <f>(C11*12/(E11-D11))</f>
        <v>7896.6053875512862</v>
      </c>
      <c r="G11" s="4415"/>
      <c r="H11" s="481" t="s">
        <v>953</v>
      </c>
      <c r="I11" s="275" t="e">
        <f>J11+#REF!/#REF!*'С-Э и сет.расч.инд.межсет.2011'!J11</f>
        <v>#REF!</v>
      </c>
      <c r="J11" s="275" t="e">
        <f>#REF!+#REF!</f>
        <v>#REF!</v>
      </c>
      <c r="K11" s="212" t="e">
        <f t="shared" si="0"/>
        <v>#REF!</v>
      </c>
      <c r="L11" s="695" t="e">
        <f>L9/$N$9</f>
        <v>#REF!</v>
      </c>
      <c r="M11" s="695" t="e">
        <f>M9/$N$9</f>
        <v>#REF!</v>
      </c>
      <c r="N11" s="695" t="e">
        <f>SUM(L11:M11)</f>
        <v>#REF!</v>
      </c>
      <c r="O11" s="201"/>
      <c r="P11" s="201"/>
      <c r="Q11" s="201"/>
    </row>
    <row r="12" spans="1:17" ht="24" customHeight="1">
      <c r="B12" s="17" t="s">
        <v>681</v>
      </c>
      <c r="C12" s="691">
        <v>1840807.32</v>
      </c>
      <c r="D12" s="691">
        <v>477.56</v>
      </c>
      <c r="E12" s="691">
        <v>3031.8</v>
      </c>
      <c r="F12" s="692">
        <f>(C12*12/(E12-D12))</f>
        <v>8648.2428589325973</v>
      </c>
      <c r="G12" s="474"/>
      <c r="H12" s="482" t="s">
        <v>969</v>
      </c>
      <c r="I12" s="475" t="e">
        <f>J12+#REF!/#REF!*'С-Э и сет.расч.инд.межсет.2011'!J12</f>
        <v>#REF!</v>
      </c>
      <c r="J12" s="475">
        <f>'П 1.6.'!F25*1000</f>
        <v>301.077</v>
      </c>
      <c r="K12" s="476" t="e">
        <f t="shared" si="0"/>
        <v>#REF!</v>
      </c>
      <c r="L12" s="685"/>
      <c r="M12" s="706" t="e">
        <f>SUM(C22:C23)</f>
        <v>#REF!</v>
      </c>
      <c r="N12" s="706" t="e">
        <f>B22*K9</f>
        <v>#REF!</v>
      </c>
      <c r="O12" s="201"/>
      <c r="P12" s="201"/>
      <c r="Q12" s="201"/>
    </row>
    <row r="13" spans="1:17" ht="13.8" thickBot="1">
      <c r="B13" s="465" t="s">
        <v>962</v>
      </c>
      <c r="C13" s="466">
        <v>20334.72</v>
      </c>
      <c r="D13" s="466">
        <v>191.67</v>
      </c>
      <c r="E13" s="466">
        <v>235.36</v>
      </c>
      <c r="F13" s="320">
        <f>(C13*12/(E13-D13))</f>
        <v>5585.1828793774284</v>
      </c>
      <c r="G13" s="315" t="s">
        <v>848</v>
      </c>
      <c r="H13" s="480"/>
      <c r="I13" s="214" t="e">
        <f>SUM(I7:I12)</f>
        <v>#REF!</v>
      </c>
      <c r="J13" s="214" t="e">
        <f>SUM(J7:J12)</f>
        <v>#REF!</v>
      </c>
      <c r="K13" s="212" t="e">
        <f>SUM(K7:K12)</f>
        <v>#REF!</v>
      </c>
      <c r="L13" s="686">
        <f>Электроэнергия!H8*1000</f>
        <v>24879.768391399997</v>
      </c>
      <c r="M13" s="687"/>
      <c r="N13" s="685"/>
      <c r="O13" s="201"/>
      <c r="P13" s="201"/>
      <c r="Q13" s="201"/>
    </row>
    <row r="14" spans="1:17" ht="14.4" thickTop="1" thickBot="1">
      <c r="E14" s="11" t="s">
        <v>892</v>
      </c>
      <c r="F14" s="273">
        <f>(365-53)*16</f>
        <v>4992</v>
      </c>
      <c r="G14" s="477"/>
      <c r="H14" s="483"/>
      <c r="I14" s="215" t="s">
        <v>849</v>
      </c>
      <c r="J14" s="216">
        <f>(Электроэнергия!H21+Электроэнергия!H28)*1000</f>
        <v>23344.686391399995</v>
      </c>
      <c r="K14" s="217"/>
      <c r="L14" s="201"/>
      <c r="M14" s="686"/>
      <c r="N14" s="201"/>
      <c r="O14" s="201"/>
      <c r="P14" s="201"/>
      <c r="Q14" s="201"/>
    </row>
    <row r="15" spans="1:17" ht="14.4" thickTop="1">
      <c r="A15" s="497" t="s">
        <v>1239</v>
      </c>
      <c r="B15" s="218"/>
      <c r="C15" s="219"/>
      <c r="D15" s="219"/>
      <c r="E15" s="219"/>
      <c r="F15" s="443"/>
      <c r="G15" s="201"/>
      <c r="H15" s="201"/>
      <c r="L15" s="688"/>
      <c r="M15" s="201"/>
      <c r="N15" s="201"/>
      <c r="O15" s="201"/>
      <c r="P15" s="201"/>
      <c r="Q15" s="201"/>
    </row>
    <row r="16" spans="1:17">
      <c r="A16" s="220"/>
      <c r="B16" s="219"/>
      <c r="C16" s="219"/>
      <c r="D16" s="221" t="s">
        <v>850</v>
      </c>
      <c r="E16" s="222">
        <f>'П 1.25.'!E8</f>
        <v>3130.935364940377</v>
      </c>
      <c r="F16" s="223" t="s">
        <v>851</v>
      </c>
      <c r="G16" s="223"/>
      <c r="H16" s="223"/>
      <c r="I16" s="486"/>
    </row>
    <row r="17" spans="1:17" ht="56.25" customHeight="1">
      <c r="A17" s="224" t="s">
        <v>836</v>
      </c>
      <c r="B17" s="224" t="s">
        <v>852</v>
      </c>
      <c r="C17" s="224" t="s">
        <v>853</v>
      </c>
      <c r="D17" s="224" t="s">
        <v>854</v>
      </c>
      <c r="E17" s="224" t="s">
        <v>1114</v>
      </c>
      <c r="F17" s="224" t="s">
        <v>1115</v>
      </c>
      <c r="G17" s="224" t="s">
        <v>939</v>
      </c>
      <c r="H17" s="224" t="s">
        <v>855</v>
      </c>
      <c r="I17" s="224" t="s">
        <v>947</v>
      </c>
      <c r="J17" s="224" t="s">
        <v>856</v>
      </c>
      <c r="K17" s="225" t="s">
        <v>857</v>
      </c>
      <c r="L17" s="226" t="s">
        <v>858</v>
      </c>
      <c r="M17" s="226" t="s">
        <v>859</v>
      </c>
      <c r="N17" s="227" t="s">
        <v>860</v>
      </c>
      <c r="O17" s="227" t="s">
        <v>861</v>
      </c>
    </row>
    <row r="18" spans="1:17" s="6" customFormat="1">
      <c r="A18" s="228"/>
      <c r="B18" s="229" t="s">
        <v>862</v>
      </c>
      <c r="C18" s="439"/>
      <c r="D18" s="228" t="s">
        <v>863</v>
      </c>
      <c r="E18" s="228" t="s">
        <v>863</v>
      </c>
      <c r="F18" s="228" t="s">
        <v>863</v>
      </c>
      <c r="G18" s="228" t="s">
        <v>863</v>
      </c>
      <c r="H18" s="228" t="s">
        <v>863</v>
      </c>
      <c r="I18" s="228" t="s">
        <v>863</v>
      </c>
      <c r="J18" s="229" t="s">
        <v>864</v>
      </c>
      <c r="K18" s="230"/>
      <c r="L18" s="231" t="s">
        <v>865</v>
      </c>
      <c r="M18" s="231" t="s">
        <v>866</v>
      </c>
      <c r="N18" s="231" t="s">
        <v>867</v>
      </c>
      <c r="O18" s="231" t="s">
        <v>868</v>
      </c>
      <c r="P18" s="274" t="s">
        <v>641</v>
      </c>
    </row>
    <row r="19" spans="1:17" s="235" customFormat="1" ht="51" customHeight="1">
      <c r="A19" s="232">
        <v>1</v>
      </c>
      <c r="B19" s="233">
        <v>2</v>
      </c>
      <c r="C19" s="233">
        <v>3</v>
      </c>
      <c r="D19" s="232">
        <v>4</v>
      </c>
      <c r="E19" s="232">
        <v>5</v>
      </c>
      <c r="F19" s="232" t="s">
        <v>954</v>
      </c>
      <c r="G19" s="232">
        <v>7</v>
      </c>
      <c r="H19" s="232">
        <v>8</v>
      </c>
      <c r="I19" s="232" t="s">
        <v>948</v>
      </c>
      <c r="J19" s="232">
        <v>10</v>
      </c>
      <c r="K19" s="234" t="s">
        <v>956</v>
      </c>
      <c r="L19" s="438" t="s">
        <v>940</v>
      </c>
      <c r="M19" s="438" t="s">
        <v>941</v>
      </c>
      <c r="N19" s="437" t="s">
        <v>942</v>
      </c>
      <c r="O19" s="437" t="s">
        <v>943</v>
      </c>
      <c r="P19" s="274" t="e">
        <f>H25/(I25)</f>
        <v>#REF!</v>
      </c>
    </row>
    <row r="20" spans="1:17">
      <c r="A20" s="236" t="s">
        <v>697</v>
      </c>
      <c r="B20" s="237">
        <f>'П 1.24'!F22*1000</f>
        <v>17570800</v>
      </c>
      <c r="C20" s="237">
        <v>0</v>
      </c>
      <c r="D20" s="237">
        <v>0</v>
      </c>
      <c r="E20" s="237">
        <v>0</v>
      </c>
      <c r="F20" s="237">
        <f>D20+E20</f>
        <v>0</v>
      </c>
      <c r="G20" s="237">
        <v>0</v>
      </c>
      <c r="H20" s="237">
        <v>0</v>
      </c>
      <c r="I20" s="237">
        <f>G20+H20</f>
        <v>0</v>
      </c>
      <c r="J20" s="237">
        <f>'П 1.25.'!E38</f>
        <v>124.53472028118894</v>
      </c>
      <c r="K20" s="238">
        <f>H20*$E$16</f>
        <v>0</v>
      </c>
      <c r="L20" s="239">
        <f>C9*D20*12-C20</f>
        <v>0</v>
      </c>
      <c r="M20" s="239">
        <f>D9*G20-K20</f>
        <v>0</v>
      </c>
      <c r="N20" s="240"/>
      <c r="O20" s="240"/>
    </row>
    <row r="21" spans="1:17">
      <c r="A21" s="236" t="s">
        <v>676</v>
      </c>
      <c r="B21" s="237">
        <f>'П 1.24'!F24*1000</f>
        <v>0</v>
      </c>
      <c r="C21" s="237">
        <v>0</v>
      </c>
      <c r="D21" s="237">
        <v>0</v>
      </c>
      <c r="E21" s="237">
        <v>0</v>
      </c>
      <c r="F21" s="237">
        <f>D21+E21</f>
        <v>0</v>
      </c>
      <c r="G21" s="237">
        <v>0</v>
      </c>
      <c r="H21" s="237">
        <v>0</v>
      </c>
      <c r="I21" s="237">
        <f>G21+H21</f>
        <v>0</v>
      </c>
      <c r="J21" s="237">
        <f>'П 1.25.'!E40</f>
        <v>0</v>
      </c>
      <c r="K21" s="238">
        <f>H21*$E$16</f>
        <v>0</v>
      </c>
      <c r="L21" s="239">
        <f>C10*D21*12-C21</f>
        <v>0</v>
      </c>
      <c r="M21" s="239">
        <f>D10*G21-K21</f>
        <v>0</v>
      </c>
      <c r="N21" s="240"/>
      <c r="O21" s="240"/>
    </row>
    <row r="22" spans="1:17" s="444" customFormat="1" ht="26.4">
      <c r="A22" s="452" t="s">
        <v>958</v>
      </c>
      <c r="B22" s="4413">
        <f>'П 1.24'!F25*1000</f>
        <v>8941133.6979712006</v>
      </c>
      <c r="C22" s="701" t="e">
        <f>$B$22*$K$9*L11+269026.72</f>
        <v>#REF!</v>
      </c>
      <c r="D22" s="245" t="e">
        <f>#REF!</f>
        <v>#REF!</v>
      </c>
      <c r="E22" s="709" t="e">
        <f>#REF!*'С-Э и сет.расч.инд.межсет.2011'!L11</f>
        <v>#REF!</v>
      </c>
      <c r="F22" s="709" t="e">
        <f>D22+E22</f>
        <v>#REF!</v>
      </c>
      <c r="G22" s="242" t="e">
        <f>#REF!</f>
        <v>#REF!</v>
      </c>
      <c r="H22" s="242" t="e">
        <f>#REF!*'С-Э и сет.расч.инд.межсет.2011'!L11</f>
        <v>#REF!</v>
      </c>
      <c r="I22" s="242" t="e">
        <f>G22+H22</f>
        <v>#REF!</v>
      </c>
      <c r="J22" s="243">
        <f>'П 1.25.'!$E$41</f>
        <v>329.79723235795052</v>
      </c>
      <c r="K22" s="453" t="e">
        <f>H22*$E$16</f>
        <v>#REF!</v>
      </c>
      <c r="L22" s="244" t="e">
        <f>F33*1000-C22</f>
        <v>#REF!</v>
      </c>
      <c r="M22" s="244" t="e">
        <f>G33*1000-K22</f>
        <v>#REF!</v>
      </c>
      <c r="N22" s="246"/>
      <c r="O22" s="246"/>
    </row>
    <row r="23" spans="1:17" s="491" customFormat="1" ht="26.4">
      <c r="A23" s="452" t="s">
        <v>1249</v>
      </c>
      <c r="B23" s="4414"/>
      <c r="C23" s="698" t="e">
        <f>$B$22*$K$9*M11</f>
        <v>#REF!</v>
      </c>
      <c r="D23" s="708" t="e">
        <f>#REF!</f>
        <v>#REF!</v>
      </c>
      <c r="E23" s="709" t="e">
        <f>#REF!*'С-Э и сет.расч.инд.межсет.2011'!M11</f>
        <v>#REF!</v>
      </c>
      <c r="F23" s="709" t="e">
        <f>D23+E23</f>
        <v>#REF!</v>
      </c>
      <c r="G23" s="242" t="e">
        <f>#REF!</f>
        <v>#REF!</v>
      </c>
      <c r="H23" s="242" t="e">
        <f>#REF!*M11</f>
        <v>#REF!</v>
      </c>
      <c r="I23" s="242" t="e">
        <f>G23+H23</f>
        <v>#REF!</v>
      </c>
      <c r="J23" s="243">
        <f>'П 1.25.'!$E$41</f>
        <v>329.79723235795052</v>
      </c>
      <c r="K23" s="453" t="e">
        <f>H23*$E$16</f>
        <v>#REF!</v>
      </c>
      <c r="L23" s="244" t="e">
        <f>C13*D23*12-C23</f>
        <v>#REF!</v>
      </c>
      <c r="M23" s="244" t="e">
        <f>K33*1000-K23</f>
        <v>#REF!</v>
      </c>
      <c r="N23" s="490"/>
      <c r="O23" s="490"/>
    </row>
    <row r="24" spans="1:17" s="272" customFormat="1">
      <c r="A24" s="440" t="s">
        <v>946</v>
      </c>
      <c r="B24" s="699">
        <f>'П 1.24'!F26*1000</f>
        <v>6364432.7070802553</v>
      </c>
      <c r="C24" s="700" t="e">
        <f>$B$24*K10</f>
        <v>#REF!</v>
      </c>
      <c r="D24" s="707" t="e">
        <f>#REF!</f>
        <v>#REF!</v>
      </c>
      <c r="E24" s="709" t="e">
        <f>#REF!</f>
        <v>#REF!</v>
      </c>
      <c r="F24" s="709" t="e">
        <f>D24+E24</f>
        <v>#REF!</v>
      </c>
      <c r="G24" s="242" t="e">
        <f>#REF!</f>
        <v>#REF!</v>
      </c>
      <c r="H24" s="242" t="e">
        <f>#REF!</f>
        <v>#REF!</v>
      </c>
      <c r="I24" s="242" t="e">
        <f>G24+H24</f>
        <v>#REF!</v>
      </c>
      <c r="J24" s="243">
        <f>'П 1.25.'!$E$42</f>
        <v>493.28960130879062</v>
      </c>
      <c r="K24" s="453" t="e">
        <f>H24*$E$16</f>
        <v>#REF!</v>
      </c>
      <c r="L24" s="441" t="e">
        <f>C12*D24*12-C24</f>
        <v>#REF!</v>
      </c>
      <c r="M24" s="441" t="e">
        <f>D12*G24-K24</f>
        <v>#REF!</v>
      </c>
      <c r="N24" s="442"/>
      <c r="O24" s="442"/>
    </row>
    <row r="25" spans="1:17">
      <c r="A25" s="241" t="s">
        <v>640</v>
      </c>
      <c r="B25" s="435">
        <f t="shared" ref="B25:I25" si="1">SUM(B20:B24)</f>
        <v>32876366.405051459</v>
      </c>
      <c r="C25" s="435" t="e">
        <f t="shared" si="1"/>
        <v>#REF!</v>
      </c>
      <c r="D25" s="245" t="e">
        <f t="shared" si="1"/>
        <v>#REF!</v>
      </c>
      <c r="E25" s="489" t="e">
        <f t="shared" si="1"/>
        <v>#REF!</v>
      </c>
      <c r="F25" s="492" t="e">
        <f t="shared" si="1"/>
        <v>#REF!</v>
      </c>
      <c r="G25" s="245" t="e">
        <f t="shared" si="1"/>
        <v>#REF!</v>
      </c>
      <c r="H25" s="245" t="e">
        <f t="shared" si="1"/>
        <v>#REF!</v>
      </c>
      <c r="I25" s="245" t="e">
        <f t="shared" si="1"/>
        <v>#REF!</v>
      </c>
      <c r="J25" s="245"/>
      <c r="K25" s="246" t="e">
        <f>SUM(K20:K24)</f>
        <v>#REF!</v>
      </c>
      <c r="L25" s="247" t="e">
        <f>SUM(L20:L24)</f>
        <v>#REF!</v>
      </c>
      <c r="M25" s="244" t="e">
        <f>SUM(M20:M24)</f>
        <v>#REF!</v>
      </c>
      <c r="N25" s="450" t="e">
        <f>-L25/(($F$25+$D$22+$D$23)*12)</f>
        <v>#REF!</v>
      </c>
      <c r="O25" s="450" t="e">
        <f>-M25/($I$25+$G$22+$G$23)</f>
        <v>#REF!</v>
      </c>
      <c r="P25" s="248"/>
      <c r="Q25" s="249"/>
    </row>
    <row r="26" spans="1:17" s="207" customFormat="1">
      <c r="A26" s="250" t="s">
        <v>657</v>
      </c>
      <c r="B26" s="251">
        <f>'П 1.24'!F21*1000</f>
        <v>32876366.405051455</v>
      </c>
      <c r="C26" s="251" t="e">
        <f>B26*(K8+K9+K10+K11+K12)</f>
        <v>#REF!</v>
      </c>
      <c r="D26" s="436" t="e">
        <f>#REF!+#REF!</f>
        <v>#REF!</v>
      </c>
      <c r="E26" s="488" t="e">
        <f>#REF!</f>
        <v>#REF!</v>
      </c>
      <c r="F26" s="493" t="e">
        <f>#REF!</f>
        <v>#REF!</v>
      </c>
      <c r="G26" s="251" t="e">
        <f>#REF!</f>
        <v>#REF!</v>
      </c>
      <c r="H26" s="445" t="e">
        <f>#REF!</f>
        <v>#REF!</v>
      </c>
      <c r="I26" s="445" t="e">
        <f>#REF!</f>
        <v>#REF!</v>
      </c>
      <c r="J26" s="251"/>
      <c r="K26" s="251" t="e">
        <f>#REF!*'П 1.25.'!E8</f>
        <v>#REF!</v>
      </c>
      <c r="L26" s="10"/>
      <c r="P26" s="10"/>
    </row>
    <row r="27" spans="1:17" s="207" customFormat="1">
      <c r="A27" s="250"/>
      <c r="B27" s="251"/>
      <c r="C27" s="693"/>
      <c r="D27" s="693"/>
      <c r="E27" s="488"/>
      <c r="F27" s="493"/>
      <c r="G27" s="251"/>
      <c r="H27" s="445"/>
      <c r="I27" s="445"/>
      <c r="J27" s="251"/>
      <c r="K27" s="251"/>
      <c r="L27" s="10"/>
      <c r="N27" s="450"/>
      <c r="P27" s="10"/>
    </row>
    <row r="28" spans="1:17" s="201" customFormat="1">
      <c r="B28" s="693"/>
      <c r="C28" s="693"/>
      <c r="D28" s="693"/>
      <c r="E28" s="694"/>
      <c r="F28" s="279"/>
      <c r="H28" s="693"/>
    </row>
    <row r="29" spans="1:17" ht="39.6">
      <c r="A29" s="252" t="s">
        <v>1251</v>
      </c>
      <c r="B29" s="253"/>
      <c r="C29" s="253"/>
      <c r="D29" s="254"/>
      <c r="E29" s="252" t="s">
        <v>1252</v>
      </c>
      <c r="F29" s="253"/>
      <c r="G29" s="253"/>
      <c r="H29" s="254"/>
      <c r="I29" s="252" t="s">
        <v>1253</v>
      </c>
      <c r="J29" s="253"/>
      <c r="K29" s="253"/>
      <c r="L29" s="254"/>
      <c r="M29" s="319" t="s">
        <v>871</v>
      </c>
    </row>
    <row r="30" spans="1:17" ht="52.8">
      <c r="A30" s="255"/>
      <c r="B30" s="256" t="s">
        <v>869</v>
      </c>
      <c r="C30" s="256" t="s">
        <v>870</v>
      </c>
      <c r="D30" s="256" t="s">
        <v>871</v>
      </c>
      <c r="E30" s="255"/>
      <c r="F30" s="256" t="s">
        <v>869</v>
      </c>
      <c r="G30" s="256" t="s">
        <v>870</v>
      </c>
      <c r="H30" s="256" t="s">
        <v>871</v>
      </c>
      <c r="I30" s="255"/>
      <c r="J30" s="256" t="s">
        <v>869</v>
      </c>
      <c r="K30" s="256" t="s">
        <v>870</v>
      </c>
      <c r="L30" s="256" t="s">
        <v>871</v>
      </c>
      <c r="M30" s="319"/>
    </row>
    <row r="31" spans="1:17" hidden="1">
      <c r="A31" s="257" t="s">
        <v>697</v>
      </c>
      <c r="B31" s="258"/>
      <c r="C31" s="258"/>
      <c r="D31" s="256"/>
      <c r="E31" s="257" t="s">
        <v>697</v>
      </c>
      <c r="F31" s="258"/>
      <c r="G31" s="258"/>
      <c r="H31" s="256"/>
      <c r="I31" s="257" t="s">
        <v>697</v>
      </c>
      <c r="J31" s="258"/>
      <c r="K31" s="258"/>
      <c r="L31" s="256"/>
      <c r="M31" s="319"/>
    </row>
    <row r="32" spans="1:17" hidden="1">
      <c r="A32" s="259" t="s">
        <v>676</v>
      </c>
      <c r="B32" s="260"/>
      <c r="C32" s="260"/>
      <c r="D32" s="260"/>
      <c r="E32" s="259" t="s">
        <v>676</v>
      </c>
      <c r="F32" s="260"/>
      <c r="G32" s="260"/>
      <c r="H32" s="260"/>
      <c r="I32" s="259" t="s">
        <v>676</v>
      </c>
      <c r="J32" s="260"/>
      <c r="K32" s="260"/>
      <c r="L32" s="260"/>
      <c r="M32" s="319"/>
    </row>
    <row r="33" spans="1:14">
      <c r="A33" s="449" t="s">
        <v>897</v>
      </c>
      <c r="B33" s="259"/>
      <c r="C33" s="259"/>
      <c r="D33" s="237">
        <f>B33+C33</f>
        <v>0</v>
      </c>
      <c r="E33" s="261" t="s">
        <v>847</v>
      </c>
      <c r="F33" s="262" t="e">
        <f>$F$38*$D$22*12/1000</f>
        <v>#REF!</v>
      </c>
      <c r="G33" s="262" t="e">
        <f>$G$38*$G$22/1000</f>
        <v>#REF!</v>
      </c>
      <c r="H33" s="319" t="e">
        <f>F33+G33</f>
        <v>#REF!</v>
      </c>
      <c r="I33" s="261" t="s">
        <v>847</v>
      </c>
      <c r="J33" s="262" t="e">
        <f>$J$38*$D$23*12/1000</f>
        <v>#REF!</v>
      </c>
      <c r="K33" s="262" t="e">
        <f>$K$38*$G$23/1000</f>
        <v>#REF!</v>
      </c>
      <c r="L33" s="319" t="e">
        <f>J33+K33</f>
        <v>#REF!</v>
      </c>
      <c r="M33" s="319" t="e">
        <f>D33+H33+L33</f>
        <v>#REF!</v>
      </c>
    </row>
    <row r="34" spans="1:14">
      <c r="A34" s="449" t="s">
        <v>1117</v>
      </c>
      <c r="B34" s="259"/>
      <c r="C34" s="259"/>
      <c r="D34" s="237">
        <f>B34+C34</f>
        <v>0</v>
      </c>
      <c r="E34" s="259"/>
      <c r="F34" s="262"/>
      <c r="G34" s="262"/>
      <c r="H34" s="262"/>
      <c r="I34" s="259"/>
      <c r="J34" s="262"/>
      <c r="K34" s="262"/>
      <c r="L34" s="262"/>
      <c r="M34" s="319"/>
    </row>
    <row r="35" spans="1:14" ht="13.5" customHeight="1">
      <c r="A35" s="449" t="s">
        <v>1116</v>
      </c>
      <c r="B35" s="261" t="e">
        <f>$C$12*$D$24*12/1000</f>
        <v>#REF!</v>
      </c>
      <c r="C35" s="259" t="e">
        <f>$D$12*$G$24/1000</f>
        <v>#REF!</v>
      </c>
      <c r="D35" s="262" t="e">
        <f>B35+C35</f>
        <v>#REF!</v>
      </c>
      <c r="E35" s="259" t="s">
        <v>681</v>
      </c>
      <c r="F35" s="262"/>
      <c r="G35" s="262"/>
      <c r="H35" s="262"/>
      <c r="I35" s="259" t="s">
        <v>681</v>
      </c>
      <c r="J35" s="262"/>
      <c r="K35" s="262"/>
      <c r="L35" s="262"/>
      <c r="M35" s="319" t="e">
        <f>D35+H35+L35</f>
        <v>#REF!</v>
      </c>
    </row>
    <row r="36" spans="1:14" ht="13.5" customHeight="1">
      <c r="A36" s="259" t="s">
        <v>640</v>
      </c>
      <c r="B36" s="262" t="e">
        <f>SUM(B33:B35)</f>
        <v>#REF!</v>
      </c>
      <c r="C36" s="262" t="e">
        <f>SUM(C33:C35)</f>
        <v>#REF!</v>
      </c>
      <c r="D36" s="316" t="e">
        <f>SUM(D33:D35)</f>
        <v>#REF!</v>
      </c>
      <c r="E36" s="259" t="s">
        <v>640</v>
      </c>
      <c r="F36" s="262" t="e">
        <f>SUM(F33:F35)</f>
        <v>#REF!</v>
      </c>
      <c r="G36" s="262" t="e">
        <f>SUM(G33:G35)</f>
        <v>#REF!</v>
      </c>
      <c r="H36" s="316" t="e">
        <f>SUM(H33:H35)</f>
        <v>#REF!</v>
      </c>
      <c r="I36" s="259" t="s">
        <v>640</v>
      </c>
      <c r="J36" s="262" t="e">
        <f>SUM(J33:J35)</f>
        <v>#REF!</v>
      </c>
      <c r="K36" s="262" t="e">
        <f>SUM(K33:K35)</f>
        <v>#REF!</v>
      </c>
      <c r="L36" s="316" t="e">
        <f>SUM(L33:L35)</f>
        <v>#REF!</v>
      </c>
      <c r="M36" s="316" t="e">
        <f>SUM(M33:M35)</f>
        <v>#REF!</v>
      </c>
    </row>
    <row r="37" spans="1:14" ht="13.8" thickBot="1">
      <c r="A37" s="263"/>
      <c r="B37" s="451" t="s">
        <v>959</v>
      </c>
      <c r="C37" s="451">
        <f>'пл.об расч.по инд.межсет.тар.11'!N23</f>
        <v>17138.600000000002</v>
      </c>
      <c r="D37" s="451" t="e">
        <f>D36-C37</f>
        <v>#REF!</v>
      </c>
      <c r="E37" s="201"/>
    </row>
    <row r="38" spans="1:14" ht="25.5" customHeight="1" thickTop="1" thickBot="1">
      <c r="A38" s="286" t="s">
        <v>1243</v>
      </c>
      <c r="B38" s="284"/>
      <c r="C38" s="285"/>
      <c r="D38" s="702"/>
      <c r="E38" s="703" t="s">
        <v>957</v>
      </c>
      <c r="F38" s="704"/>
      <c r="G38" s="705"/>
      <c r="H38" s="717"/>
      <c r="I38" s="703" t="s">
        <v>1254</v>
      </c>
      <c r="J38" s="704"/>
      <c r="K38" s="705"/>
      <c r="L38" s="717"/>
    </row>
    <row r="39" spans="1:14" ht="14.4" thickTop="1">
      <c r="A39" s="264"/>
      <c r="B39" s="265"/>
      <c r="C39" s="312" t="e">
        <f>O25*I25/1000</f>
        <v>#REF!</v>
      </c>
      <c r="D39" s="266" t="e">
        <f>B39+C39</f>
        <v>#REF!</v>
      </c>
      <c r="F39" s="462"/>
      <c r="G39" s="463" t="s">
        <v>955</v>
      </c>
      <c r="H39" s="462"/>
      <c r="I39" s="448"/>
      <c r="J39" s="462"/>
      <c r="K39" s="462"/>
      <c r="L39" s="462"/>
      <c r="M39" s="462"/>
      <c r="N39" s="462"/>
    </row>
    <row r="40" spans="1:14" ht="13.8">
      <c r="A40" s="467" t="s">
        <v>1244</v>
      </c>
      <c r="B40" s="468"/>
      <c r="C40" s="468"/>
      <c r="D40" s="469"/>
      <c r="E40" s="201"/>
      <c r="F40" s="464" t="s">
        <v>961</v>
      </c>
      <c r="G40" s="462"/>
      <c r="H40" s="448"/>
      <c r="I40" s="448" t="s">
        <v>1246</v>
      </c>
      <c r="J40" s="448" t="s">
        <v>1247</v>
      </c>
      <c r="K40" s="462"/>
      <c r="L40" s="462"/>
      <c r="M40" s="462"/>
      <c r="N40" s="462"/>
    </row>
    <row r="41" spans="1:14" ht="27">
      <c r="A41" s="267" t="s">
        <v>1245</v>
      </c>
      <c r="B41" s="268"/>
      <c r="C41" s="269"/>
      <c r="D41" s="269"/>
      <c r="E41" s="201"/>
      <c r="H41" s="201"/>
      <c r="I41" s="446"/>
      <c r="J41" s="446"/>
      <c r="K41" s="201"/>
      <c r="L41" s="201"/>
      <c r="M41" s="460"/>
    </row>
    <row r="42" spans="1:14" ht="27.75" customHeight="1">
      <c r="A42" s="4416" t="s">
        <v>872</v>
      </c>
      <c r="B42" s="4417"/>
      <c r="C42" s="4418"/>
      <c r="D42" s="270" t="e">
        <f>D36+H36+L36-D39</f>
        <v>#REF!</v>
      </c>
      <c r="E42" s="160"/>
      <c r="J42" s="446"/>
      <c r="K42" s="447"/>
      <c r="L42" s="461"/>
      <c r="M42" s="460"/>
    </row>
    <row r="43" spans="1:14" s="272" customFormat="1" ht="17.25" customHeight="1">
      <c r="A43" s="4410" t="s">
        <v>873</v>
      </c>
      <c r="B43" s="4411"/>
      <c r="C43" s="4412"/>
      <c r="D43" s="271">
        <f>'П 1.27'!I116</f>
        <v>37627.282983218887</v>
      </c>
      <c r="E43" s="494" t="e">
        <f>K26/1000+C26/1000</f>
        <v>#REF!</v>
      </c>
      <c r="F43" s="299"/>
    </row>
    <row r="44" spans="1:14">
      <c r="I44" s="201"/>
    </row>
    <row r="45" spans="1:14">
      <c r="J45" s="201"/>
      <c r="K45" s="201"/>
    </row>
  </sheetData>
  <mergeCells count="7">
    <mergeCell ref="A43:C43"/>
    <mergeCell ref="B22:B23"/>
    <mergeCell ref="E5:E6"/>
    <mergeCell ref="C5:C6"/>
    <mergeCell ref="G8:G11"/>
    <mergeCell ref="B5:B8"/>
    <mergeCell ref="A42:C42"/>
  </mergeCells>
  <printOptions horizontalCentered="1"/>
  <pageMargins left="0.39370078740157483" right="0.39370078740157483" top="0" bottom="3.937007874015748E-2" header="0.11811023622047245" footer="3.937007874015748E-2"/>
  <pageSetup paperSize="9" scale="67" orientation="landscape" r:id="rId1"/>
  <headerFooter>
    <oddFooter>&amp;L&amp;8________________________________________________________________________
&amp;F&amp;A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110</vt:i4>
      </vt:variant>
      <vt:variant>
        <vt:lpstr>Именованные диапазоны</vt:lpstr>
      </vt:variant>
      <vt:variant>
        <vt:i4>43</vt:i4>
      </vt:variant>
    </vt:vector>
  </HeadingPairs>
  <TitlesOfParts>
    <vt:vector size="153" baseType="lpstr">
      <vt:lpstr>П 1.13 2016 расчет </vt:lpstr>
      <vt:lpstr>Выпад.дох.за 2015г.в тар.2017</vt:lpstr>
      <vt:lpstr>Расчет НВВ 2022г.</vt:lpstr>
      <vt:lpstr>Активы</vt:lpstr>
      <vt:lpstr>П.2.1.</vt:lpstr>
      <vt:lpstr>П.2.2.</vt:lpstr>
      <vt:lpstr>П 1.3.</vt:lpstr>
      <vt:lpstr>Электроэнергия</vt:lpstr>
      <vt:lpstr>Мощность</vt:lpstr>
      <vt:lpstr>П1.30 -2022г., 1 и 2 п-е</vt:lpstr>
      <vt:lpstr>тсо 2022 год</vt:lpstr>
      <vt:lpstr>НК Энерго 2022 год</vt:lpstr>
      <vt:lpstr>П 1.6.</vt:lpstr>
      <vt:lpstr>П 1.13</vt:lpstr>
      <vt:lpstr>Реестр всп.мат.2013пром. </vt:lpstr>
      <vt:lpstr>РСЭО факт за 2012г.</vt:lpstr>
      <vt:lpstr>Услуги стор.орг..-2013г. </vt:lpstr>
      <vt:lpstr>++ Реестр всп.мат.2014 с ЛОЦ</vt:lpstr>
      <vt:lpstr>Реестр всп.мат.2013пром.</vt:lpstr>
      <vt:lpstr>Реестр всп.мат.2012пром.</vt:lpstr>
      <vt:lpstr>Матер.электро</vt:lpstr>
      <vt:lpstr>Услуги стор.орг.</vt:lpstr>
      <vt:lpstr>Услуги стор.орг.-2021</vt:lpstr>
      <vt:lpstr>Услуги стор.орг..-2014г. (2)</vt:lpstr>
      <vt:lpstr>НВВ Расшифровка</vt:lpstr>
      <vt:lpstr>П 1.15.</vt:lpstr>
      <vt:lpstr>П 1.18.2</vt:lpstr>
      <vt:lpstr>ФОТ 2020г. 2426+2496</vt:lpstr>
      <vt:lpstr>нетФОТ 2011г. цех 2496ПСХ</vt:lpstr>
      <vt:lpstr>ФЗП  эл.эн.2018г. 2326</vt:lpstr>
      <vt:lpstr>П 1.16 раб.</vt:lpstr>
      <vt:lpstr>П 1.16 цех. (РСС+всп.раб.)</vt:lpstr>
      <vt:lpstr>П 1.16 свод</vt:lpstr>
      <vt:lpstr>ФЗП  эл.эн.2014г. 2452</vt:lpstr>
      <vt:lpstr>нетФОТ 2020г. свод 2452</vt:lpstr>
      <vt:lpstr>нет +++ ФОТ 2020г. всего</vt:lpstr>
      <vt:lpstr>П 1.16 АУП ОХР</vt:lpstr>
      <vt:lpstr>П 1.17</vt:lpstr>
      <vt:lpstr>П .1.17.1</vt:lpstr>
      <vt:lpstr>П 1.17ОХР </vt:lpstr>
      <vt:lpstr>П 1.17 свод</vt:lpstr>
      <vt:lpstr>П 1.17 (2)</vt:lpstr>
      <vt:lpstr>П .1.17.1 (2)</vt:lpstr>
      <vt:lpstr>Амортизация 21-22гг.</vt:lpstr>
      <vt:lpstr>НИ 2021-2022</vt:lpstr>
      <vt:lpstr>Амортизация 11г. - 12г. (2)</vt:lpstr>
      <vt:lpstr>П 1.20.</vt:lpstr>
      <vt:lpstr>П 1.20.3.</vt:lpstr>
      <vt:lpstr>П 1.21.3.</vt:lpstr>
      <vt:lpstr>П 1.24</vt:lpstr>
      <vt:lpstr>П 1.25.</vt:lpstr>
      <vt:lpstr>ФЗП  эл.эн.2021г. 2326 (2)</vt:lpstr>
      <vt:lpstr>ФОТ 2021г. цех 2326</vt:lpstr>
      <vt:lpstr>Амортизация 21-22гг. (2)</vt:lpstr>
      <vt:lpstr>Пообъектн.расчет НИ 21-22гг.</vt:lpstr>
      <vt:lpstr>ОХР </vt:lpstr>
      <vt:lpstr>Распред.приб. на соц.разв.2022</vt:lpstr>
      <vt:lpstr>Дефицит по потерям</vt:lpstr>
      <vt:lpstr>П 1.27</vt:lpstr>
      <vt:lpstr>П.2.1.пром.+ПСХ</vt:lpstr>
      <vt:lpstr>П.2.2.пром.+ПСХ</vt:lpstr>
      <vt:lpstr>П.2.1.общ.</vt:lpstr>
      <vt:lpstr>П.2.2. общ</vt:lpstr>
      <vt:lpstr>активы общ.</vt:lpstr>
      <vt:lpstr>Расчет</vt:lpstr>
      <vt:lpstr>П.2.1.утв.2016</vt:lpstr>
      <vt:lpstr>П.2.2.утв.2016</vt:lpstr>
      <vt:lpstr>Активы факт2011-2013гг</vt:lpstr>
      <vt:lpstr>П.2.1.ПСХ</vt:lpstr>
      <vt:lpstr>П.2.2.ПСХ</vt:lpstr>
      <vt:lpstr>активы ЛОЦ</vt:lpstr>
      <vt:lpstr>П.2.1.ЛОЦ</vt:lpstr>
      <vt:lpstr>П.2.2.ЛОЦ</vt:lpstr>
      <vt:lpstr>1тсо кроме мрск</vt:lpstr>
      <vt:lpstr>2тсо кроме мрск</vt:lpstr>
      <vt:lpstr>2016 тсо кроме мрск</vt:lpstr>
      <vt:lpstr>2016 тсо НК Энергосб</vt:lpstr>
      <vt:lpstr>Выпад.2014г.</vt:lpstr>
      <vt:lpstr>НВВ на содержание 2012г.</vt:lpstr>
      <vt:lpstr>Реестр всп.мат.2010 пром.+ПСХ</vt:lpstr>
      <vt:lpstr>Реестр вспомог.мат.2011 ПСХ</vt:lpstr>
      <vt:lpstr>Работы и услуги 2011г.</vt:lpstr>
      <vt:lpstr>РСЭО 2012г.</vt:lpstr>
      <vt:lpstr>П 1.17 цех.</vt:lpstr>
      <vt:lpstr>Амортизация цех10г. - 11г.</vt:lpstr>
      <vt:lpstr>П 1.17 ОХР</vt:lpstr>
      <vt:lpstr>1 И 2 ПОЛУГОДИЕ 2012</vt:lpstr>
      <vt:lpstr>2012</vt:lpstr>
      <vt:lpstr>1п-е 2012</vt:lpstr>
      <vt:lpstr>2п-е 2012</vt:lpstr>
      <vt:lpstr>2012 год</vt:lpstr>
      <vt:lpstr>НВВ на содержание</vt:lpstr>
      <vt:lpstr>послед2012г.об.по стр-ре СЭ (2)</vt:lpstr>
      <vt:lpstr>12г.Бал.уточ.Энерг+подсобн.хоз.</vt:lpstr>
      <vt:lpstr>Прилож.1-2012г.</vt:lpstr>
      <vt:lpstr>2012 Баланс  </vt:lpstr>
      <vt:lpstr>стр-ра пол.отп. 2012г.июнь</vt:lpstr>
      <vt:lpstr>П1.30 - 07.06.11г.</vt:lpstr>
      <vt:lpstr>С-Э и сет.расч.инд.межсет.2011</vt:lpstr>
      <vt:lpstr>изм.приказ 27 от 28.04.2011</vt:lpstr>
      <vt:lpstr>2012г.об.по стр-ре СЭ</vt:lpstr>
      <vt:lpstr>2012г.об.под факт2010</vt:lpstr>
      <vt:lpstr>пл.об расч.по инд.межсет.та (2)</vt:lpstr>
      <vt:lpstr>пл.об расч.по инд.межсет.тар.11</vt:lpstr>
      <vt:lpstr>УГРКЭ об.конрасч.по инд.межсет.</vt:lpstr>
      <vt:lpstr>Прилож.2 структура 2011г.-2012г</vt:lpstr>
      <vt:lpstr>орг. Корр-ка НВВ 2014г.</vt:lpstr>
      <vt:lpstr>П.2.1. утв.2015</vt:lpstr>
      <vt:lpstr>П.2.2.утв.2015</vt:lpstr>
      <vt:lpstr>1 И 2 ПОЛУГОДИЕ 2012 (2)</vt:lpstr>
      <vt:lpstr>'2016 тсо кроме мрск'!Excel_BuiltIn_Print_Area</vt:lpstr>
      <vt:lpstr>'2016 тсо НК Энергосб'!Excel_BuiltIn_Print_Area</vt:lpstr>
      <vt:lpstr>'2тсо кроме мрск'!Excel_BuiltIn_Print_Area</vt:lpstr>
      <vt:lpstr>'НВВ Расшифровка'!Заголовки_для_печати</vt:lpstr>
      <vt:lpstr>'орг. Корр-ка НВВ 2014г.'!Заголовки_для_печати</vt:lpstr>
      <vt:lpstr>'П 1.3.'!Заголовки_для_печати</vt:lpstr>
      <vt:lpstr>'П1.30 - 07.06.11г.'!Заголовки_для_печати</vt:lpstr>
      <vt:lpstr>'П1.30 -2022г., 1 и 2 п-е'!Заголовки_для_печати</vt:lpstr>
      <vt:lpstr>'Пообъектн.расчет НИ 21-22гг.'!Заголовки_для_печати</vt:lpstr>
      <vt:lpstr>'Прилож.2 структура 2011г.-2012г'!Заголовки_для_печати</vt:lpstr>
      <vt:lpstr>'Расчет НВВ 2022г.'!Заголовки_для_печати</vt:lpstr>
      <vt:lpstr>'РСЭО факт за 2012г.'!Заголовки_для_печати</vt:lpstr>
      <vt:lpstr>'Услуги стор.орг..-2013г. '!Заголовки_для_печати</vt:lpstr>
      <vt:lpstr>'Услуги стор.орг..-2014г. (2)'!Заголовки_для_печати</vt:lpstr>
      <vt:lpstr>'Услуги стор.орг.-2021'!Заголовки_для_печати</vt:lpstr>
      <vt:lpstr>'ФЗП  эл.эн.2014г. 2452'!Заголовки_для_печати</vt:lpstr>
      <vt:lpstr>'ФЗП  эл.эн.2018г. 2326'!Заголовки_для_печати</vt:lpstr>
      <vt:lpstr>'ФЗП  эл.эн.2021г. 2326 (2)'!Заголовки_для_печати</vt:lpstr>
      <vt:lpstr>'1тсо кроме мрск'!Область_печати</vt:lpstr>
      <vt:lpstr>'2016 тсо кроме мрск'!Область_печати</vt:lpstr>
      <vt:lpstr>'2016 тсо НК Энергосб'!Область_печати</vt:lpstr>
      <vt:lpstr>'2тсо кроме мрск'!Область_печати</vt:lpstr>
      <vt:lpstr>'Амортизация 21-22гг. (2)'!Область_печати</vt:lpstr>
      <vt:lpstr>'Выпад.дох.за 2015г.в тар.2017'!Область_печати</vt:lpstr>
      <vt:lpstr>'НВВ на содержание 2012г.'!Область_печати</vt:lpstr>
      <vt:lpstr>'НВВ Расшифровка'!Область_печати</vt:lpstr>
      <vt:lpstr>'нетФОТ 2020г. свод 2452'!Область_печати</vt:lpstr>
      <vt:lpstr>'НИ 2021-2022'!Область_печати</vt:lpstr>
      <vt:lpstr>'НК Энерго 2022 год'!Область_печати</vt:lpstr>
      <vt:lpstr>'орг. Корр-ка НВВ 2014г.'!Область_печати</vt:lpstr>
      <vt:lpstr>'ОХР '!Область_печати</vt:lpstr>
      <vt:lpstr>'П1.30 -2022г., 1 и 2 п-е'!Область_печати</vt:lpstr>
      <vt:lpstr>'Пообъектн.расчет НИ 21-22гг.'!Область_печати</vt:lpstr>
      <vt:lpstr>'Прилож.2 структура 2011г.-2012г'!Область_печати</vt:lpstr>
      <vt:lpstr>'Расчет НВВ 2022г.'!Область_печати</vt:lpstr>
      <vt:lpstr>'тсо 2022 год'!Область_печати</vt:lpstr>
      <vt:lpstr>'Услуги стор.орг..-2014г. (2)'!Область_печати</vt:lpstr>
      <vt:lpstr>'Услуги стор.орг.-2021'!Область_печати</vt:lpstr>
      <vt:lpstr>'ФЗП  эл.эн.2014г. 2452'!Область_печати</vt:lpstr>
      <vt:lpstr>'ФЗП  эл.эн.2018г. 2326'!Область_печати</vt:lpstr>
      <vt:lpstr>'ФЗП  эл.эн.2021г. 2326 (2)'!Область_печати</vt:lpstr>
      <vt:lpstr>'ФОТ 2021г. цех 2326'!Область_печати</vt:lpstr>
      <vt:lpstr>Электроэнергия!Область_печати</vt:lpstr>
    </vt:vector>
  </TitlesOfParts>
  <Company>SSPS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Лесовой Юрий Петрович</cp:lastModifiedBy>
  <cp:lastPrinted>2022-02-11T05:20:03Z</cp:lastPrinted>
  <dcterms:created xsi:type="dcterms:W3CDTF">2004-12-17T04:36:50Z</dcterms:created>
  <dcterms:modified xsi:type="dcterms:W3CDTF">2022-02-11T05:24:36Z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@Дата от">
    <vt:filetime>2022-02-14T07:22:03.7178658Z</vt:filetime>
  </property>
</Properties>
</file>